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-15" yWindow="5925" windowWidth="21705" windowHeight="5925" tabRatio="842" activeTab="1"/>
  </bookViews>
  <sheets>
    <sheet name="SYNTHESE" sheetId="50" r:id="rId1"/>
    <sheet name="RECAP" sheetId="1" r:id="rId2"/>
    <sheet name="210" sheetId="118" r:id="rId3"/>
    <sheet name="210 bw" sheetId="122" r:id="rId4"/>
    <sheet name="210cw" sheetId="121" r:id="rId5"/>
    <sheet name="212" sheetId="120" r:id="rId6"/>
    <sheet name="2187" sheetId="119" r:id="rId7"/>
    <sheet name="220-G" sheetId="125" r:id="rId8"/>
    <sheet name="221" sheetId="123" r:id="rId9"/>
    <sheet name="230A" sheetId="124" r:id="rId10"/>
    <sheet name="7000-003" sheetId="126" r:id="rId11"/>
    <sheet name="7004" sheetId="127" r:id="rId12"/>
    <sheet name="7005" sheetId="128" r:id="rId13"/>
    <sheet name="7006" sheetId="129" r:id="rId14"/>
  </sheets>
  <definedNames>
    <definedName name="_Key2" hidden="1">#REF!</definedName>
    <definedName name="_Order2" hidden="1">255</definedName>
    <definedName name="_Sort" hidden="1">#REF!</definedName>
    <definedName name="AC" hidden="1">{#N/A,#N/A,FALSE,"Classe";#N/A,#N/A,FALSE,"Destination";#N/A,#N/A,FALSE,"Consolidation"}</definedName>
    <definedName name="AEZ" hidden="1">{#N/A,#N/A,FALSE,"Classe";#N/A,#N/A,FALSE,"Destination";#N/A,#N/A,FALSE,"Consolidation"}</definedName>
    <definedName name="AMAL" hidden="1">{#N/A,#N/A,FALSE,"Classe";#N/A,#N/A,FALSE,"Destination";#N/A,#N/A,FALSE,"Consolidation"}</definedName>
    <definedName name="AQS" hidden="1">{#N/A,#N/A,FALSE,"Classe";#N/A,#N/A,FALSE,"Destination";#N/A,#N/A,FALSE,"Consolidation"}</definedName>
    <definedName name="AW" hidden="1">{#N/A,#N/A,FALSE,"Classe";#N/A,#N/A,FALSE,"Destination";#N/A,#N/A,FALSE,"Consolidation"}</definedName>
    <definedName name="AX" hidden="1">{#N/A,#N/A,FALSE,"Classe";#N/A,#N/A,FALSE,"Destination";#N/A,#N/A,FALSE,"Consolidation"}</definedName>
    <definedName name="AZ" hidden="1">{#N/A,#N/A,FALSE,"Classe";#N/A,#N/A,FALSE,"Destination";#N/A,#N/A,FALSE,"Consolidation"}</definedName>
    <definedName name="AZDA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AZRETF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bb" hidden="1">{#N/A,#N/A,FALSE,"MOD";#N/A,#N/A,FALSE,"Menuiseries intérieures";#N/A,#N/A,FALSE,"Menuiseries int.";#N/A,#N/A,FALSE,"MOI";#N/A,#N/A,FALSE,"Encadrement";#N/A,#N/A,FALSE,"FO1";#N/A,#N/A,FALSE,"Maitrise";#N/A,#N/A,FALSE,"MOD2"}</definedName>
    <definedName name="BC" hidden="1">{#N/A,#N/A,FALSE,"Classe";#N/A,#N/A,FALSE,"Destination";#N/A,#N/A,FALSE,"Consolidation"}</definedName>
    <definedName name="BG" hidden="1">{#N/A,#N/A,FALSE,"Classe";#N/A,#N/A,FALSE,"Destination";#N/A,#N/A,FALSE,"Consolidation"}</definedName>
    <definedName name="BI" hidden="1">{#N/A,#N/A,FALSE,"Classe";#N/A,#N/A,FALSE,"Destination";#N/A,#N/A,FALSE,"Consolidation"}</definedName>
    <definedName name="BIL" hidden="1">{#N/A,#N/A,FALSE,"Classe";#N/A,#N/A,FALSE,"Destination";#N/A,#N/A,FALSE,"Consolidation"}</definedName>
    <definedName name="BILAN" hidden="1">{#N/A,#N/A,FALSE,"Classe";#N/A,#N/A,FALSE,"Destination";#N/A,#N/A,FALSE,"Consolidation"}</definedName>
    <definedName name="BN" hidden="1">{#N/A,#N/A,FALSE,"Classe";#N/A,#N/A,FALSE,"Destination";#N/A,#N/A,FALSE,"Consolidation"}</definedName>
    <definedName name="BV" hidden="1">{#N/A,#N/A,FALSE,"Classe";#N/A,#N/A,FALSE,"Destination";#N/A,#N/A,FALSE,"Consolidation"}</definedName>
    <definedName name="CAR" hidden="1">{#N/A,#N/A,FALSE,"Classe";#N/A,#N/A,FALSE,"Destination";#N/A,#N/A,FALSE,"Consolidation"}</definedName>
    <definedName name="CARR" hidden="1">{#N/A,#N/A,FALSE,"Classe";#N/A,#N/A,FALSE,"Destination";#N/A,#N/A,FALSE,"Consolidation"}</definedName>
    <definedName name="CARR7" hidden="1">{#N/A,#N/A,FALSE,"Classe";#N/A,#N/A,FALSE,"Destination";#N/A,#N/A,FALSE,"Consolidation"}</definedName>
    <definedName name="CARRI" hidden="1">{#N/A,#N/A,FALSE,"Classe";#N/A,#N/A,FALSE,"Destination";#N/A,#N/A,FALSE,"Consolidation"}</definedName>
    <definedName name="carriere.06" hidden="1">{#N/A,#N/A,FALSE,"Classe";#N/A,#N/A,FALSE,"Destination";#N/A,#N/A,FALSE,"Consolidation"}</definedName>
    <definedName name="CB" hidden="1">{#N/A,#N/A,FALSE,"Classe";#N/A,#N/A,FALSE,"Destination";#N/A,#N/A,FALSE,"Consolidation"}</definedName>
    <definedName name="CR" hidden="1">{#N/A,#N/A,FALSE,"Classe";#N/A,#N/A,FALSE,"Destination";#N/A,#N/A,FALSE,"Consolidation"}</definedName>
    <definedName name="CV" hidden="1">{#N/A,#N/A,FALSE,"Classe";#N/A,#N/A,FALSE,"Destination";#N/A,#N/A,FALSE,"Consolidation"}</definedName>
    <definedName name="cycles" hidden="1">{#N/A,#N/A,FALSE,"MOD";#N/A,#N/A,FALSE,"Menuiseries intérieures";#N/A,#N/A,FALSE,"Menuiseries int.";#N/A,#N/A,FALSE,"MOI";#N/A,#N/A,FALSE,"Encadrement";#N/A,#N/A,FALSE,"FO1";#N/A,#N/A,FALSE,"Maitrise";#N/A,#N/A,FALSE,"MOD2"}</definedName>
    <definedName name="DA" hidden="1">{#N/A,#N/A,FALSE,"Classe";#N/A,#N/A,FALSE,"Destination";#N/A,#N/A,FALSE,"Consolidation"}</definedName>
    <definedName name="DC" hidden="1">{#N/A,#N/A,FALSE,"Classe";#N/A,#N/A,FALSE,"Destination";#N/A,#N/A,FALSE,"Consolidation"}</definedName>
    <definedName name="DCX" hidden="1">{#N/A,#N/A,FALSE,"Classe";#N/A,#N/A,FALSE,"Destination";#N/A,#N/A,FALSE,"Consolidation"}</definedName>
    <definedName name="dd" hidden="1">{#N/A,#N/A,FALSE,"Etanchéité";#N/A,#N/A,FALSE,"Etanchéité2";#N/A,#N/A,FALSE,"MOI";#N/A,#N/A,FALSE,"Encadrement"}</definedName>
    <definedName name="de" hidden="1">{#N/A,#N/A,FALSE,"R.D. Maroc";#N/A,#N/A,FALSE,"Colle";#N/A,#N/A,FALSE,"Métaci"}</definedName>
    <definedName name="DFR" hidden="1">{#N/A,#N/A,FALSE,"Classe";#N/A,#N/A,FALSE,"Destination";#N/A,#N/A,FALSE,"Consolidation"}</definedName>
    <definedName name="ds" hidden="1">{#N/A,#N/A,FALSE,"Menuiserie extérieure";#N/A,#N/A,FALSE,"Menuiserie ext.";#N/A,#N/A,FALSE,"MOI";#N/A,#N/A,FALSE,"Encadrement";#N/A,#N/A,FALSE,"Fournitures"}</definedName>
    <definedName name="EA" hidden="1">{#N/A,#N/A,FALSE,"Classe";#N/A,#N/A,FALSE,"Destination";#N/A,#N/A,FALSE,"Consolidation"}</definedName>
    <definedName name="EI" hidden="1">{#N/A,#N/A,FALSE,"Classe";#N/A,#N/A,FALSE,"Destination";#N/A,#N/A,FALSE,"Consolidation"}</definedName>
    <definedName name="ELLE" hidden="1">{#N/A,#N/A,FALSE,"Classe";#N/A,#N/A,FALSE,"Destination";#N/A,#N/A,FALSE,"Consolidation"}</definedName>
    <definedName name="ER" hidden="1">{#N/A,#N/A,FALSE,"Classe";#N/A,#N/A,FALSE,"Destination";#N/A,#N/A,FALSE,"Consolidation"}</definedName>
    <definedName name="FD" hidden="1">{#N/A,#N/A,FALSE,"Classe";#N/A,#N/A,FALSE,"Destination";#N/A,#N/A,FALSE,"Consolidation"}</definedName>
    <definedName name="FR" hidden="1">{#N/A,#N/A,FALSE,"Classe";#N/A,#N/A,FALSE,"Destination";#N/A,#N/A,FALSE,"Consolidation"}</definedName>
    <definedName name="GF" hidden="1">{#N/A,#N/A,FALSE,"Classe";#N/A,#N/A,FALSE,"Destination";#N/A,#N/A,FALSE,"Consolidation"}</definedName>
    <definedName name="GFD" hidden="1">{#N/A,#N/A,FALSE,"Classe";#N/A,#N/A,FALSE,"Destination";#N/A,#N/A,FALSE,"Consolidation"}</definedName>
    <definedName name="GR" hidden="1">{#N/A,#N/A,FALSE,"Classe";#N/A,#N/A,FALSE,"Destination";#N/A,#N/A,FALSE,"Consolidation"}</definedName>
    <definedName name="HA" hidden="1">{#N/A,#N/A,FALSE,"Classe";#N/A,#N/A,FALSE,"Destination";#N/A,#N/A,FALSE,"Consolidation"}</definedName>
    <definedName name="HG" hidden="1">{#N/A,#N/A,FALSE,"Classe";#N/A,#N/A,FALSE,"Destination";#N/A,#N/A,FALSE,"Consolidation"}</definedName>
    <definedName name="HGFG" hidden="1">{#N/A,#N/A,FALSE,"Classe";#N/A,#N/A,FALSE,"Destination";#N/A,#N/A,FALSE,"Consolidation"}</definedName>
    <definedName name="hh" hidden="1">{#N/A,#N/A,FALSE,"MOD";#N/A,#N/A,FALSE,"Menuiseries intérieures";#N/A,#N/A,FALSE,"Menuiseries int.";#N/A,#N/A,FALSE,"MOI";#N/A,#N/A,FALSE,"Encadrement";#N/A,#N/A,FALSE,"FO1";#N/A,#N/A,FALSE,"Maitrise";#N/A,#N/A,FALSE,"MOD2"}</definedName>
    <definedName name="HY" hidden="1">{#N/A,#N/A,FALSE,"Classe";#N/A,#N/A,FALSE,"Destination";#N/A,#N/A,FALSE,"Consolidation"}</definedName>
    <definedName name="IG" hidden="1">{#N/A,#N/A,FALSE,"Classe";#N/A,#N/A,FALSE,"Destination";#N/A,#N/A,FALSE,"Consolidation"}</definedName>
    <definedName name="II" hidden="1">{#N/A,#N/A,FALSE,"MOD";#N/A,#N/A,FALSE,"Menuiseries intérieures";#N/A,#N/A,FALSE,"Menuiseries int.";#N/A,#N/A,FALSE,"MOI";#N/A,#N/A,FALSE,"Encadrement";#N/A,#N/A,FALSE,"FO1";#N/A,#N/A,FALSE,"Maitrise";#N/A,#N/A,FALSE,"MOD2"}</definedName>
    <definedName name="IJK" hidden="1">{#N/A,#N/A,FALSE,"Classe";#N/A,#N/A,FALSE,"Destination";#N/A,#N/A,FALSE,"Consolidation"}</definedName>
    <definedName name="IK" hidden="1">{#N/A,#N/A,FALSE,"Classe";#N/A,#N/A,FALSE,"Destination";#N/A,#N/A,FALSE,"Consolidation"}</definedName>
    <definedName name="IL" hidden="1">{#N/A,#N/A,FALSE,"Classe";#N/A,#N/A,FALSE,"Destination";#N/A,#N/A,FALSE,"Consolidation"}</definedName>
    <definedName name="IR" hidden="1">{#N/A,#N/A,FALSE,"Classe";#N/A,#N/A,FALSE,"Destination";#N/A,#N/A,FALSE,"Consolidation"}</definedName>
    <definedName name="IU" hidden="1">{#N/A,#N/A,FALSE,"Classe";#N/A,#N/A,FALSE,"Destination";#N/A,#N/A,FALSE,"Consolidation"}</definedName>
    <definedName name="JA" hidden="1">{#N/A,#N/A,FALSE,"Classe";#N/A,#N/A,FALSE,"Destination";#N/A,#N/A,FALSE,"Consolidation"}</definedName>
    <definedName name="jgjghty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jgjg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KGKGK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j" hidden="1">{#N/A,#N/A,FALSE,"MOD";#N/A,#N/A,FALSE,"Menuiseries intérieures";#N/A,#N/A,FALSE,"Menuiseries int.";#N/A,#N/A,FALSE,"MOI";#N/A,#N/A,FALSE,"Encadrement";#N/A,#N/A,FALSE,"FO1";#N/A,#N/A,FALSE,"Maitrise";#N/A,#N/A,FALSE,"MOD2"}</definedName>
    <definedName name="JKI" hidden="1">{#N/A,#N/A,FALSE,"Classe";#N/A,#N/A,FALSE,"Destination";#N/A,#N/A,FALSE,"Consolidation"}</definedName>
    <definedName name="JR" hidden="1">{#N/A,#N/A,FALSE,"Classe";#N/A,#N/A,FALSE,"Destination";#N/A,#N/A,FALSE,"Consolidation"}</definedName>
    <definedName name="JUS" hidden="1">{#N/A,#N/A,FALSE,"Classe";#N/A,#N/A,FALSE,"Destination";#N/A,#N/A,FALSE,"Consolidation"}</definedName>
    <definedName name="KA" hidden="1">{#N/A,#N/A,FALSE,"Classe";#N/A,#N/A,FALSE,"Destination";#N/A,#N/A,FALSE,"Consolidation"}</definedName>
    <definedName name="khjgut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KID" hidden="1">{#N/A,#N/A,FALSE,"Classe";#N/A,#N/A,FALSE,"Destination";#N/A,#N/A,FALSE,"Consolidation"}</definedName>
    <definedName name="KIJ" hidden="1">{#N/A,#N/A,FALSE,"Classe";#N/A,#N/A,FALSE,"Destination";#N/A,#N/A,FALSE,"Consolidation"}</definedName>
    <definedName name="KLA" hidden="1">{#N/A,#N/A,FALSE,"Classe";#N/A,#N/A,FALSE,"Destination";#N/A,#N/A,FALSE,"Consolidation"}</definedName>
    <definedName name="KTA" hidden="1">{#N/A,#N/A,FALSE,"Classe";#N/A,#N/A,FALSE,"Destination";#N/A,#N/A,FALSE,"Consolidation"}</definedName>
    <definedName name="LA" hidden="1">{#N/A,#N/A,FALSE,"Classe";#N/A,#N/A,FALSE,"Destination";#N/A,#N/A,FALSE,"Consolidation"}</definedName>
    <definedName name="LK" hidden="1">{#N/A,#N/A,FALSE,"Classe";#N/A,#N/A,FALSE,"Destination";#N/A,#N/A,FALSE,"Consolidation"}</definedName>
    <definedName name="LOI" hidden="1">{#N/A,#N/A,FALSE,"Classe";#N/A,#N/A,FALSE,"Destination";#N/A,#N/A,FALSE,"Consolidation"}</definedName>
    <definedName name="LU" hidden="1">{#N/A,#N/A,FALSE,"Classe";#N/A,#N/A,FALSE,"Destination";#N/A,#N/A,FALSE,"Consolidation"}</definedName>
    <definedName name="MA" hidden="1">{#N/A,#N/A,FALSE,"Classe";#N/A,#N/A,FALSE,"Destination";#N/A,#N/A,FALSE,"Consolidation"}</definedName>
    <definedName name="MBO" hidden="1">{#N/A,#N/A,FALSE,"Classe";#N/A,#N/A,FALSE,"Destination";#N/A,#N/A,FALSE,"Consolidation"}</definedName>
    <definedName name="MM" hidden="1">{#N/A,#N/A,FALSE,"MOD";#N/A,#N/A,FALSE,"Menuiseries intérieures";#N/A,#N/A,FALSE,"Menuiseries int.";#N/A,#N/A,FALSE,"MOI";#N/A,#N/A,FALSE,"Encadrement";#N/A,#N/A,FALSE,"FO1";#N/A,#N/A,FALSE,"Maitrise";#N/A,#N/A,FALSE,"MOD2"}</definedName>
    <definedName name="NA" hidden="1">{#N/A,#N/A,FALSE,"Classe";#N/A,#N/A,FALSE,"Destination";#N/A,#N/A,FALSE,"Consolidation"}</definedName>
    <definedName name="NBV" hidden="1">{#N/A,#N/A,FALSE,"Classe";#N/A,#N/A,FALSE,"Destination";#N/A,#N/A,FALSE,"Consolidation"}</definedName>
    <definedName name="NF" hidden="1">{#N/A,#N/A,FALSE,"Classe";#N/A,#N/A,FALSE,"Destination";#N/A,#N/A,FALSE,"Consolidation"}</definedName>
    <definedName name="NG" hidden="1">{#N/A,#N/A,FALSE,"Classe";#N/A,#N/A,FALSE,"Destination";#N/A,#N/A,FALSE,"Consolidation"}</definedName>
    <definedName name="NH" hidden="1">{#N/A,#N/A,FALSE,"Classe";#N/A,#N/A,FALSE,"Destination";#N/A,#N/A,FALSE,"Consolidation"}</definedName>
    <definedName name="NHG" hidden="1">{#N/A,#N/A,FALSE,"Classe";#N/A,#N/A,FALSE,"Destination";#N/A,#N/A,FALSE,"Consolidation"}</definedName>
    <definedName name="NN" hidden="1">{#N/A,#N/A,FALSE,"DH";#N/A,#N/A,FALSE,"FFR";#N/A,#N/A,FALSE,"AVDH";#N/A,#N/A,FALSE,"AVFFR";#N/A,#N/A,FALSE,"RevDH";#N/A,#N/A,FALSE,"RevFFR";#N/A,#N/A,FALSE,"Base-App-Dh";#N/A,#N/A,FALSE,"Base-App-FF"}</definedName>
    <definedName name="NNF" hidden="1">{#N/A,#N/A,FALSE,"Classe";#N/A,#N/A,FALSE,"Destination";#N/A,#N/A,FALSE,"Consolidation"}</definedName>
    <definedName name="NO" hidden="1">{#N/A,#N/A,FALSE,"Classe";#N/A,#N/A,FALSE,"Destination";#N/A,#N/A,FALSE,"Consolidation"}</definedName>
    <definedName name="NON" hidden="1">{#N/A,#N/A,FALSE,"Classe";#N/A,#N/A,FALSE,"Destination";#N/A,#N/A,FALSE,"Consolidation"}</definedName>
    <definedName name="nouveau" hidden="1">{#N/A,#N/A,FALSE,"Classe";#N/A,#N/A,FALSE,"Destination";#N/A,#N/A,FALSE,"Consolidation"}</definedName>
    <definedName name="NR" hidden="1">{#N/A,#N/A,FALSE,"Classe";#N/A,#N/A,FALSE,"Destination";#N/A,#N/A,FALSE,"Consolidation"}</definedName>
    <definedName name="OL" hidden="1">{#N/A,#N/A,FALSE,"Classe";#N/A,#N/A,FALSE,"Destination";#N/A,#N/A,FALSE,"Consolidation"}</definedName>
    <definedName name="OP" hidden="1">{#N/A,#N/A,FALSE,"Classe";#N/A,#N/A,FALSE,"Destination";#N/A,#N/A,FALSE,"Consolidation"}</definedName>
    <definedName name="OT" hidden="1">{#N/A,#N/A,FALSE,"Classe";#N/A,#N/A,FALSE,"Destination";#N/A,#N/A,FALSE,"Consolidation"}</definedName>
    <definedName name="PA" hidden="1">{#N/A,#N/A,FALSE,"Classe";#N/A,#N/A,FALSE,"Destination";#N/A,#N/A,FALSE,"Consolidation"}</definedName>
    <definedName name="PO" hidden="1">{#N/A,#N/A,FALSE,"Classe";#N/A,#N/A,FALSE,"Destination";#N/A,#N/A,FALSE,"Consolidation"}</definedName>
    <definedName name="poiu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IU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R" hidden="1">{#N/A,#N/A,FALSE,"Classe";#N/A,#N/A,FALSE,"Destination";#N/A,#N/A,FALSE,"Consolidation"}</definedName>
    <definedName name="port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p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U" hidden="1">{#N/A,#N/A,FALSE,"Classe";#N/A,#N/A,FALSE,"Destination";#N/A,#N/A,FALSE,"Consolidation"}</definedName>
    <definedName name="qq" hidden="1">{#N/A,#N/A,FALSE,"MOD";#N/A,#N/A,FALSE,"Menuiseries intérieures";#N/A,#N/A,FALSE,"Menuiseries int.";#N/A,#N/A,FALSE,"MOI";#N/A,#N/A,FALSE,"Encadrement";#N/A,#N/A,FALSE,"FO1";#N/A,#N/A,FALSE,"Maitrise";#N/A,#N/A,FALSE,"MOD2"}</definedName>
    <definedName name="QZ" hidden="1">{#N/A,#N/A,FALSE,"Classe";#N/A,#N/A,FALSE,"Destination";#N/A,#N/A,FALSE,"Consolidation"}</definedName>
    <definedName name="RED" hidden="1">{#N/A,#N/A,FALSE,"Classe";#N/A,#N/A,FALSE,"Destination";#N/A,#N/A,FALSE,"Consolidation"}</definedName>
    <definedName name="r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SA" hidden="1">{#N/A,#N/A,FALSE,"Classe";#N/A,#N/A,FALSE,"Destination";#N/A,#N/A,FALSE,"Consolidation"}</definedName>
    <definedName name="SD" hidden="1">{#N/A,#N/A,FALSE,"Classe";#N/A,#N/A,FALSE,"Destination";#N/A,#N/A,FALSE,"Consolidation"}</definedName>
    <definedName name="SQ" hidden="1">{#N/A,#N/A,FALSE,"Classe";#N/A,#N/A,FALSE,"Destination";#N/A,#N/A,FALSE,"Consolidation"}</definedName>
    <definedName name="SS" hidden="1">{#N/A,#N/A,FALSE,"MOD";#N/A,#N/A,FALSE,"Menuiseries intérieures";#N/A,#N/A,FALSE,"Menuiseries int.";#N/A,#N/A,FALSE,"MOI";#N/A,#N/A,FALSE,"Encadrement";#N/A,#N/A,FALSE,"FO1";#N/A,#N/A,FALSE,"Maitrise";#N/A,#N/A,FALSE,"MOD2"}</definedName>
    <definedName name="SZ" hidden="1">{#N/A,#N/A,FALSE,"Classe";#N/A,#N/A,FALSE,"Destination";#N/A,#N/A,FALSE,"Consolidation"}</definedName>
    <definedName name="TP" hidden="1">{#N/A,#N/A,FALSE,"Classe";#N/A,#N/A,FALSE,"Destination";#N/A,#N/A,FALSE,"Consolidation"}</definedName>
    <definedName name="TR" hidden="1">{#N/A,#N/A,FALSE,"Classe";#N/A,#N/A,FALSE,"Destination";#N/A,#N/A,FALSE,"Consolidation"}</definedName>
    <definedName name="TRE" hidden="1">{#N/A,#N/A,FALSE,"Classe";#N/A,#N/A,FALSE,"Destination";#N/A,#N/A,FALSE,"Consolidation"}</definedName>
    <definedName name="TY" hidden="1">{#N/A,#N/A,FALSE,"Classe";#N/A,#N/A,FALSE,"Destination";#N/A,#N/A,FALSE,"Consolidation"}</definedName>
    <definedName name="UA" hidden="1">{#N/A,#N/A,FALSE,"Classe";#N/A,#N/A,FALSE,"Destination";#N/A,#N/A,FALSE,"Consolidation"}</definedName>
    <definedName name="UJ" hidden="1">{#N/A,#N/A,FALSE,"Classe";#N/A,#N/A,FALSE,"Destination";#N/A,#N/A,FALSE,"Consolidation"}</definedName>
    <definedName name="UJY" hidden="1">{#N/A,#N/A,FALSE,"Classe";#N/A,#N/A,FALSE,"Destination";#N/A,#N/A,FALSE,"Consolidation"}</definedName>
    <definedName name="UTUTUTU" hidden="1">{#N/A,#N/A,FALSE,"MOD";#N/A,#N/A,FALSE,"Menuiseries intérieures";#N/A,#N/A,FALSE,"Menuiseries int.";#N/A,#N/A,FALSE,"MOI";#N/A,#N/A,FALSE,"Encadrement";#N/A,#N/A,FALSE,"FO1";#N/A,#N/A,FALSE,"Maitrise";#N/A,#N/A,FALSE,"MOD2"}</definedName>
    <definedName name="utututy" hidden="1">{#N/A,#N/A,FALSE,"MOD";#N/A,#N/A,FALSE,"Menuiseries intérieures";#N/A,#N/A,FALSE,"Menuiseries int.";#N/A,#N/A,FALSE,"MOI";#N/A,#N/A,FALSE,"Encadrement";#N/A,#N/A,FALSE,"FO1";#N/A,#N/A,FALSE,"Maitrise";#N/A,#N/A,FALSE,"MOD2"}</definedName>
    <definedName name="utyt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uu" hidden="1">{#N/A,#N/A,FALSE,"DH";#N/A,#N/A,FALSE,"FFR";#N/A,#N/A,FALSE,"AVDH";#N/A,#N/A,FALSE,"AVFFR";#N/A,#N/A,FALSE,"RevDH";#N/A,#N/A,FALSE,"RevFFR";#N/A,#N/A,FALSE,"Base-App-Dh";#N/A,#N/A,FALSE,"Base-App-FF"}</definedName>
    <definedName name="VC" hidden="1">{#N/A,#N/A,FALSE,"Classe";#N/A,#N/A,FALSE,"Destination";#N/A,#N/A,FALSE,"Consolidation"}</definedName>
    <definedName name="VCD" hidden="1">{#N/A,#N/A,FALSE,"Classe";#N/A,#N/A,FALSE,"Destination";#N/A,#N/A,FALSE,"Consolidation"}</definedName>
    <definedName name="VF" hidden="1">{#N/A,#N/A,FALSE,"Classe";#N/A,#N/A,FALSE,"Destination";#N/A,#N/A,FALSE,"Consolidation"}</definedName>
    <definedName name="VQ" hidden="1">{#N/A,#N/A,FALSE,"Classe";#N/A,#N/A,FALSE,"Destination";#N/A,#N/A,FALSE,"Consolidation"}</definedName>
    <definedName name="VR" hidden="1">{#N/A,#N/A,FALSE,"Classe";#N/A,#N/A,FALSE,"Destination";#N/A,#N/A,FALSE,"Consolidation"}</definedName>
    <definedName name="VV" hidden="1">{#N/A,#N/A,FALSE,"MOD";#N/A,#N/A,FALSE,"Menuiseries intérieures";#N/A,#N/A,FALSE,"Menuiseries int.";#N/A,#N/A,FALSE,"MOI";#N/A,#N/A,FALSE,"Encadrement";#N/A,#N/A,FALSE,"FO1";#N/A,#N/A,FALSE,"Maitrise";#N/A,#N/A,FALSE,"MOD2"}</definedName>
    <definedName name="VX" hidden="1">{#N/A,#N/A,FALSE,"Classe";#N/A,#N/A,FALSE,"Destination";#N/A,#N/A,FALSE,"Consolidation"}</definedName>
    <definedName name="wrn.Avancement.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wrn.CES." hidden="1">{#N/A,#N/A,FALSE,"ETANC";#N/A,#N/A,FALSE,"PLO";#N/A,#N/A,FALSE,"ELEC";#N/A,#N/A,FALSE,"P-int-B";#N/A,#N/A,FALSE,"P-int-Récap";#N/A,#N/A,FALSE,"Rev-sol";#N/A,#N/A,FALSE,"RV-Récap";#N/A,#N/A,FALSE,"FAI-VIT-MEN-P_ext"}</definedName>
    <definedName name="wrn.Etanchéité." hidden="1">{#N/A,#N/A,FALSE,"Etanchéité";#N/A,#N/A,FALSE,"Etanchéité2";#N/A,#N/A,FALSE,"MOI";#N/A,#N/A,FALSE,"Encadrement"}</definedName>
    <definedName name="wrn.Investissement._.Matériel." hidden="1">{#N/A,#N/A,FALSE,"Classe";#N/A,#N/A,FALSE,"Destination";#N/A,#N/A,FALSE,"Consolidation"}</definedName>
    <definedName name="wrn.Menuiserie._.extérieure." hidden="1">{#N/A,#N/A,FALSE,"Menuiserie extérieure";#N/A,#N/A,FALSE,"Menuiserie ext.";#N/A,#N/A,FALSE,"MOI";#N/A,#N/A,FALSE,"Encadrement";#N/A,#N/A,FALSE,"Fournitures"}</definedName>
    <definedName name="wrn.Menuiserie._.intérieure." hidden="1">{#N/A,#N/A,FALSE,"MOD";#N/A,#N/A,FALSE,"Menuiseries intérieures";#N/A,#N/A,FALSE,"Menuiseries int.";#N/A,#N/A,FALSE,"MOI";#N/A,#N/A,FALSE,"Encadrement";#N/A,#N/A,FALSE,"FO1";#N/A,#N/A,FALSE,"Maitrise";#N/A,#N/A,FALSE,"MOD2"}</definedName>
    <definedName name="wrn.METACI." hidden="1">{#N/A,#N/A,FALSE,"R.D. Maroc";#N/A,#N/A,FALSE,"Colle";#N/A,#N/A,FALSE,"Métaci"}</definedName>
    <definedName name="wrn.Situation." hidden="1">{#N/A,#N/A,FALSE,"DH";#N/A,#N/A,FALSE,"FFR";#N/A,#N/A,FALSE,"AVDH";#N/A,#N/A,FALSE,"AVFFR";#N/A,#N/A,FALSE,"RevDH";#N/A,#N/A,FALSE,"RevFFR";#N/A,#N/A,FALSE,"Base-App-Dh";#N/A,#N/A,FALSE,"Base-App-FF"}</definedName>
    <definedName name="wrn.VRD." hidden="1">{#N/A,#N/A,FALSE,"VRD-F-DH";#N/A,#N/A,FALSE,"VRD-F-FF";#N/A,#N/A,FALSE,"VRD-T";#N/A,#N/A,FALSE,"RevVRD-DH";#N/A,#N/A,FALSE,"RevVRD-FF";#N/A,#N/A,FALSE,"Base-App-Dh";#N/A,#N/A,FALSE,"Base-App-FF"}</definedName>
    <definedName name="YT" hidden="1">{#N/A,#N/A,FALSE,"Classe";#N/A,#N/A,FALSE,"Destination";#N/A,#N/A,FALSE,"Consolidation"}</definedName>
    <definedName name="YTR" hidden="1">{#N/A,#N/A,FALSE,"Classe";#N/A,#N/A,FALSE,"Destination";#N/A,#N/A,FALSE,"Consolidation"}</definedName>
    <definedName name="YU" hidden="1">{#N/A,#N/A,FALSE,"Classe";#N/A,#N/A,FALSE,"Destination";#N/A,#N/A,FALSE,"Consolidation"}</definedName>
    <definedName name="YY" hidden="1">{#N/A,#N/A,FALSE,"MOD";#N/A,#N/A,FALSE,"Menuiseries intérieures";#N/A,#N/A,FALSE,"Menuiseries int.";#N/A,#N/A,FALSE,"MOI";#N/A,#N/A,FALSE,"Encadrement";#N/A,#N/A,FALSE,"FO1";#N/A,#N/A,FALSE,"Maitrise";#N/A,#N/A,FALSE,"MOD2"}</definedName>
    <definedName name="ZE" hidden="1">{#N/A,#N/A,FALSE,"Classe";#N/A,#N/A,FALSE,"Destination";#N/A,#N/A,FALSE,"Consolidation"}</definedName>
    <definedName name="ZS" hidden="1">{#N/A,#N/A,FALSE,"Classe";#N/A,#N/A,FALSE,"Destination";#N/A,#N/A,FALSE,"Consolidation"}</definedName>
    <definedName name="ZU" hidden="1">{#N/A,#N/A,FALSE,"Classe";#N/A,#N/A,FALSE,"Destination";#N/A,#N/A,FALSE,"Consolidation"}</definedName>
    <definedName name="ZUY" hidden="1">{#N/A,#N/A,FALSE,"Classe";#N/A,#N/A,FALSE,"Destination";#N/A,#N/A,FALSE,"Consolidation"}</definedName>
    <definedName name="z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2" i="129" l="1"/>
  <c r="I12" i="129"/>
  <c r="J12" i="129"/>
  <c r="O12" i="129"/>
  <c r="P12" i="129"/>
  <c r="P13" i="129"/>
  <c r="E14" i="129"/>
  <c r="F14" i="129"/>
  <c r="G14" i="129"/>
  <c r="I14" i="129"/>
  <c r="J14" i="129"/>
  <c r="O14" i="129"/>
  <c r="P14" i="129"/>
  <c r="P15" i="129"/>
  <c r="E16" i="129"/>
  <c r="F16" i="129"/>
  <c r="G16" i="129"/>
  <c r="I16" i="129"/>
  <c r="J16" i="129"/>
  <c r="O16" i="129"/>
  <c r="P16" i="129"/>
  <c r="P17" i="129"/>
  <c r="E18" i="129"/>
  <c r="F18" i="129"/>
  <c r="G18" i="129"/>
  <c r="I18" i="129"/>
  <c r="J18" i="129"/>
  <c r="O18" i="129"/>
  <c r="P18" i="129"/>
  <c r="P19" i="129"/>
  <c r="E20" i="129"/>
  <c r="F20" i="129"/>
  <c r="G20" i="129"/>
  <c r="I20" i="129"/>
  <c r="J20" i="129"/>
  <c r="O20" i="129"/>
  <c r="P20" i="129"/>
  <c r="P21" i="129"/>
  <c r="E22" i="129"/>
  <c r="F22" i="129"/>
  <c r="G22" i="129"/>
  <c r="I22" i="129"/>
  <c r="J22" i="129"/>
  <c r="O22" i="129"/>
  <c r="P22" i="129"/>
  <c r="P23" i="129"/>
  <c r="E24" i="129"/>
  <c r="F24" i="129"/>
  <c r="G24" i="129"/>
  <c r="I24" i="129"/>
  <c r="J24" i="129"/>
  <c r="O24" i="129"/>
  <c r="P24" i="129"/>
  <c r="P25" i="129"/>
  <c r="E26" i="129"/>
  <c r="F26" i="129"/>
  <c r="G26" i="129"/>
  <c r="I26" i="129"/>
  <c r="J26" i="129"/>
  <c r="O26" i="129"/>
  <c r="P26" i="129"/>
  <c r="P27" i="129"/>
  <c r="E28" i="129"/>
  <c r="F28" i="129"/>
  <c r="G28" i="129"/>
  <c r="I28" i="129"/>
  <c r="J28" i="129"/>
  <c r="O28" i="129"/>
  <c r="P28" i="129"/>
  <c r="P29" i="129"/>
  <c r="E30" i="129"/>
  <c r="F30" i="129"/>
  <c r="G30" i="129"/>
  <c r="I30" i="129"/>
  <c r="J30" i="129"/>
  <c r="O30" i="129"/>
  <c r="P30" i="129"/>
  <c r="P31" i="129"/>
  <c r="E32" i="129"/>
  <c r="F32" i="129"/>
  <c r="G32" i="129"/>
  <c r="I32" i="129"/>
  <c r="J32" i="129"/>
  <c r="O32" i="129"/>
  <c r="P32" i="129"/>
  <c r="P33" i="129"/>
  <c r="E34" i="129"/>
  <c r="F34" i="129"/>
  <c r="G34" i="129"/>
  <c r="I34" i="129"/>
  <c r="J34" i="129"/>
  <c r="O34" i="129"/>
  <c r="P34" i="129"/>
  <c r="P35" i="129"/>
  <c r="E36" i="129"/>
  <c r="F36" i="129"/>
  <c r="G36" i="129"/>
  <c r="I36" i="129"/>
  <c r="J36" i="129"/>
  <c r="O36" i="129"/>
  <c r="P36" i="129"/>
  <c r="P37" i="129"/>
  <c r="E38" i="129"/>
  <c r="F38" i="129"/>
  <c r="G38" i="129"/>
  <c r="I38" i="129"/>
  <c r="J38" i="129"/>
  <c r="O38" i="129"/>
  <c r="P38" i="129"/>
  <c r="P39" i="129"/>
  <c r="E40" i="129"/>
  <c r="F40" i="129"/>
  <c r="G40" i="129"/>
  <c r="I40" i="129"/>
  <c r="J40" i="129"/>
  <c r="O40" i="129"/>
  <c r="P40" i="129"/>
  <c r="P41" i="129"/>
  <c r="E42" i="129"/>
  <c r="F42" i="129"/>
  <c r="G42" i="129"/>
  <c r="I42" i="129"/>
  <c r="J42" i="129"/>
  <c r="O42" i="129"/>
  <c r="P42" i="129"/>
  <c r="P43" i="129"/>
  <c r="E44" i="129"/>
  <c r="F44" i="129"/>
  <c r="G44" i="129"/>
  <c r="I44" i="129"/>
  <c r="J44" i="129"/>
  <c r="O44" i="129"/>
  <c r="P44" i="129"/>
  <c r="P45" i="129"/>
  <c r="E46" i="129"/>
  <c r="F46" i="129"/>
  <c r="G46" i="129"/>
  <c r="I46" i="129"/>
  <c r="J46" i="129"/>
  <c r="O46" i="129"/>
  <c r="P46" i="129"/>
  <c r="P47" i="129"/>
  <c r="E48" i="129"/>
  <c r="F48" i="129"/>
  <c r="G48" i="129"/>
  <c r="I48" i="129"/>
  <c r="J48" i="129"/>
  <c r="O48" i="129"/>
  <c r="P48" i="129"/>
  <c r="P49" i="129"/>
  <c r="E50" i="129"/>
  <c r="F50" i="129"/>
  <c r="G50" i="129"/>
  <c r="I50" i="129"/>
  <c r="J50" i="129"/>
  <c r="O50" i="129"/>
  <c r="P50" i="129"/>
  <c r="P51" i="129"/>
  <c r="E52" i="129"/>
  <c r="F52" i="129"/>
  <c r="G52" i="129"/>
  <c r="I52" i="129"/>
  <c r="J52" i="129"/>
  <c r="O52" i="129"/>
  <c r="P52" i="129"/>
  <c r="P53" i="129"/>
  <c r="E54" i="129"/>
  <c r="F54" i="129"/>
  <c r="G54" i="129"/>
  <c r="I54" i="129"/>
  <c r="J54" i="129"/>
  <c r="O54" i="129"/>
  <c r="P54" i="129"/>
  <c r="P55" i="129"/>
  <c r="E56" i="129"/>
  <c r="F56" i="129"/>
  <c r="G56" i="129"/>
  <c r="I56" i="129"/>
  <c r="J56" i="129"/>
  <c r="O56" i="129"/>
  <c r="P56" i="129"/>
  <c r="P57" i="129"/>
  <c r="E58" i="129"/>
  <c r="F58" i="129"/>
  <c r="G58" i="129"/>
  <c r="I58" i="129"/>
  <c r="J58" i="129"/>
  <c r="O58" i="129"/>
  <c r="P58" i="129"/>
  <c r="P59" i="129"/>
  <c r="E60" i="129"/>
  <c r="F60" i="129"/>
  <c r="G60" i="129"/>
  <c r="I60" i="129"/>
  <c r="J60" i="129"/>
  <c r="O60" i="129"/>
  <c r="P60" i="129"/>
  <c r="P61" i="129"/>
  <c r="E62" i="129"/>
  <c r="F62" i="129"/>
  <c r="G62" i="129"/>
  <c r="I62" i="129"/>
  <c r="J62" i="129"/>
  <c r="O62" i="129"/>
  <c r="P62" i="129"/>
  <c r="P63" i="129"/>
  <c r="E64" i="129"/>
  <c r="F64" i="129"/>
  <c r="G64" i="129"/>
  <c r="I64" i="129"/>
  <c r="J64" i="129"/>
  <c r="O64" i="129"/>
  <c r="P64" i="129"/>
  <c r="P65" i="129"/>
  <c r="P66" i="129"/>
  <c r="P67" i="129"/>
  <c r="G81" i="129"/>
  <c r="J13" i="129"/>
  <c r="J15" i="129"/>
  <c r="J17" i="129"/>
  <c r="J19" i="129"/>
  <c r="J21" i="129"/>
  <c r="J23" i="129"/>
  <c r="J25" i="129"/>
  <c r="J27" i="129"/>
  <c r="J29" i="129"/>
  <c r="J31" i="129"/>
  <c r="J33" i="129"/>
  <c r="J35" i="129"/>
  <c r="J37" i="129"/>
  <c r="J39" i="129"/>
  <c r="J41" i="129"/>
  <c r="J43" i="129"/>
  <c r="J45" i="129"/>
  <c r="J47" i="129"/>
  <c r="J49" i="129"/>
  <c r="J51" i="129"/>
  <c r="J53" i="129"/>
  <c r="J55" i="129"/>
  <c r="J57" i="129"/>
  <c r="J59" i="129"/>
  <c r="J61" i="129"/>
  <c r="J63" i="129"/>
  <c r="J65" i="129"/>
  <c r="J67" i="129"/>
  <c r="J81" i="129"/>
  <c r="O13" i="129"/>
  <c r="O15" i="129"/>
  <c r="O17" i="129"/>
  <c r="O19" i="129"/>
  <c r="O21" i="129"/>
  <c r="O23" i="129"/>
  <c r="O25" i="129"/>
  <c r="O27" i="129"/>
  <c r="O29" i="129"/>
  <c r="O31" i="129"/>
  <c r="O33" i="129"/>
  <c r="O35" i="129"/>
  <c r="O37" i="129"/>
  <c r="O39" i="129"/>
  <c r="O41" i="129"/>
  <c r="O43" i="129"/>
  <c r="O45" i="129"/>
  <c r="O47" i="129"/>
  <c r="O49" i="129"/>
  <c r="O51" i="129"/>
  <c r="O53" i="129"/>
  <c r="O55" i="129"/>
  <c r="O57" i="129"/>
  <c r="O59" i="129"/>
  <c r="O61" i="129"/>
  <c r="O63" i="129"/>
  <c r="O65" i="129"/>
  <c r="O67" i="129"/>
  <c r="G79" i="129"/>
  <c r="J79" i="129"/>
  <c r="K13" i="129"/>
  <c r="K15" i="129"/>
  <c r="K17" i="129"/>
  <c r="K19" i="129"/>
  <c r="K21" i="129"/>
  <c r="K23" i="129"/>
  <c r="K25" i="129"/>
  <c r="K27" i="129"/>
  <c r="K29" i="129"/>
  <c r="K31" i="129"/>
  <c r="K33" i="129"/>
  <c r="K35" i="129"/>
  <c r="K37" i="129"/>
  <c r="K39" i="129"/>
  <c r="K41" i="129"/>
  <c r="K43" i="129"/>
  <c r="K45" i="129"/>
  <c r="K47" i="129"/>
  <c r="K49" i="129"/>
  <c r="K51" i="129"/>
  <c r="K53" i="129"/>
  <c r="K55" i="129"/>
  <c r="K57" i="129"/>
  <c r="K59" i="129"/>
  <c r="K61" i="129"/>
  <c r="K63" i="129"/>
  <c r="K65" i="129"/>
  <c r="K67" i="129"/>
  <c r="G77" i="129"/>
  <c r="J77" i="129"/>
  <c r="E13" i="129"/>
  <c r="E15" i="129"/>
  <c r="E17" i="129"/>
  <c r="E19" i="129"/>
  <c r="E21" i="129"/>
  <c r="E23" i="129"/>
  <c r="E25" i="129"/>
  <c r="E27" i="129"/>
  <c r="E29" i="129"/>
  <c r="E31" i="129"/>
  <c r="E33" i="129"/>
  <c r="E35" i="129"/>
  <c r="E37" i="129"/>
  <c r="E39" i="129"/>
  <c r="E41" i="129"/>
  <c r="E43" i="129"/>
  <c r="E45" i="129"/>
  <c r="E47" i="129"/>
  <c r="E49" i="129"/>
  <c r="E51" i="129"/>
  <c r="E53" i="129"/>
  <c r="E55" i="129"/>
  <c r="E57" i="129"/>
  <c r="E59" i="129"/>
  <c r="E61" i="129"/>
  <c r="E63" i="129"/>
  <c r="E65" i="129"/>
  <c r="E67" i="129"/>
  <c r="G75" i="129"/>
  <c r="M7" i="129"/>
  <c r="G73" i="129"/>
  <c r="J75" i="129"/>
  <c r="E69" i="129"/>
  <c r="F69" i="129"/>
  <c r="K68" i="129"/>
  <c r="E68" i="129"/>
  <c r="N12" i="129"/>
  <c r="V12" i="129"/>
  <c r="V13" i="129"/>
  <c r="N14" i="129"/>
  <c r="V14" i="129"/>
  <c r="V15" i="129"/>
  <c r="N16" i="129"/>
  <c r="V16" i="129"/>
  <c r="V17" i="129"/>
  <c r="N18" i="129"/>
  <c r="V18" i="129"/>
  <c r="V19" i="129"/>
  <c r="N20" i="129"/>
  <c r="V20" i="129"/>
  <c r="V21" i="129"/>
  <c r="N22" i="129"/>
  <c r="V22" i="129"/>
  <c r="V23" i="129"/>
  <c r="N24" i="129"/>
  <c r="V24" i="129"/>
  <c r="V25" i="129"/>
  <c r="N26" i="129"/>
  <c r="V26" i="129"/>
  <c r="V27" i="129"/>
  <c r="N28" i="129"/>
  <c r="V28" i="129"/>
  <c r="V29" i="129"/>
  <c r="N30" i="129"/>
  <c r="V30" i="129"/>
  <c r="V31" i="129"/>
  <c r="N32" i="129"/>
  <c r="V32" i="129"/>
  <c r="V33" i="129"/>
  <c r="N34" i="129"/>
  <c r="V34" i="129"/>
  <c r="V35" i="129"/>
  <c r="N36" i="129"/>
  <c r="V36" i="129"/>
  <c r="V37" i="129"/>
  <c r="N38" i="129"/>
  <c r="V38" i="129"/>
  <c r="V39" i="129"/>
  <c r="N40" i="129"/>
  <c r="V40" i="129"/>
  <c r="V41" i="129"/>
  <c r="N42" i="129"/>
  <c r="V42" i="129"/>
  <c r="V43" i="129"/>
  <c r="N44" i="129"/>
  <c r="V44" i="129"/>
  <c r="V45" i="129"/>
  <c r="N46" i="129"/>
  <c r="V46" i="129"/>
  <c r="V47" i="129"/>
  <c r="N48" i="129"/>
  <c r="V48" i="129"/>
  <c r="V49" i="129"/>
  <c r="N50" i="129"/>
  <c r="V50" i="129"/>
  <c r="V51" i="129"/>
  <c r="N52" i="129"/>
  <c r="V52" i="129"/>
  <c r="V53" i="129"/>
  <c r="N54" i="129"/>
  <c r="V54" i="129"/>
  <c r="V55" i="129"/>
  <c r="N56" i="129"/>
  <c r="V56" i="129"/>
  <c r="V57" i="129"/>
  <c r="N58" i="129"/>
  <c r="V58" i="129"/>
  <c r="V59" i="129"/>
  <c r="N60" i="129"/>
  <c r="V60" i="129"/>
  <c r="V61" i="129"/>
  <c r="N62" i="129"/>
  <c r="V62" i="129"/>
  <c r="V63" i="129"/>
  <c r="N64" i="129"/>
  <c r="V64" i="129"/>
  <c r="V65" i="129"/>
  <c r="V67" i="129"/>
  <c r="U12" i="129"/>
  <c r="U13" i="129"/>
  <c r="U14" i="129"/>
  <c r="U15" i="129"/>
  <c r="U16" i="129"/>
  <c r="U17" i="129"/>
  <c r="U18" i="129"/>
  <c r="U19" i="129"/>
  <c r="U20" i="129"/>
  <c r="U21" i="129"/>
  <c r="U22" i="129"/>
  <c r="U23" i="129"/>
  <c r="U24" i="129"/>
  <c r="U25" i="129"/>
  <c r="U26" i="129"/>
  <c r="U27" i="129"/>
  <c r="U28" i="129"/>
  <c r="U29" i="129"/>
  <c r="U30" i="129"/>
  <c r="U31" i="129"/>
  <c r="U32" i="129"/>
  <c r="U33" i="129"/>
  <c r="U34" i="129"/>
  <c r="U35" i="129"/>
  <c r="U36" i="129"/>
  <c r="U37" i="129"/>
  <c r="U38" i="129"/>
  <c r="U39" i="129"/>
  <c r="U40" i="129"/>
  <c r="U41" i="129"/>
  <c r="U42" i="129"/>
  <c r="U43" i="129"/>
  <c r="U44" i="129"/>
  <c r="U45" i="129"/>
  <c r="U46" i="129"/>
  <c r="U47" i="129"/>
  <c r="U48" i="129"/>
  <c r="U49" i="129"/>
  <c r="U50" i="129"/>
  <c r="U51" i="129"/>
  <c r="U52" i="129"/>
  <c r="U53" i="129"/>
  <c r="U54" i="129"/>
  <c r="U55" i="129"/>
  <c r="U56" i="129"/>
  <c r="U57" i="129"/>
  <c r="U58" i="129"/>
  <c r="U59" i="129"/>
  <c r="U60" i="129"/>
  <c r="U61" i="129"/>
  <c r="U62" i="129"/>
  <c r="U63" i="129"/>
  <c r="U64" i="129"/>
  <c r="U65" i="129"/>
  <c r="U67" i="129"/>
  <c r="T12" i="129"/>
  <c r="T13" i="129"/>
  <c r="T14" i="129"/>
  <c r="T15" i="129"/>
  <c r="T16" i="129"/>
  <c r="T17" i="129"/>
  <c r="T18" i="129"/>
  <c r="T19" i="129"/>
  <c r="T20" i="129"/>
  <c r="T21" i="129"/>
  <c r="T22" i="129"/>
  <c r="T23" i="129"/>
  <c r="T24" i="129"/>
  <c r="T25" i="129"/>
  <c r="T26" i="129"/>
  <c r="T27" i="129"/>
  <c r="T28" i="129"/>
  <c r="T29" i="129"/>
  <c r="T30" i="129"/>
  <c r="T31" i="129"/>
  <c r="T32" i="129"/>
  <c r="T33" i="129"/>
  <c r="T34" i="129"/>
  <c r="T35" i="129"/>
  <c r="T36" i="129"/>
  <c r="T37" i="129"/>
  <c r="T38" i="129"/>
  <c r="T39" i="129"/>
  <c r="T40" i="129"/>
  <c r="T41" i="129"/>
  <c r="T42" i="129"/>
  <c r="T43" i="129"/>
  <c r="T44" i="129"/>
  <c r="T45" i="129"/>
  <c r="T46" i="129"/>
  <c r="T47" i="129"/>
  <c r="T48" i="129"/>
  <c r="T49" i="129"/>
  <c r="T50" i="129"/>
  <c r="T51" i="129"/>
  <c r="T52" i="129"/>
  <c r="T53" i="129"/>
  <c r="T54" i="129"/>
  <c r="T55" i="129"/>
  <c r="T56" i="129"/>
  <c r="T57" i="129"/>
  <c r="T58" i="129"/>
  <c r="T59" i="129"/>
  <c r="T60" i="129"/>
  <c r="T61" i="129"/>
  <c r="T62" i="129"/>
  <c r="T63" i="129"/>
  <c r="T64" i="129"/>
  <c r="T65" i="129"/>
  <c r="T67" i="129"/>
  <c r="S12" i="129"/>
  <c r="S13" i="129"/>
  <c r="S14" i="129"/>
  <c r="S15" i="129"/>
  <c r="S16" i="129"/>
  <c r="S17" i="129"/>
  <c r="S18" i="129"/>
  <c r="S19" i="129"/>
  <c r="S20" i="129"/>
  <c r="S21" i="129"/>
  <c r="S22" i="129"/>
  <c r="S23" i="129"/>
  <c r="S24" i="129"/>
  <c r="S25" i="129"/>
  <c r="S26" i="129"/>
  <c r="S27" i="129"/>
  <c r="S28" i="129"/>
  <c r="S29" i="129"/>
  <c r="S30" i="129"/>
  <c r="S31" i="129"/>
  <c r="S32" i="129"/>
  <c r="S33" i="129"/>
  <c r="S34" i="129"/>
  <c r="S35" i="129"/>
  <c r="S36" i="129"/>
  <c r="S37" i="129"/>
  <c r="S38" i="129"/>
  <c r="S39" i="129"/>
  <c r="S40" i="129"/>
  <c r="S41" i="129"/>
  <c r="S42" i="129"/>
  <c r="S43" i="129"/>
  <c r="S44" i="129"/>
  <c r="S45" i="129"/>
  <c r="S46" i="129"/>
  <c r="S47" i="129"/>
  <c r="S48" i="129"/>
  <c r="S49" i="129"/>
  <c r="S50" i="129"/>
  <c r="S51" i="129"/>
  <c r="S52" i="129"/>
  <c r="S53" i="129"/>
  <c r="S54" i="129"/>
  <c r="S55" i="129"/>
  <c r="S56" i="129"/>
  <c r="S57" i="129"/>
  <c r="S58" i="129"/>
  <c r="S59" i="129"/>
  <c r="S60" i="129"/>
  <c r="S61" i="129"/>
  <c r="S62" i="129"/>
  <c r="S63" i="129"/>
  <c r="S64" i="129"/>
  <c r="S65" i="129"/>
  <c r="S67" i="129"/>
  <c r="R12" i="129"/>
  <c r="R13" i="129"/>
  <c r="R14" i="129"/>
  <c r="R15" i="129"/>
  <c r="R16" i="129"/>
  <c r="R17" i="129"/>
  <c r="R18" i="129"/>
  <c r="R19" i="129"/>
  <c r="R20" i="129"/>
  <c r="R21" i="129"/>
  <c r="R22" i="129"/>
  <c r="R23" i="129"/>
  <c r="R24" i="129"/>
  <c r="R25" i="129"/>
  <c r="R26" i="129"/>
  <c r="R27" i="129"/>
  <c r="R28" i="129"/>
  <c r="R29" i="129"/>
  <c r="R30" i="129"/>
  <c r="R31" i="129"/>
  <c r="R32" i="129"/>
  <c r="R33" i="129"/>
  <c r="R34" i="129"/>
  <c r="R35" i="129"/>
  <c r="R36" i="129"/>
  <c r="R37" i="129"/>
  <c r="R38" i="129"/>
  <c r="R39" i="129"/>
  <c r="R40" i="129"/>
  <c r="R41" i="129"/>
  <c r="R42" i="129"/>
  <c r="R43" i="129"/>
  <c r="R44" i="129"/>
  <c r="R45" i="129"/>
  <c r="R46" i="129"/>
  <c r="R47" i="129"/>
  <c r="R48" i="129"/>
  <c r="R49" i="129"/>
  <c r="R50" i="129"/>
  <c r="R51" i="129"/>
  <c r="R52" i="129"/>
  <c r="R53" i="129"/>
  <c r="R54" i="129"/>
  <c r="R55" i="129"/>
  <c r="R56" i="129"/>
  <c r="R57" i="129"/>
  <c r="R58" i="129"/>
  <c r="R59" i="129"/>
  <c r="R60" i="129"/>
  <c r="R61" i="129"/>
  <c r="R62" i="129"/>
  <c r="R63" i="129"/>
  <c r="R64" i="129"/>
  <c r="R65" i="129"/>
  <c r="R67" i="129"/>
  <c r="I13" i="129"/>
  <c r="I15" i="129"/>
  <c r="I17" i="129"/>
  <c r="I19" i="129"/>
  <c r="I21" i="129"/>
  <c r="I23" i="129"/>
  <c r="I25" i="129"/>
  <c r="I27" i="129"/>
  <c r="I29" i="129"/>
  <c r="I31" i="129"/>
  <c r="I33" i="129"/>
  <c r="I35" i="129"/>
  <c r="I37" i="129"/>
  <c r="I39" i="129"/>
  <c r="I41" i="129"/>
  <c r="I43" i="129"/>
  <c r="I45" i="129"/>
  <c r="I47" i="129"/>
  <c r="I49" i="129"/>
  <c r="I51" i="129"/>
  <c r="I53" i="129"/>
  <c r="I55" i="129"/>
  <c r="I57" i="129"/>
  <c r="I59" i="129"/>
  <c r="I61" i="129"/>
  <c r="I63" i="129"/>
  <c r="I65" i="129"/>
  <c r="I67" i="129"/>
  <c r="H13" i="129"/>
  <c r="H15" i="129"/>
  <c r="H17" i="129"/>
  <c r="H19" i="129"/>
  <c r="H21" i="129"/>
  <c r="H23" i="129"/>
  <c r="H25" i="129"/>
  <c r="H27" i="129"/>
  <c r="H29" i="129"/>
  <c r="H31" i="129"/>
  <c r="H33" i="129"/>
  <c r="H35" i="129"/>
  <c r="H37" i="129"/>
  <c r="H39" i="129"/>
  <c r="H41" i="129"/>
  <c r="H43" i="129"/>
  <c r="H45" i="129"/>
  <c r="H47" i="129"/>
  <c r="H49" i="129"/>
  <c r="H51" i="129"/>
  <c r="H53" i="129"/>
  <c r="H55" i="129"/>
  <c r="H57" i="129"/>
  <c r="H59" i="129"/>
  <c r="H61" i="129"/>
  <c r="H63" i="129"/>
  <c r="H65" i="129"/>
  <c r="H67" i="129"/>
  <c r="G13" i="129"/>
  <c r="G15" i="129"/>
  <c r="G17" i="129"/>
  <c r="G19" i="129"/>
  <c r="G21" i="129"/>
  <c r="G23" i="129"/>
  <c r="G25" i="129"/>
  <c r="G27" i="129"/>
  <c r="G29" i="129"/>
  <c r="G31" i="129"/>
  <c r="G33" i="129"/>
  <c r="G35" i="129"/>
  <c r="G37" i="129"/>
  <c r="G39" i="129"/>
  <c r="G41" i="129"/>
  <c r="G43" i="129"/>
  <c r="G45" i="129"/>
  <c r="G47" i="129"/>
  <c r="G49" i="129"/>
  <c r="G51" i="129"/>
  <c r="G53" i="129"/>
  <c r="G55" i="129"/>
  <c r="G57" i="129"/>
  <c r="G59" i="129"/>
  <c r="G61" i="129"/>
  <c r="G63" i="129"/>
  <c r="G65" i="129"/>
  <c r="G67" i="129"/>
  <c r="F13" i="129"/>
  <c r="F15" i="129"/>
  <c r="F17" i="129"/>
  <c r="F19" i="129"/>
  <c r="F21" i="129"/>
  <c r="F23" i="129"/>
  <c r="F25" i="129"/>
  <c r="F27" i="129"/>
  <c r="F29" i="129"/>
  <c r="F31" i="129"/>
  <c r="F33" i="129"/>
  <c r="F35" i="129"/>
  <c r="F37" i="129"/>
  <c r="F39" i="129"/>
  <c r="F41" i="129"/>
  <c r="F43" i="129"/>
  <c r="F45" i="129"/>
  <c r="F47" i="129"/>
  <c r="F49" i="129"/>
  <c r="F51" i="129"/>
  <c r="F53" i="129"/>
  <c r="F55" i="129"/>
  <c r="F57" i="129"/>
  <c r="F59" i="129"/>
  <c r="F61" i="129"/>
  <c r="F63" i="129"/>
  <c r="F65" i="129"/>
  <c r="F67" i="129"/>
  <c r="M8" i="129"/>
  <c r="E12" i="128"/>
  <c r="I12" i="128"/>
  <c r="J12" i="128"/>
  <c r="O12" i="128"/>
  <c r="P12" i="128"/>
  <c r="P13" i="128"/>
  <c r="E14" i="128"/>
  <c r="F14" i="128"/>
  <c r="G14" i="128"/>
  <c r="I14" i="128"/>
  <c r="J14" i="128"/>
  <c r="O14" i="128"/>
  <c r="P14" i="128"/>
  <c r="P15" i="128"/>
  <c r="E16" i="128"/>
  <c r="F16" i="128"/>
  <c r="G16" i="128"/>
  <c r="I16" i="128"/>
  <c r="J16" i="128"/>
  <c r="O16" i="128"/>
  <c r="P16" i="128"/>
  <c r="P17" i="128"/>
  <c r="E18" i="128"/>
  <c r="F18" i="128"/>
  <c r="G18" i="128"/>
  <c r="I18" i="128"/>
  <c r="J18" i="128"/>
  <c r="O18" i="128"/>
  <c r="P18" i="128"/>
  <c r="P19" i="128"/>
  <c r="E20" i="128"/>
  <c r="F20" i="128"/>
  <c r="G20" i="128"/>
  <c r="I20" i="128"/>
  <c r="J20" i="128"/>
  <c r="O20" i="128"/>
  <c r="P20" i="128"/>
  <c r="P21" i="128"/>
  <c r="E22" i="128"/>
  <c r="F22" i="128"/>
  <c r="G22" i="128"/>
  <c r="I22" i="128"/>
  <c r="J22" i="128"/>
  <c r="O22" i="128"/>
  <c r="P22" i="128"/>
  <c r="P23" i="128"/>
  <c r="E24" i="128"/>
  <c r="F24" i="128"/>
  <c r="G24" i="128"/>
  <c r="I24" i="128"/>
  <c r="J24" i="128"/>
  <c r="O24" i="128"/>
  <c r="P24" i="128"/>
  <c r="P25" i="128"/>
  <c r="E26" i="128"/>
  <c r="F26" i="128"/>
  <c r="G26" i="128"/>
  <c r="I26" i="128"/>
  <c r="J26" i="128"/>
  <c r="O26" i="128"/>
  <c r="P26" i="128"/>
  <c r="P27" i="128"/>
  <c r="E28" i="128"/>
  <c r="F28" i="128"/>
  <c r="G28" i="128"/>
  <c r="I28" i="128"/>
  <c r="J28" i="128"/>
  <c r="O28" i="128"/>
  <c r="P28" i="128"/>
  <c r="P29" i="128"/>
  <c r="E30" i="128"/>
  <c r="F30" i="128"/>
  <c r="G30" i="128"/>
  <c r="I30" i="128"/>
  <c r="J30" i="128"/>
  <c r="O30" i="128"/>
  <c r="P30" i="128"/>
  <c r="P31" i="128"/>
  <c r="E32" i="128"/>
  <c r="F32" i="128"/>
  <c r="G32" i="128"/>
  <c r="I32" i="128"/>
  <c r="J32" i="128"/>
  <c r="O32" i="128"/>
  <c r="P32" i="128"/>
  <c r="P33" i="128"/>
  <c r="E34" i="128"/>
  <c r="F34" i="128"/>
  <c r="G34" i="128"/>
  <c r="I34" i="128"/>
  <c r="J34" i="128"/>
  <c r="O34" i="128"/>
  <c r="P34" i="128"/>
  <c r="P35" i="128"/>
  <c r="E36" i="128"/>
  <c r="F36" i="128"/>
  <c r="G36" i="128"/>
  <c r="I36" i="128"/>
  <c r="J36" i="128"/>
  <c r="O36" i="128"/>
  <c r="P36" i="128"/>
  <c r="P37" i="128"/>
  <c r="E38" i="128"/>
  <c r="F38" i="128"/>
  <c r="G38" i="128"/>
  <c r="I38" i="128"/>
  <c r="J38" i="128"/>
  <c r="O38" i="128"/>
  <c r="P38" i="128"/>
  <c r="P39" i="128"/>
  <c r="E40" i="128"/>
  <c r="F40" i="128"/>
  <c r="G40" i="128"/>
  <c r="I40" i="128"/>
  <c r="J40" i="128"/>
  <c r="O40" i="128"/>
  <c r="P40" i="128"/>
  <c r="P41" i="128"/>
  <c r="E42" i="128"/>
  <c r="F42" i="128"/>
  <c r="G42" i="128"/>
  <c r="I42" i="128"/>
  <c r="J42" i="128"/>
  <c r="O42" i="128"/>
  <c r="P42" i="128"/>
  <c r="P43" i="128"/>
  <c r="E44" i="128"/>
  <c r="F44" i="128"/>
  <c r="G44" i="128"/>
  <c r="I44" i="128"/>
  <c r="J44" i="128"/>
  <c r="O44" i="128"/>
  <c r="P44" i="128"/>
  <c r="P45" i="128"/>
  <c r="E46" i="128"/>
  <c r="F46" i="128"/>
  <c r="G46" i="128"/>
  <c r="I46" i="128"/>
  <c r="J46" i="128"/>
  <c r="O46" i="128"/>
  <c r="P46" i="128"/>
  <c r="P47" i="128"/>
  <c r="E48" i="128"/>
  <c r="F48" i="128"/>
  <c r="G48" i="128"/>
  <c r="I48" i="128"/>
  <c r="J48" i="128"/>
  <c r="O48" i="128"/>
  <c r="P48" i="128"/>
  <c r="P49" i="128"/>
  <c r="E50" i="128"/>
  <c r="F50" i="128"/>
  <c r="G50" i="128"/>
  <c r="I50" i="128"/>
  <c r="J50" i="128"/>
  <c r="O50" i="128"/>
  <c r="P50" i="128"/>
  <c r="P51" i="128"/>
  <c r="E52" i="128"/>
  <c r="F52" i="128"/>
  <c r="G52" i="128"/>
  <c r="I52" i="128"/>
  <c r="J52" i="128"/>
  <c r="O52" i="128"/>
  <c r="P52" i="128"/>
  <c r="P53" i="128"/>
  <c r="E54" i="128"/>
  <c r="F54" i="128"/>
  <c r="G54" i="128"/>
  <c r="I54" i="128"/>
  <c r="J54" i="128"/>
  <c r="O54" i="128"/>
  <c r="P54" i="128"/>
  <c r="P55" i="128"/>
  <c r="E56" i="128"/>
  <c r="F56" i="128"/>
  <c r="G56" i="128"/>
  <c r="I56" i="128"/>
  <c r="J56" i="128"/>
  <c r="O56" i="128"/>
  <c r="P56" i="128"/>
  <c r="P57" i="128"/>
  <c r="E58" i="128"/>
  <c r="F58" i="128"/>
  <c r="G58" i="128"/>
  <c r="I58" i="128"/>
  <c r="J58" i="128"/>
  <c r="O58" i="128"/>
  <c r="P58" i="128"/>
  <c r="P59" i="128"/>
  <c r="E60" i="128"/>
  <c r="F60" i="128"/>
  <c r="G60" i="128"/>
  <c r="I60" i="128"/>
  <c r="J60" i="128"/>
  <c r="O60" i="128"/>
  <c r="P60" i="128"/>
  <c r="P61" i="128"/>
  <c r="E62" i="128"/>
  <c r="F62" i="128"/>
  <c r="G62" i="128"/>
  <c r="I62" i="128"/>
  <c r="J62" i="128"/>
  <c r="O62" i="128"/>
  <c r="P62" i="128"/>
  <c r="P63" i="128"/>
  <c r="E64" i="128"/>
  <c r="F64" i="128"/>
  <c r="G64" i="128"/>
  <c r="I64" i="128"/>
  <c r="J64" i="128"/>
  <c r="O64" i="128"/>
  <c r="P64" i="128"/>
  <c r="P65" i="128"/>
  <c r="E66" i="128"/>
  <c r="F66" i="128"/>
  <c r="G66" i="128"/>
  <c r="I66" i="128"/>
  <c r="J66" i="128"/>
  <c r="O66" i="128"/>
  <c r="P66" i="128"/>
  <c r="P67" i="128"/>
  <c r="E68" i="128"/>
  <c r="F68" i="128"/>
  <c r="G68" i="128"/>
  <c r="I68" i="128"/>
  <c r="J68" i="128"/>
  <c r="O68" i="128"/>
  <c r="P68" i="128"/>
  <c r="P69" i="128"/>
  <c r="E70" i="128"/>
  <c r="F70" i="128"/>
  <c r="G70" i="128"/>
  <c r="I70" i="128"/>
  <c r="J70" i="128"/>
  <c r="O70" i="128"/>
  <c r="P70" i="128"/>
  <c r="P71" i="128"/>
  <c r="E72" i="128"/>
  <c r="F72" i="128"/>
  <c r="G72" i="128"/>
  <c r="I72" i="128"/>
  <c r="J72" i="128"/>
  <c r="O72" i="128"/>
  <c r="P72" i="128"/>
  <c r="P73" i="128"/>
  <c r="E74" i="128"/>
  <c r="F74" i="128"/>
  <c r="G74" i="128"/>
  <c r="I74" i="128"/>
  <c r="J74" i="128"/>
  <c r="O74" i="128"/>
  <c r="P74" i="128"/>
  <c r="P75" i="128"/>
  <c r="E76" i="128"/>
  <c r="F76" i="128"/>
  <c r="G76" i="128"/>
  <c r="I76" i="128"/>
  <c r="J76" i="128"/>
  <c r="O76" i="128"/>
  <c r="P76" i="128"/>
  <c r="P77" i="128"/>
  <c r="F78" i="128"/>
  <c r="G78" i="128"/>
  <c r="I78" i="128"/>
  <c r="J78" i="128"/>
  <c r="O78" i="128"/>
  <c r="P78" i="128"/>
  <c r="P79" i="128"/>
  <c r="F80" i="128"/>
  <c r="G80" i="128"/>
  <c r="I80" i="128"/>
  <c r="J80" i="128"/>
  <c r="O80" i="128"/>
  <c r="P80" i="128"/>
  <c r="P81" i="128"/>
  <c r="P82" i="128"/>
  <c r="P83" i="128"/>
  <c r="G97" i="128"/>
  <c r="J13" i="128"/>
  <c r="J15" i="128"/>
  <c r="J17" i="128"/>
  <c r="J19" i="128"/>
  <c r="J21" i="128"/>
  <c r="J23" i="128"/>
  <c r="J25" i="128"/>
  <c r="J27" i="128"/>
  <c r="J29" i="128"/>
  <c r="J31" i="128"/>
  <c r="J33" i="128"/>
  <c r="J35" i="128"/>
  <c r="J37" i="128"/>
  <c r="J39" i="128"/>
  <c r="J41" i="128"/>
  <c r="J43" i="128"/>
  <c r="J45" i="128"/>
  <c r="J47" i="128"/>
  <c r="J49" i="128"/>
  <c r="J51" i="128"/>
  <c r="J53" i="128"/>
  <c r="J55" i="128"/>
  <c r="J57" i="128"/>
  <c r="J59" i="128"/>
  <c r="J61" i="128"/>
  <c r="J63" i="128"/>
  <c r="J65" i="128"/>
  <c r="J67" i="128"/>
  <c r="J69" i="128"/>
  <c r="J71" i="128"/>
  <c r="J73" i="128"/>
  <c r="J75" i="128"/>
  <c r="J77" i="128"/>
  <c r="J79" i="128"/>
  <c r="J81" i="128"/>
  <c r="J83" i="128"/>
  <c r="J97" i="128"/>
  <c r="O13" i="128"/>
  <c r="O15" i="128"/>
  <c r="O17" i="128"/>
  <c r="O19" i="128"/>
  <c r="O21" i="128"/>
  <c r="O23" i="128"/>
  <c r="O25" i="128"/>
  <c r="O27" i="128"/>
  <c r="O29" i="128"/>
  <c r="O31" i="128"/>
  <c r="O33" i="128"/>
  <c r="O35" i="128"/>
  <c r="O37" i="128"/>
  <c r="O39" i="128"/>
  <c r="O41" i="128"/>
  <c r="O43" i="128"/>
  <c r="O45" i="128"/>
  <c r="O47" i="128"/>
  <c r="O49" i="128"/>
  <c r="O51" i="128"/>
  <c r="O53" i="128"/>
  <c r="O55" i="128"/>
  <c r="O57" i="128"/>
  <c r="O59" i="128"/>
  <c r="O61" i="128"/>
  <c r="O63" i="128"/>
  <c r="O65" i="128"/>
  <c r="O67" i="128"/>
  <c r="O69" i="128"/>
  <c r="O71" i="128"/>
  <c r="O73" i="128"/>
  <c r="O75" i="128"/>
  <c r="O77" i="128"/>
  <c r="O79" i="128"/>
  <c r="O81" i="128"/>
  <c r="O83" i="128"/>
  <c r="G95" i="128"/>
  <c r="J95" i="128"/>
  <c r="K13" i="128"/>
  <c r="K15" i="128"/>
  <c r="K17" i="128"/>
  <c r="K19" i="128"/>
  <c r="K21" i="128"/>
  <c r="K23" i="128"/>
  <c r="K25" i="128"/>
  <c r="K27" i="128"/>
  <c r="K29" i="128"/>
  <c r="K31" i="128"/>
  <c r="K33" i="128"/>
  <c r="K35" i="128"/>
  <c r="K37" i="128"/>
  <c r="K39" i="128"/>
  <c r="K41" i="128"/>
  <c r="K43" i="128"/>
  <c r="K45" i="128"/>
  <c r="K47" i="128"/>
  <c r="K49" i="128"/>
  <c r="K51" i="128"/>
  <c r="K53" i="128"/>
  <c r="K55" i="128"/>
  <c r="K57" i="128"/>
  <c r="K59" i="128"/>
  <c r="K61" i="128"/>
  <c r="K63" i="128"/>
  <c r="K65" i="128"/>
  <c r="K67" i="128"/>
  <c r="K69" i="128"/>
  <c r="K71" i="128"/>
  <c r="K73" i="128"/>
  <c r="K75" i="128"/>
  <c r="K77" i="128"/>
  <c r="K79" i="128"/>
  <c r="K81" i="128"/>
  <c r="K83" i="128"/>
  <c r="G93" i="128"/>
  <c r="J93" i="128"/>
  <c r="E13" i="128"/>
  <c r="E15" i="128"/>
  <c r="E17" i="128"/>
  <c r="E19" i="128"/>
  <c r="E21" i="128"/>
  <c r="E23" i="128"/>
  <c r="E25" i="128"/>
  <c r="E27" i="128"/>
  <c r="E29" i="128"/>
  <c r="E31" i="128"/>
  <c r="E33" i="128"/>
  <c r="E35" i="128"/>
  <c r="E37" i="128"/>
  <c r="E39" i="128"/>
  <c r="E41" i="128"/>
  <c r="E43" i="128"/>
  <c r="E45" i="128"/>
  <c r="E47" i="128"/>
  <c r="E49" i="128"/>
  <c r="E51" i="128"/>
  <c r="E53" i="128"/>
  <c r="E55" i="128"/>
  <c r="E57" i="128"/>
  <c r="E59" i="128"/>
  <c r="E61" i="128"/>
  <c r="E63" i="128"/>
  <c r="E65" i="128"/>
  <c r="E67" i="128"/>
  <c r="E69" i="128"/>
  <c r="E71" i="128"/>
  <c r="E73" i="128"/>
  <c r="E75" i="128"/>
  <c r="E77" i="128"/>
  <c r="E79" i="128"/>
  <c r="E81" i="128"/>
  <c r="E83" i="128"/>
  <c r="G91" i="128"/>
  <c r="M7" i="128"/>
  <c r="G89" i="128"/>
  <c r="J91" i="128"/>
  <c r="E85" i="128"/>
  <c r="F85" i="128"/>
  <c r="K84" i="128"/>
  <c r="E84" i="128"/>
  <c r="N12" i="128"/>
  <c r="V12" i="128"/>
  <c r="V13" i="128"/>
  <c r="N14" i="128"/>
  <c r="V14" i="128"/>
  <c r="V15" i="128"/>
  <c r="N16" i="128"/>
  <c r="V16" i="128"/>
  <c r="V17" i="128"/>
  <c r="N18" i="128"/>
  <c r="V18" i="128"/>
  <c r="V19" i="128"/>
  <c r="N20" i="128"/>
  <c r="V20" i="128"/>
  <c r="V21" i="128"/>
  <c r="N22" i="128"/>
  <c r="V22" i="128"/>
  <c r="V23" i="128"/>
  <c r="N24" i="128"/>
  <c r="V24" i="128"/>
  <c r="V25" i="128"/>
  <c r="N26" i="128"/>
  <c r="V26" i="128"/>
  <c r="V27" i="128"/>
  <c r="N28" i="128"/>
  <c r="V28" i="128"/>
  <c r="V29" i="128"/>
  <c r="N30" i="128"/>
  <c r="V30" i="128"/>
  <c r="V31" i="128"/>
  <c r="N32" i="128"/>
  <c r="V32" i="128"/>
  <c r="V33" i="128"/>
  <c r="N34" i="128"/>
  <c r="V34" i="128"/>
  <c r="V35" i="128"/>
  <c r="N36" i="128"/>
  <c r="V36" i="128"/>
  <c r="V37" i="128"/>
  <c r="N38" i="128"/>
  <c r="V38" i="128"/>
  <c r="V39" i="128"/>
  <c r="N40" i="128"/>
  <c r="V40" i="128"/>
  <c r="V41" i="128"/>
  <c r="N42" i="128"/>
  <c r="V42" i="128"/>
  <c r="V43" i="128"/>
  <c r="N44" i="128"/>
  <c r="V44" i="128"/>
  <c r="V45" i="128"/>
  <c r="N46" i="128"/>
  <c r="V46" i="128"/>
  <c r="V47" i="128"/>
  <c r="N48" i="128"/>
  <c r="V48" i="128"/>
  <c r="V49" i="128"/>
  <c r="N50" i="128"/>
  <c r="V50" i="128"/>
  <c r="V51" i="128"/>
  <c r="N52" i="128"/>
  <c r="V52" i="128"/>
  <c r="V53" i="128"/>
  <c r="N54" i="128"/>
  <c r="V54" i="128"/>
  <c r="V55" i="128"/>
  <c r="N56" i="128"/>
  <c r="V56" i="128"/>
  <c r="V57" i="128"/>
  <c r="N58" i="128"/>
  <c r="V58" i="128"/>
  <c r="V59" i="128"/>
  <c r="N60" i="128"/>
  <c r="V60" i="128"/>
  <c r="V61" i="128"/>
  <c r="N62" i="128"/>
  <c r="V62" i="128"/>
  <c r="V63" i="128"/>
  <c r="N64" i="128"/>
  <c r="V64" i="128"/>
  <c r="V65" i="128"/>
  <c r="N66" i="128"/>
  <c r="V66" i="128"/>
  <c r="V67" i="128"/>
  <c r="N68" i="128"/>
  <c r="V68" i="128"/>
  <c r="V69" i="128"/>
  <c r="N70" i="128"/>
  <c r="V70" i="128"/>
  <c r="V71" i="128"/>
  <c r="N72" i="128"/>
  <c r="V72" i="128"/>
  <c r="V73" i="128"/>
  <c r="N74" i="128"/>
  <c r="V74" i="128"/>
  <c r="V75" i="128"/>
  <c r="N76" i="128"/>
  <c r="V76" i="128"/>
  <c r="V77" i="128"/>
  <c r="N78" i="128"/>
  <c r="V78" i="128"/>
  <c r="V79" i="128"/>
  <c r="N80" i="128"/>
  <c r="V80" i="128"/>
  <c r="V81" i="128"/>
  <c r="V83" i="128"/>
  <c r="U12" i="128"/>
  <c r="U13" i="128"/>
  <c r="U14" i="128"/>
  <c r="U15" i="128"/>
  <c r="U16" i="128"/>
  <c r="U17" i="128"/>
  <c r="U18" i="128"/>
  <c r="U19" i="128"/>
  <c r="U20" i="128"/>
  <c r="U21" i="128"/>
  <c r="U22" i="128"/>
  <c r="U23" i="128"/>
  <c r="U24" i="128"/>
  <c r="U25" i="128"/>
  <c r="U26" i="128"/>
  <c r="U27" i="128"/>
  <c r="U28" i="128"/>
  <c r="U29" i="128"/>
  <c r="U30" i="128"/>
  <c r="U31" i="128"/>
  <c r="U32" i="128"/>
  <c r="U33" i="128"/>
  <c r="U34" i="128"/>
  <c r="U35" i="128"/>
  <c r="U36" i="128"/>
  <c r="U37" i="128"/>
  <c r="U38" i="128"/>
  <c r="U39" i="128"/>
  <c r="U40" i="128"/>
  <c r="U41" i="128"/>
  <c r="U42" i="128"/>
  <c r="U43" i="128"/>
  <c r="U44" i="128"/>
  <c r="U45" i="128"/>
  <c r="U46" i="128"/>
  <c r="U47" i="128"/>
  <c r="U48" i="128"/>
  <c r="U49" i="128"/>
  <c r="U50" i="128"/>
  <c r="U51" i="128"/>
  <c r="U52" i="128"/>
  <c r="U53" i="128"/>
  <c r="U54" i="128"/>
  <c r="U55" i="128"/>
  <c r="U56" i="128"/>
  <c r="U57" i="128"/>
  <c r="U58" i="128"/>
  <c r="U59" i="128"/>
  <c r="U60" i="128"/>
  <c r="U61" i="128"/>
  <c r="U62" i="128"/>
  <c r="U63" i="128"/>
  <c r="U64" i="128"/>
  <c r="U65" i="128"/>
  <c r="U66" i="128"/>
  <c r="U67" i="128"/>
  <c r="U68" i="128"/>
  <c r="U69" i="128"/>
  <c r="U70" i="128"/>
  <c r="U71" i="128"/>
  <c r="U72" i="128"/>
  <c r="U73" i="128"/>
  <c r="U74" i="128"/>
  <c r="U75" i="128"/>
  <c r="U76" i="128"/>
  <c r="U77" i="128"/>
  <c r="U78" i="128"/>
  <c r="U79" i="128"/>
  <c r="U80" i="128"/>
  <c r="U81" i="128"/>
  <c r="U83" i="128"/>
  <c r="T12" i="128"/>
  <c r="T13" i="128"/>
  <c r="T14" i="128"/>
  <c r="T15" i="128"/>
  <c r="T16" i="128"/>
  <c r="T17" i="128"/>
  <c r="T18" i="128"/>
  <c r="T19" i="128"/>
  <c r="T20" i="128"/>
  <c r="T21" i="128"/>
  <c r="T22" i="128"/>
  <c r="T23" i="128"/>
  <c r="T24" i="128"/>
  <c r="T25" i="128"/>
  <c r="T26" i="128"/>
  <c r="T27" i="128"/>
  <c r="T28" i="128"/>
  <c r="T29" i="128"/>
  <c r="T30" i="128"/>
  <c r="T31" i="128"/>
  <c r="T32" i="128"/>
  <c r="T33" i="128"/>
  <c r="T34" i="128"/>
  <c r="T35" i="128"/>
  <c r="T36" i="128"/>
  <c r="T37" i="128"/>
  <c r="T38" i="128"/>
  <c r="T39" i="128"/>
  <c r="T40" i="128"/>
  <c r="T41" i="128"/>
  <c r="T42" i="128"/>
  <c r="T43" i="128"/>
  <c r="T44" i="128"/>
  <c r="T45" i="128"/>
  <c r="T46" i="128"/>
  <c r="T47" i="128"/>
  <c r="T48" i="128"/>
  <c r="T49" i="128"/>
  <c r="T50" i="128"/>
  <c r="T51" i="128"/>
  <c r="T52" i="128"/>
  <c r="T53" i="128"/>
  <c r="T54" i="128"/>
  <c r="T55" i="128"/>
  <c r="T56" i="128"/>
  <c r="T57" i="128"/>
  <c r="T58" i="128"/>
  <c r="T59" i="128"/>
  <c r="T60" i="128"/>
  <c r="T61" i="128"/>
  <c r="T62" i="128"/>
  <c r="T63" i="128"/>
  <c r="T64" i="128"/>
  <c r="T65" i="128"/>
  <c r="T66" i="128"/>
  <c r="T67" i="128"/>
  <c r="T68" i="128"/>
  <c r="T69" i="128"/>
  <c r="T70" i="128"/>
  <c r="T71" i="128"/>
  <c r="T72" i="128"/>
  <c r="T73" i="128"/>
  <c r="T74" i="128"/>
  <c r="T75" i="128"/>
  <c r="T76" i="128"/>
  <c r="T77" i="128"/>
  <c r="T78" i="128"/>
  <c r="T79" i="128"/>
  <c r="T80" i="128"/>
  <c r="T81" i="128"/>
  <c r="T83" i="128"/>
  <c r="S12" i="128"/>
  <c r="S13" i="128"/>
  <c r="S14" i="128"/>
  <c r="S15" i="128"/>
  <c r="S16" i="128"/>
  <c r="S17" i="128"/>
  <c r="S18" i="128"/>
  <c r="S19" i="128"/>
  <c r="S20" i="128"/>
  <c r="S21" i="128"/>
  <c r="S22" i="128"/>
  <c r="S23" i="128"/>
  <c r="S24" i="128"/>
  <c r="S25" i="128"/>
  <c r="S26" i="128"/>
  <c r="S27" i="128"/>
  <c r="S28" i="128"/>
  <c r="S29" i="128"/>
  <c r="S30" i="128"/>
  <c r="S31" i="128"/>
  <c r="S32" i="128"/>
  <c r="S33" i="128"/>
  <c r="S34" i="128"/>
  <c r="S35" i="128"/>
  <c r="S36" i="128"/>
  <c r="S37" i="128"/>
  <c r="S38" i="128"/>
  <c r="S39" i="128"/>
  <c r="S40" i="128"/>
  <c r="S41" i="128"/>
  <c r="S42" i="128"/>
  <c r="S43" i="128"/>
  <c r="S44" i="128"/>
  <c r="S45" i="128"/>
  <c r="S46" i="128"/>
  <c r="S47" i="128"/>
  <c r="S48" i="128"/>
  <c r="S49" i="128"/>
  <c r="S50" i="128"/>
  <c r="S51" i="128"/>
  <c r="S52" i="128"/>
  <c r="S53" i="128"/>
  <c r="S54" i="128"/>
  <c r="S55" i="128"/>
  <c r="S56" i="128"/>
  <c r="S57" i="128"/>
  <c r="S58" i="128"/>
  <c r="S59" i="128"/>
  <c r="S60" i="128"/>
  <c r="S61" i="128"/>
  <c r="S62" i="128"/>
  <c r="S63" i="128"/>
  <c r="S64" i="128"/>
  <c r="S65" i="128"/>
  <c r="S66" i="128"/>
  <c r="S67" i="128"/>
  <c r="S68" i="128"/>
  <c r="S69" i="128"/>
  <c r="S70" i="128"/>
  <c r="S71" i="128"/>
  <c r="S72" i="128"/>
  <c r="S73" i="128"/>
  <c r="S74" i="128"/>
  <c r="S75" i="128"/>
  <c r="S76" i="128"/>
  <c r="S77" i="128"/>
  <c r="S78" i="128"/>
  <c r="S79" i="128"/>
  <c r="S80" i="128"/>
  <c r="S81" i="128"/>
  <c r="S83" i="128"/>
  <c r="R12" i="128"/>
  <c r="R13" i="128"/>
  <c r="R14" i="128"/>
  <c r="R15" i="128"/>
  <c r="R16" i="128"/>
  <c r="R17" i="128"/>
  <c r="R18" i="128"/>
  <c r="R19" i="128"/>
  <c r="R20" i="128"/>
  <c r="R21" i="128"/>
  <c r="R22" i="128"/>
  <c r="R23" i="128"/>
  <c r="R24" i="128"/>
  <c r="R25" i="128"/>
  <c r="R26" i="128"/>
  <c r="R27" i="128"/>
  <c r="R28" i="128"/>
  <c r="R29" i="128"/>
  <c r="R30" i="128"/>
  <c r="R31" i="128"/>
  <c r="R32" i="128"/>
  <c r="R33" i="128"/>
  <c r="R34" i="128"/>
  <c r="R35" i="128"/>
  <c r="R36" i="128"/>
  <c r="R37" i="128"/>
  <c r="R38" i="128"/>
  <c r="R39" i="128"/>
  <c r="R40" i="128"/>
  <c r="R41" i="128"/>
  <c r="R42" i="128"/>
  <c r="R43" i="128"/>
  <c r="R44" i="128"/>
  <c r="R45" i="128"/>
  <c r="R46" i="128"/>
  <c r="R47" i="128"/>
  <c r="R48" i="128"/>
  <c r="R49" i="128"/>
  <c r="R50" i="128"/>
  <c r="R51" i="128"/>
  <c r="R52" i="128"/>
  <c r="R53" i="128"/>
  <c r="R54" i="128"/>
  <c r="R55" i="128"/>
  <c r="R56" i="128"/>
  <c r="R57" i="128"/>
  <c r="R58" i="128"/>
  <c r="R59" i="128"/>
  <c r="R60" i="128"/>
  <c r="R61" i="128"/>
  <c r="R62" i="128"/>
  <c r="R63" i="128"/>
  <c r="R64" i="128"/>
  <c r="R65" i="128"/>
  <c r="R66" i="128"/>
  <c r="R67" i="128"/>
  <c r="R68" i="128"/>
  <c r="R69" i="128"/>
  <c r="R70" i="128"/>
  <c r="R71" i="128"/>
  <c r="R72" i="128"/>
  <c r="R73" i="128"/>
  <c r="R74" i="128"/>
  <c r="R75" i="128"/>
  <c r="R76" i="128"/>
  <c r="R77" i="128"/>
  <c r="R78" i="128"/>
  <c r="R79" i="128"/>
  <c r="R80" i="128"/>
  <c r="R81" i="128"/>
  <c r="R83" i="128"/>
  <c r="I13" i="128"/>
  <c r="I15" i="128"/>
  <c r="I17" i="128"/>
  <c r="I19" i="128"/>
  <c r="I21" i="128"/>
  <c r="I23" i="128"/>
  <c r="I25" i="128"/>
  <c r="I27" i="128"/>
  <c r="I29" i="128"/>
  <c r="I31" i="128"/>
  <c r="I33" i="128"/>
  <c r="I35" i="128"/>
  <c r="I37" i="128"/>
  <c r="I39" i="128"/>
  <c r="I41" i="128"/>
  <c r="I43" i="128"/>
  <c r="I45" i="128"/>
  <c r="I47" i="128"/>
  <c r="I49" i="128"/>
  <c r="I51" i="128"/>
  <c r="I53" i="128"/>
  <c r="I55" i="128"/>
  <c r="I57" i="128"/>
  <c r="I59" i="128"/>
  <c r="I61" i="128"/>
  <c r="I63" i="128"/>
  <c r="I65" i="128"/>
  <c r="I67" i="128"/>
  <c r="I69" i="128"/>
  <c r="I71" i="128"/>
  <c r="I73" i="128"/>
  <c r="I75" i="128"/>
  <c r="I77" i="128"/>
  <c r="I79" i="128"/>
  <c r="I81" i="128"/>
  <c r="I83" i="128"/>
  <c r="H13" i="128"/>
  <c r="H15" i="128"/>
  <c r="H17" i="128"/>
  <c r="H19" i="128"/>
  <c r="H21" i="128"/>
  <c r="H23" i="128"/>
  <c r="H25" i="128"/>
  <c r="H27" i="128"/>
  <c r="H29" i="128"/>
  <c r="H31" i="128"/>
  <c r="H33" i="128"/>
  <c r="H35" i="128"/>
  <c r="H37" i="128"/>
  <c r="H39" i="128"/>
  <c r="H41" i="128"/>
  <c r="H43" i="128"/>
  <c r="H45" i="128"/>
  <c r="H47" i="128"/>
  <c r="H49" i="128"/>
  <c r="H51" i="128"/>
  <c r="H53" i="128"/>
  <c r="H55" i="128"/>
  <c r="H57" i="128"/>
  <c r="H59" i="128"/>
  <c r="H61" i="128"/>
  <c r="H63" i="128"/>
  <c r="H65" i="128"/>
  <c r="H67" i="128"/>
  <c r="H69" i="128"/>
  <c r="H71" i="128"/>
  <c r="H73" i="128"/>
  <c r="H75" i="128"/>
  <c r="H77" i="128"/>
  <c r="H79" i="128"/>
  <c r="H81" i="128"/>
  <c r="H83" i="128"/>
  <c r="G13" i="128"/>
  <c r="G15" i="128"/>
  <c r="G17" i="128"/>
  <c r="G19" i="128"/>
  <c r="G21" i="128"/>
  <c r="G23" i="128"/>
  <c r="G25" i="128"/>
  <c r="G27" i="128"/>
  <c r="G29" i="128"/>
  <c r="G31" i="128"/>
  <c r="G33" i="128"/>
  <c r="G35" i="128"/>
  <c r="G37" i="128"/>
  <c r="G39" i="128"/>
  <c r="G41" i="128"/>
  <c r="G43" i="128"/>
  <c r="G45" i="128"/>
  <c r="G47" i="128"/>
  <c r="G49" i="128"/>
  <c r="G51" i="128"/>
  <c r="G53" i="128"/>
  <c r="G55" i="128"/>
  <c r="G57" i="128"/>
  <c r="G59" i="128"/>
  <c r="G61" i="128"/>
  <c r="G63" i="128"/>
  <c r="G65" i="128"/>
  <c r="G67" i="128"/>
  <c r="G69" i="128"/>
  <c r="G71" i="128"/>
  <c r="G73" i="128"/>
  <c r="G75" i="128"/>
  <c r="G77" i="128"/>
  <c r="G79" i="128"/>
  <c r="G81" i="128"/>
  <c r="G83" i="128"/>
  <c r="F13" i="128"/>
  <c r="F15" i="128"/>
  <c r="F17" i="128"/>
  <c r="F19" i="128"/>
  <c r="F21" i="128"/>
  <c r="F23" i="128"/>
  <c r="F25" i="128"/>
  <c r="F27" i="128"/>
  <c r="F29" i="128"/>
  <c r="F31" i="128"/>
  <c r="F33" i="128"/>
  <c r="F35" i="128"/>
  <c r="F37" i="128"/>
  <c r="F39" i="128"/>
  <c r="F41" i="128"/>
  <c r="F43" i="128"/>
  <c r="F45" i="128"/>
  <c r="F47" i="128"/>
  <c r="F49" i="128"/>
  <c r="F51" i="128"/>
  <c r="F53" i="128"/>
  <c r="F55" i="128"/>
  <c r="F57" i="128"/>
  <c r="F59" i="128"/>
  <c r="F61" i="128"/>
  <c r="F63" i="128"/>
  <c r="F65" i="128"/>
  <c r="F67" i="128"/>
  <c r="F69" i="128"/>
  <c r="F71" i="128"/>
  <c r="F73" i="128"/>
  <c r="F75" i="128"/>
  <c r="F77" i="128"/>
  <c r="F79" i="128"/>
  <c r="F81" i="128"/>
  <c r="F83" i="128"/>
  <c r="M8" i="128"/>
  <c r="M10" i="128"/>
  <c r="I10" i="128"/>
  <c r="E12" i="127"/>
  <c r="I12" i="127"/>
  <c r="J12" i="127"/>
  <c r="O12" i="127"/>
  <c r="P12" i="127"/>
  <c r="P13" i="127"/>
  <c r="E14" i="127"/>
  <c r="F14" i="127"/>
  <c r="G14" i="127"/>
  <c r="I14" i="127"/>
  <c r="J14" i="127"/>
  <c r="O14" i="127"/>
  <c r="P14" i="127"/>
  <c r="P15" i="127"/>
  <c r="E16" i="127"/>
  <c r="F16" i="127"/>
  <c r="G16" i="127"/>
  <c r="I16" i="127"/>
  <c r="J16" i="127"/>
  <c r="O16" i="127"/>
  <c r="P16" i="127"/>
  <c r="P17" i="127"/>
  <c r="E18" i="127"/>
  <c r="F18" i="127"/>
  <c r="G18" i="127"/>
  <c r="I18" i="127"/>
  <c r="J18" i="127"/>
  <c r="O18" i="127"/>
  <c r="P18" i="127"/>
  <c r="P19" i="127"/>
  <c r="E20" i="127"/>
  <c r="F20" i="127"/>
  <c r="G20" i="127"/>
  <c r="I20" i="127"/>
  <c r="J20" i="127"/>
  <c r="O20" i="127"/>
  <c r="P20" i="127"/>
  <c r="P21" i="127"/>
  <c r="E22" i="127"/>
  <c r="F22" i="127"/>
  <c r="G22" i="127"/>
  <c r="I22" i="127"/>
  <c r="J22" i="127"/>
  <c r="O22" i="127"/>
  <c r="P22" i="127"/>
  <c r="P23" i="127"/>
  <c r="E24" i="127"/>
  <c r="F24" i="127"/>
  <c r="G24" i="127"/>
  <c r="I24" i="127"/>
  <c r="J24" i="127"/>
  <c r="O24" i="127"/>
  <c r="P24" i="127"/>
  <c r="P25" i="127"/>
  <c r="E26" i="127"/>
  <c r="F26" i="127"/>
  <c r="G26" i="127"/>
  <c r="I26" i="127"/>
  <c r="J26" i="127"/>
  <c r="O26" i="127"/>
  <c r="P26" i="127"/>
  <c r="P27" i="127"/>
  <c r="E28" i="127"/>
  <c r="F28" i="127"/>
  <c r="G28" i="127"/>
  <c r="I28" i="127"/>
  <c r="J28" i="127"/>
  <c r="O28" i="127"/>
  <c r="P28" i="127"/>
  <c r="P29" i="127"/>
  <c r="E30" i="127"/>
  <c r="F30" i="127"/>
  <c r="G30" i="127"/>
  <c r="I30" i="127"/>
  <c r="J30" i="127"/>
  <c r="O30" i="127"/>
  <c r="P30" i="127"/>
  <c r="P31" i="127"/>
  <c r="E32" i="127"/>
  <c r="F32" i="127"/>
  <c r="G32" i="127"/>
  <c r="I32" i="127"/>
  <c r="J32" i="127"/>
  <c r="O32" i="127"/>
  <c r="P32" i="127"/>
  <c r="P33" i="127"/>
  <c r="E34" i="127"/>
  <c r="F34" i="127"/>
  <c r="G34" i="127"/>
  <c r="I34" i="127"/>
  <c r="J34" i="127"/>
  <c r="O34" i="127"/>
  <c r="P34" i="127"/>
  <c r="P35" i="127"/>
  <c r="E36" i="127"/>
  <c r="F36" i="127"/>
  <c r="G36" i="127"/>
  <c r="I36" i="127"/>
  <c r="J36" i="127"/>
  <c r="O36" i="127"/>
  <c r="P36" i="127"/>
  <c r="P37" i="127"/>
  <c r="F38" i="127"/>
  <c r="G38" i="127"/>
  <c r="I38" i="127"/>
  <c r="J38" i="127"/>
  <c r="O38" i="127"/>
  <c r="P38" i="127"/>
  <c r="F39" i="127"/>
  <c r="G39" i="127"/>
  <c r="I39" i="127"/>
  <c r="J39" i="127"/>
  <c r="O39" i="127"/>
  <c r="P39" i="127"/>
  <c r="F40" i="127"/>
  <c r="G40" i="127"/>
  <c r="I40" i="127"/>
  <c r="J40" i="127"/>
  <c r="O40" i="127"/>
  <c r="P40" i="127"/>
  <c r="F41" i="127"/>
  <c r="G41" i="127"/>
  <c r="I41" i="127"/>
  <c r="J41" i="127"/>
  <c r="O41" i="127"/>
  <c r="P41" i="127"/>
  <c r="F42" i="127"/>
  <c r="G42" i="127"/>
  <c r="I42" i="127"/>
  <c r="J42" i="127"/>
  <c r="O42" i="127"/>
  <c r="P42" i="127"/>
  <c r="E43" i="127"/>
  <c r="F43" i="127"/>
  <c r="G43" i="127"/>
  <c r="I43" i="127"/>
  <c r="J43" i="127"/>
  <c r="O43" i="127"/>
  <c r="P43" i="127"/>
  <c r="E44" i="127"/>
  <c r="F44" i="127"/>
  <c r="G44" i="127"/>
  <c r="I44" i="127"/>
  <c r="J44" i="127"/>
  <c r="O44" i="127"/>
  <c r="P44" i="127"/>
  <c r="P45" i="127"/>
  <c r="E46" i="127"/>
  <c r="F46" i="127"/>
  <c r="G46" i="127"/>
  <c r="I46" i="127"/>
  <c r="J46" i="127"/>
  <c r="O46" i="127"/>
  <c r="P46" i="127"/>
  <c r="P47" i="127"/>
  <c r="E48" i="127"/>
  <c r="F48" i="127"/>
  <c r="G48" i="127"/>
  <c r="I48" i="127"/>
  <c r="J48" i="127"/>
  <c r="O48" i="127"/>
  <c r="P48" i="127"/>
  <c r="P49" i="127"/>
  <c r="E50" i="127"/>
  <c r="F50" i="127"/>
  <c r="G50" i="127"/>
  <c r="I50" i="127"/>
  <c r="J50" i="127"/>
  <c r="O50" i="127"/>
  <c r="P50" i="127"/>
  <c r="P51" i="127"/>
  <c r="E52" i="127"/>
  <c r="F52" i="127"/>
  <c r="G52" i="127"/>
  <c r="I52" i="127"/>
  <c r="J52" i="127"/>
  <c r="O52" i="127"/>
  <c r="P52" i="127"/>
  <c r="P53" i="127"/>
  <c r="E54" i="127"/>
  <c r="F54" i="127"/>
  <c r="G54" i="127"/>
  <c r="I54" i="127"/>
  <c r="J54" i="127"/>
  <c r="O54" i="127"/>
  <c r="P54" i="127"/>
  <c r="P55" i="127"/>
  <c r="E56" i="127"/>
  <c r="F56" i="127"/>
  <c r="G56" i="127"/>
  <c r="I56" i="127"/>
  <c r="J56" i="127"/>
  <c r="O56" i="127"/>
  <c r="P56" i="127"/>
  <c r="P57" i="127"/>
  <c r="E58" i="127"/>
  <c r="F58" i="127"/>
  <c r="G58" i="127"/>
  <c r="I58" i="127"/>
  <c r="J58" i="127"/>
  <c r="O58" i="127"/>
  <c r="P58" i="127"/>
  <c r="P59" i="127"/>
  <c r="E60" i="127"/>
  <c r="F60" i="127"/>
  <c r="G60" i="127"/>
  <c r="I60" i="127"/>
  <c r="J60" i="127"/>
  <c r="O60" i="127"/>
  <c r="P60" i="127"/>
  <c r="P61" i="127"/>
  <c r="E62" i="127"/>
  <c r="F62" i="127"/>
  <c r="G62" i="127"/>
  <c r="I62" i="127"/>
  <c r="J62" i="127"/>
  <c r="O62" i="127"/>
  <c r="P62" i="127"/>
  <c r="P63" i="127"/>
  <c r="E64" i="127"/>
  <c r="F64" i="127"/>
  <c r="G64" i="127"/>
  <c r="I64" i="127"/>
  <c r="J64" i="127"/>
  <c r="O64" i="127"/>
  <c r="P64" i="127"/>
  <c r="P65" i="127"/>
  <c r="E66" i="127"/>
  <c r="F66" i="127"/>
  <c r="G66" i="127"/>
  <c r="I66" i="127"/>
  <c r="J66" i="127"/>
  <c r="O66" i="127"/>
  <c r="P66" i="127"/>
  <c r="P67" i="127"/>
  <c r="E68" i="127"/>
  <c r="F68" i="127"/>
  <c r="G68" i="127"/>
  <c r="I68" i="127"/>
  <c r="J68" i="127"/>
  <c r="O68" i="127"/>
  <c r="P68" i="127"/>
  <c r="P69" i="127"/>
  <c r="E70" i="127"/>
  <c r="F70" i="127"/>
  <c r="G70" i="127"/>
  <c r="I70" i="127"/>
  <c r="J70" i="127"/>
  <c r="O70" i="127"/>
  <c r="P70" i="127"/>
  <c r="P71" i="127"/>
  <c r="E72" i="127"/>
  <c r="F72" i="127"/>
  <c r="G72" i="127"/>
  <c r="I72" i="127"/>
  <c r="J72" i="127"/>
  <c r="O72" i="127"/>
  <c r="P72" i="127"/>
  <c r="P73" i="127"/>
  <c r="E74" i="127"/>
  <c r="F74" i="127"/>
  <c r="G74" i="127"/>
  <c r="I74" i="127"/>
  <c r="J74" i="127"/>
  <c r="O74" i="127"/>
  <c r="P74" i="127"/>
  <c r="P75" i="127"/>
  <c r="F76" i="127"/>
  <c r="G76" i="127"/>
  <c r="I76" i="127"/>
  <c r="J76" i="127"/>
  <c r="O76" i="127"/>
  <c r="P76" i="127"/>
  <c r="P77" i="127"/>
  <c r="E78" i="127"/>
  <c r="F78" i="127"/>
  <c r="G78" i="127"/>
  <c r="I78" i="127"/>
  <c r="J78" i="127"/>
  <c r="O78" i="127"/>
  <c r="P78" i="127"/>
  <c r="P79" i="127"/>
  <c r="F80" i="127"/>
  <c r="G80" i="127"/>
  <c r="I80" i="127"/>
  <c r="J80" i="127"/>
  <c r="O80" i="127"/>
  <c r="P80" i="127"/>
  <c r="F81" i="127"/>
  <c r="G81" i="127"/>
  <c r="I81" i="127"/>
  <c r="J81" i="127"/>
  <c r="O81" i="127"/>
  <c r="P81" i="127"/>
  <c r="F82" i="127"/>
  <c r="G82" i="127"/>
  <c r="I82" i="127"/>
  <c r="J82" i="127"/>
  <c r="O82" i="127"/>
  <c r="P82" i="127"/>
  <c r="P83" i="127"/>
  <c r="E84" i="127"/>
  <c r="F84" i="127"/>
  <c r="G84" i="127"/>
  <c r="I84" i="127"/>
  <c r="J84" i="127"/>
  <c r="O84" i="127"/>
  <c r="P84" i="127"/>
  <c r="P85" i="127"/>
  <c r="E86" i="127"/>
  <c r="F86" i="127"/>
  <c r="G86" i="127"/>
  <c r="I86" i="127"/>
  <c r="J86" i="127"/>
  <c r="O86" i="127"/>
  <c r="P86" i="127"/>
  <c r="P87" i="127"/>
  <c r="F88" i="127"/>
  <c r="G88" i="127"/>
  <c r="I88" i="127"/>
  <c r="J88" i="127"/>
  <c r="O88" i="127"/>
  <c r="P88" i="127"/>
  <c r="P89" i="127"/>
  <c r="P90" i="127"/>
  <c r="P91" i="127"/>
  <c r="G105" i="127"/>
  <c r="J13" i="127"/>
  <c r="J15" i="127"/>
  <c r="J17" i="127"/>
  <c r="J19" i="127"/>
  <c r="J21" i="127"/>
  <c r="J23" i="127"/>
  <c r="J25" i="127"/>
  <c r="J27" i="127"/>
  <c r="J29" i="127"/>
  <c r="J31" i="127"/>
  <c r="J33" i="127"/>
  <c r="J35" i="127"/>
  <c r="J37" i="127"/>
  <c r="J45" i="127"/>
  <c r="J47" i="127"/>
  <c r="J49" i="127"/>
  <c r="J51" i="127"/>
  <c r="J53" i="127"/>
  <c r="J55" i="127"/>
  <c r="J57" i="127"/>
  <c r="J59" i="127"/>
  <c r="J61" i="127"/>
  <c r="J63" i="127"/>
  <c r="J65" i="127"/>
  <c r="J67" i="127"/>
  <c r="J69" i="127"/>
  <c r="J71" i="127"/>
  <c r="J73" i="127"/>
  <c r="J75" i="127"/>
  <c r="J77" i="127"/>
  <c r="J79" i="127"/>
  <c r="J83" i="127"/>
  <c r="J85" i="127"/>
  <c r="J87" i="127"/>
  <c r="J89" i="127"/>
  <c r="J91" i="127"/>
  <c r="J105" i="127"/>
  <c r="O13" i="127"/>
  <c r="O15" i="127"/>
  <c r="O17" i="127"/>
  <c r="O19" i="127"/>
  <c r="O21" i="127"/>
  <c r="O23" i="127"/>
  <c r="O25" i="127"/>
  <c r="O27" i="127"/>
  <c r="O29" i="127"/>
  <c r="O31" i="127"/>
  <c r="O33" i="127"/>
  <c r="O35" i="127"/>
  <c r="O37" i="127"/>
  <c r="O45" i="127"/>
  <c r="O47" i="127"/>
  <c r="O49" i="127"/>
  <c r="O51" i="127"/>
  <c r="O53" i="127"/>
  <c r="O55" i="127"/>
  <c r="O57" i="127"/>
  <c r="O59" i="127"/>
  <c r="O61" i="127"/>
  <c r="O63" i="127"/>
  <c r="O65" i="127"/>
  <c r="O67" i="127"/>
  <c r="O69" i="127"/>
  <c r="O71" i="127"/>
  <c r="O73" i="127"/>
  <c r="O75" i="127"/>
  <c r="O77" i="127"/>
  <c r="O79" i="127"/>
  <c r="O83" i="127"/>
  <c r="O85" i="127"/>
  <c r="O87" i="127"/>
  <c r="O89" i="127"/>
  <c r="O91" i="127"/>
  <c r="G103" i="127"/>
  <c r="J103" i="127"/>
  <c r="K13" i="127"/>
  <c r="K15" i="127"/>
  <c r="K17" i="127"/>
  <c r="K19" i="127"/>
  <c r="K21" i="127"/>
  <c r="K23" i="127"/>
  <c r="K25" i="127"/>
  <c r="K27" i="127"/>
  <c r="K29" i="127"/>
  <c r="K31" i="127"/>
  <c r="K33" i="127"/>
  <c r="K35" i="127"/>
  <c r="K37" i="127"/>
  <c r="K45" i="127"/>
  <c r="K47" i="127"/>
  <c r="K49" i="127"/>
  <c r="K51" i="127"/>
  <c r="K53" i="127"/>
  <c r="K55" i="127"/>
  <c r="K57" i="127"/>
  <c r="K59" i="127"/>
  <c r="K61" i="127"/>
  <c r="K63" i="127"/>
  <c r="K65" i="127"/>
  <c r="K67" i="127"/>
  <c r="K69" i="127"/>
  <c r="K71" i="127"/>
  <c r="K73" i="127"/>
  <c r="K75" i="127"/>
  <c r="K77" i="127"/>
  <c r="K79" i="127"/>
  <c r="K83" i="127"/>
  <c r="K85" i="127"/>
  <c r="K87" i="127"/>
  <c r="K89" i="127"/>
  <c r="K91" i="127"/>
  <c r="G101" i="127"/>
  <c r="J101" i="127"/>
  <c r="E13" i="127"/>
  <c r="E15" i="127"/>
  <c r="E17" i="127"/>
  <c r="E19" i="127"/>
  <c r="E21" i="127"/>
  <c r="E23" i="127"/>
  <c r="E25" i="127"/>
  <c r="E27" i="127"/>
  <c r="E29" i="127"/>
  <c r="E31" i="127"/>
  <c r="E33" i="127"/>
  <c r="E35" i="127"/>
  <c r="E37" i="127"/>
  <c r="E45" i="127"/>
  <c r="E47" i="127"/>
  <c r="E49" i="127"/>
  <c r="E51" i="127"/>
  <c r="E53" i="127"/>
  <c r="E55" i="127"/>
  <c r="E57" i="127"/>
  <c r="E59" i="127"/>
  <c r="E61" i="127"/>
  <c r="E63" i="127"/>
  <c r="E65" i="127"/>
  <c r="E67" i="127"/>
  <c r="E69" i="127"/>
  <c r="E71" i="127"/>
  <c r="E73" i="127"/>
  <c r="E75" i="127"/>
  <c r="E77" i="127"/>
  <c r="E79" i="127"/>
  <c r="E83" i="127"/>
  <c r="E85" i="127"/>
  <c r="E87" i="127"/>
  <c r="E89" i="127"/>
  <c r="E91" i="127"/>
  <c r="G99" i="127"/>
  <c r="M7" i="127"/>
  <c r="G97" i="127"/>
  <c r="J99" i="127"/>
  <c r="E93" i="127"/>
  <c r="F93" i="127"/>
  <c r="K92" i="127"/>
  <c r="E92" i="127"/>
  <c r="N12" i="127"/>
  <c r="V12" i="127"/>
  <c r="V13" i="127"/>
  <c r="N14" i="127"/>
  <c r="V14" i="127"/>
  <c r="V15" i="127"/>
  <c r="N16" i="127"/>
  <c r="V16" i="127"/>
  <c r="V17" i="127"/>
  <c r="N18" i="127"/>
  <c r="V18" i="127"/>
  <c r="V19" i="127"/>
  <c r="N20" i="127"/>
  <c r="V20" i="127"/>
  <c r="V21" i="127"/>
  <c r="N22" i="127"/>
  <c r="V22" i="127"/>
  <c r="V23" i="127"/>
  <c r="N24" i="127"/>
  <c r="V24" i="127"/>
  <c r="V25" i="127"/>
  <c r="N26" i="127"/>
  <c r="V26" i="127"/>
  <c r="V27" i="127"/>
  <c r="N28" i="127"/>
  <c r="V28" i="127"/>
  <c r="V29" i="127"/>
  <c r="N30" i="127"/>
  <c r="V30" i="127"/>
  <c r="V31" i="127"/>
  <c r="N32" i="127"/>
  <c r="V32" i="127"/>
  <c r="V33" i="127"/>
  <c r="N34" i="127"/>
  <c r="V34" i="127"/>
  <c r="V35" i="127"/>
  <c r="N36" i="127"/>
  <c r="V36" i="127"/>
  <c r="V37" i="127"/>
  <c r="N38" i="127"/>
  <c r="V38" i="127"/>
  <c r="N39" i="127"/>
  <c r="V39" i="127"/>
  <c r="N40" i="127"/>
  <c r="V40" i="127"/>
  <c r="N41" i="127"/>
  <c r="V41" i="127"/>
  <c r="N42" i="127"/>
  <c r="V42" i="127"/>
  <c r="N43" i="127"/>
  <c r="V43" i="127"/>
  <c r="N44" i="127"/>
  <c r="V44" i="127"/>
  <c r="V45" i="127"/>
  <c r="N46" i="127"/>
  <c r="V46" i="127"/>
  <c r="V47" i="127"/>
  <c r="N48" i="127"/>
  <c r="V48" i="127"/>
  <c r="V49" i="127"/>
  <c r="N50" i="127"/>
  <c r="V50" i="127"/>
  <c r="V51" i="127"/>
  <c r="N52" i="127"/>
  <c r="V52" i="127"/>
  <c r="V53" i="127"/>
  <c r="N54" i="127"/>
  <c r="V54" i="127"/>
  <c r="V55" i="127"/>
  <c r="N56" i="127"/>
  <c r="V56" i="127"/>
  <c r="V57" i="127"/>
  <c r="N58" i="127"/>
  <c r="V58" i="127"/>
  <c r="V59" i="127"/>
  <c r="N60" i="127"/>
  <c r="V60" i="127"/>
  <c r="V61" i="127"/>
  <c r="N62" i="127"/>
  <c r="V62" i="127"/>
  <c r="V63" i="127"/>
  <c r="N64" i="127"/>
  <c r="V64" i="127"/>
  <c r="V65" i="127"/>
  <c r="N66" i="127"/>
  <c r="V66" i="127"/>
  <c r="V67" i="127"/>
  <c r="N68" i="127"/>
  <c r="V68" i="127"/>
  <c r="V69" i="127"/>
  <c r="N70" i="127"/>
  <c r="V70" i="127"/>
  <c r="V71" i="127"/>
  <c r="N72" i="127"/>
  <c r="V72" i="127"/>
  <c r="V73" i="127"/>
  <c r="N74" i="127"/>
  <c r="V74" i="127"/>
  <c r="V75" i="127"/>
  <c r="N76" i="127"/>
  <c r="V76" i="127"/>
  <c r="V77" i="127"/>
  <c r="N78" i="127"/>
  <c r="V78" i="127"/>
  <c r="V79" i="127"/>
  <c r="N80" i="127"/>
  <c r="V80" i="127"/>
  <c r="N81" i="127"/>
  <c r="V81" i="127"/>
  <c r="N82" i="127"/>
  <c r="V82" i="127"/>
  <c r="V83" i="127"/>
  <c r="N84" i="127"/>
  <c r="V84" i="127"/>
  <c r="V85" i="127"/>
  <c r="N86" i="127"/>
  <c r="V86" i="127"/>
  <c r="V87" i="127"/>
  <c r="N88" i="127"/>
  <c r="V88" i="127"/>
  <c r="V89" i="127"/>
  <c r="V91" i="127"/>
  <c r="U12" i="127"/>
  <c r="U13" i="127"/>
  <c r="U14" i="127"/>
  <c r="U15" i="127"/>
  <c r="U16" i="127"/>
  <c r="U17" i="127"/>
  <c r="U18" i="127"/>
  <c r="U19" i="127"/>
  <c r="U20" i="127"/>
  <c r="U21" i="127"/>
  <c r="U22" i="127"/>
  <c r="U23" i="127"/>
  <c r="U24" i="127"/>
  <c r="U25" i="127"/>
  <c r="U26" i="127"/>
  <c r="U27" i="127"/>
  <c r="U28" i="127"/>
  <c r="U29" i="127"/>
  <c r="U30" i="127"/>
  <c r="U31" i="127"/>
  <c r="U32" i="127"/>
  <c r="U33" i="127"/>
  <c r="U34" i="127"/>
  <c r="U35" i="127"/>
  <c r="U36" i="127"/>
  <c r="U37" i="127"/>
  <c r="U38" i="127"/>
  <c r="U39" i="127"/>
  <c r="U40" i="127"/>
  <c r="U41" i="127"/>
  <c r="U42" i="127"/>
  <c r="U43" i="127"/>
  <c r="U44" i="127"/>
  <c r="U45" i="127"/>
  <c r="U46" i="127"/>
  <c r="U47" i="127"/>
  <c r="U48" i="127"/>
  <c r="U49" i="127"/>
  <c r="U50" i="127"/>
  <c r="U51" i="127"/>
  <c r="U52" i="127"/>
  <c r="U53" i="127"/>
  <c r="U54" i="127"/>
  <c r="U55" i="127"/>
  <c r="U56" i="127"/>
  <c r="U57" i="127"/>
  <c r="U58" i="127"/>
  <c r="U59" i="127"/>
  <c r="U60" i="127"/>
  <c r="U61" i="127"/>
  <c r="U62" i="127"/>
  <c r="U63" i="127"/>
  <c r="U64" i="127"/>
  <c r="U65" i="127"/>
  <c r="U66" i="127"/>
  <c r="U67" i="127"/>
  <c r="U68" i="127"/>
  <c r="U69" i="127"/>
  <c r="U70" i="127"/>
  <c r="U71" i="127"/>
  <c r="U72" i="127"/>
  <c r="U73" i="127"/>
  <c r="U74" i="127"/>
  <c r="U75" i="127"/>
  <c r="U76" i="127"/>
  <c r="U77" i="127"/>
  <c r="U78" i="127"/>
  <c r="U79" i="127"/>
  <c r="U80" i="127"/>
  <c r="U81" i="127"/>
  <c r="U82" i="127"/>
  <c r="U83" i="127"/>
  <c r="U84" i="127"/>
  <c r="U85" i="127"/>
  <c r="U86" i="127"/>
  <c r="U87" i="127"/>
  <c r="U88" i="127"/>
  <c r="U89" i="127"/>
  <c r="U91" i="127"/>
  <c r="T12" i="127"/>
  <c r="T13" i="127"/>
  <c r="T14" i="127"/>
  <c r="T15" i="127"/>
  <c r="T16" i="127"/>
  <c r="T17" i="127"/>
  <c r="T18" i="127"/>
  <c r="T19" i="127"/>
  <c r="T20" i="127"/>
  <c r="T21" i="127"/>
  <c r="T22" i="127"/>
  <c r="T23" i="127"/>
  <c r="T24" i="127"/>
  <c r="T25" i="127"/>
  <c r="T26" i="127"/>
  <c r="T27" i="127"/>
  <c r="T28" i="127"/>
  <c r="T29" i="127"/>
  <c r="T30" i="127"/>
  <c r="T31" i="127"/>
  <c r="T32" i="127"/>
  <c r="T33" i="127"/>
  <c r="T34" i="127"/>
  <c r="T35" i="127"/>
  <c r="T36" i="127"/>
  <c r="T37" i="127"/>
  <c r="T38" i="127"/>
  <c r="T39" i="127"/>
  <c r="T40" i="127"/>
  <c r="T41" i="127"/>
  <c r="T42" i="127"/>
  <c r="T43" i="127"/>
  <c r="T44" i="127"/>
  <c r="T45" i="127"/>
  <c r="T46" i="127"/>
  <c r="T47" i="127"/>
  <c r="T48" i="127"/>
  <c r="T49" i="127"/>
  <c r="T50" i="127"/>
  <c r="T51" i="127"/>
  <c r="T52" i="127"/>
  <c r="T53" i="127"/>
  <c r="T54" i="127"/>
  <c r="T55" i="127"/>
  <c r="T56" i="127"/>
  <c r="T57" i="127"/>
  <c r="T58" i="127"/>
  <c r="T59" i="127"/>
  <c r="T60" i="127"/>
  <c r="T61" i="127"/>
  <c r="T62" i="127"/>
  <c r="T63" i="127"/>
  <c r="T64" i="127"/>
  <c r="T65" i="127"/>
  <c r="T66" i="127"/>
  <c r="T67" i="127"/>
  <c r="T68" i="127"/>
  <c r="T69" i="127"/>
  <c r="T70" i="127"/>
  <c r="T71" i="127"/>
  <c r="T72" i="127"/>
  <c r="T73" i="127"/>
  <c r="T74" i="127"/>
  <c r="T75" i="127"/>
  <c r="T76" i="127"/>
  <c r="T77" i="127"/>
  <c r="T78" i="127"/>
  <c r="T79" i="127"/>
  <c r="T80" i="127"/>
  <c r="T81" i="127"/>
  <c r="T82" i="127"/>
  <c r="T83" i="127"/>
  <c r="T84" i="127"/>
  <c r="T85" i="127"/>
  <c r="T86" i="127"/>
  <c r="T87" i="127"/>
  <c r="T88" i="127"/>
  <c r="T89" i="127"/>
  <c r="T91" i="127"/>
  <c r="S12" i="127"/>
  <c r="S13" i="127"/>
  <c r="S14" i="127"/>
  <c r="S15" i="127"/>
  <c r="S16" i="127"/>
  <c r="S17" i="127"/>
  <c r="S18" i="127"/>
  <c r="S19" i="127"/>
  <c r="S20" i="127"/>
  <c r="S21" i="127"/>
  <c r="S22" i="127"/>
  <c r="S23" i="127"/>
  <c r="S24" i="127"/>
  <c r="S25" i="127"/>
  <c r="S26" i="127"/>
  <c r="S27" i="127"/>
  <c r="S28" i="127"/>
  <c r="S29" i="127"/>
  <c r="S30" i="127"/>
  <c r="S31" i="127"/>
  <c r="S32" i="127"/>
  <c r="S33" i="127"/>
  <c r="S34" i="127"/>
  <c r="S35" i="127"/>
  <c r="S36" i="127"/>
  <c r="S37" i="127"/>
  <c r="S38" i="127"/>
  <c r="S39" i="127"/>
  <c r="S40" i="127"/>
  <c r="S41" i="127"/>
  <c r="S42" i="127"/>
  <c r="S43" i="127"/>
  <c r="S44" i="127"/>
  <c r="S45" i="127"/>
  <c r="S46" i="127"/>
  <c r="S47" i="127"/>
  <c r="S48" i="127"/>
  <c r="S49" i="127"/>
  <c r="S50" i="127"/>
  <c r="S51" i="127"/>
  <c r="S52" i="127"/>
  <c r="S53" i="127"/>
  <c r="S54" i="127"/>
  <c r="S55" i="127"/>
  <c r="S56" i="127"/>
  <c r="S57" i="127"/>
  <c r="S58" i="127"/>
  <c r="S59" i="127"/>
  <c r="S60" i="127"/>
  <c r="S61" i="127"/>
  <c r="S62" i="127"/>
  <c r="S63" i="127"/>
  <c r="S64" i="127"/>
  <c r="S65" i="127"/>
  <c r="S66" i="127"/>
  <c r="S67" i="127"/>
  <c r="S68" i="127"/>
  <c r="S69" i="127"/>
  <c r="S70" i="127"/>
  <c r="S71" i="127"/>
  <c r="S72" i="127"/>
  <c r="S73" i="127"/>
  <c r="S74" i="127"/>
  <c r="S75" i="127"/>
  <c r="S76" i="127"/>
  <c r="S77" i="127"/>
  <c r="S78" i="127"/>
  <c r="S79" i="127"/>
  <c r="S80" i="127"/>
  <c r="S81" i="127"/>
  <c r="S82" i="127"/>
  <c r="S83" i="127"/>
  <c r="S84" i="127"/>
  <c r="S85" i="127"/>
  <c r="S86" i="127"/>
  <c r="S87" i="127"/>
  <c r="S88" i="127"/>
  <c r="S89" i="127"/>
  <c r="S91" i="127"/>
  <c r="R12" i="127"/>
  <c r="R13" i="127"/>
  <c r="R14" i="127"/>
  <c r="R15" i="127"/>
  <c r="R16" i="127"/>
  <c r="R17" i="127"/>
  <c r="R18" i="127"/>
  <c r="R19" i="127"/>
  <c r="R20" i="127"/>
  <c r="R21" i="127"/>
  <c r="R22" i="127"/>
  <c r="R23" i="127"/>
  <c r="R24" i="127"/>
  <c r="R25" i="127"/>
  <c r="R26" i="127"/>
  <c r="R27" i="127"/>
  <c r="R28" i="127"/>
  <c r="R29" i="127"/>
  <c r="R30" i="127"/>
  <c r="R31" i="127"/>
  <c r="R32" i="127"/>
  <c r="R33" i="127"/>
  <c r="R34" i="127"/>
  <c r="R35" i="127"/>
  <c r="R36" i="127"/>
  <c r="R37" i="127"/>
  <c r="R38" i="127"/>
  <c r="R39" i="127"/>
  <c r="R40" i="127"/>
  <c r="R41" i="127"/>
  <c r="R42" i="127"/>
  <c r="R43" i="127"/>
  <c r="R44" i="127"/>
  <c r="R45" i="127"/>
  <c r="R46" i="127"/>
  <c r="R47" i="127"/>
  <c r="R48" i="127"/>
  <c r="R49" i="127"/>
  <c r="R50" i="127"/>
  <c r="R51" i="127"/>
  <c r="R52" i="127"/>
  <c r="R53" i="127"/>
  <c r="R54" i="127"/>
  <c r="R55" i="127"/>
  <c r="R56" i="127"/>
  <c r="R57" i="127"/>
  <c r="R58" i="127"/>
  <c r="R59" i="127"/>
  <c r="R60" i="127"/>
  <c r="R61" i="127"/>
  <c r="R62" i="127"/>
  <c r="R63" i="127"/>
  <c r="R64" i="127"/>
  <c r="R65" i="127"/>
  <c r="R66" i="127"/>
  <c r="R67" i="127"/>
  <c r="R68" i="127"/>
  <c r="R69" i="127"/>
  <c r="R70" i="127"/>
  <c r="R71" i="127"/>
  <c r="R72" i="127"/>
  <c r="R73" i="127"/>
  <c r="R74" i="127"/>
  <c r="R75" i="127"/>
  <c r="R76" i="127"/>
  <c r="R77" i="127"/>
  <c r="R78" i="127"/>
  <c r="R79" i="127"/>
  <c r="R80" i="127"/>
  <c r="R81" i="127"/>
  <c r="R82" i="127"/>
  <c r="R83" i="127"/>
  <c r="R84" i="127"/>
  <c r="R85" i="127"/>
  <c r="R86" i="127"/>
  <c r="R87" i="127"/>
  <c r="R88" i="127"/>
  <c r="R89" i="127"/>
  <c r="R91" i="127"/>
  <c r="I13" i="127"/>
  <c r="I15" i="127"/>
  <c r="I17" i="127"/>
  <c r="I19" i="127"/>
  <c r="I21" i="127"/>
  <c r="I23" i="127"/>
  <c r="I25" i="127"/>
  <c r="I27" i="127"/>
  <c r="I29" i="127"/>
  <c r="I31" i="127"/>
  <c r="I33" i="127"/>
  <c r="I35" i="127"/>
  <c r="I37" i="127"/>
  <c r="I45" i="127"/>
  <c r="I47" i="127"/>
  <c r="I49" i="127"/>
  <c r="I51" i="127"/>
  <c r="I53" i="127"/>
  <c r="I55" i="127"/>
  <c r="I57" i="127"/>
  <c r="I59" i="127"/>
  <c r="I61" i="127"/>
  <c r="I63" i="127"/>
  <c r="I65" i="127"/>
  <c r="I67" i="127"/>
  <c r="I69" i="127"/>
  <c r="I71" i="127"/>
  <c r="I73" i="127"/>
  <c r="I75" i="127"/>
  <c r="I77" i="127"/>
  <c r="I79" i="127"/>
  <c r="I83" i="127"/>
  <c r="I85" i="127"/>
  <c r="I87" i="127"/>
  <c r="I89" i="127"/>
  <c r="I91" i="127"/>
  <c r="H13" i="127"/>
  <c r="H15" i="127"/>
  <c r="H17" i="127"/>
  <c r="H19" i="127"/>
  <c r="H21" i="127"/>
  <c r="H23" i="127"/>
  <c r="H25" i="127"/>
  <c r="H27" i="127"/>
  <c r="H29" i="127"/>
  <c r="H31" i="127"/>
  <c r="H33" i="127"/>
  <c r="H35" i="127"/>
  <c r="H37" i="127"/>
  <c r="H45" i="127"/>
  <c r="H47" i="127"/>
  <c r="H49" i="127"/>
  <c r="H51" i="127"/>
  <c r="H53" i="127"/>
  <c r="H55" i="127"/>
  <c r="H57" i="127"/>
  <c r="H59" i="127"/>
  <c r="H61" i="127"/>
  <c r="H63" i="127"/>
  <c r="H65" i="127"/>
  <c r="H67" i="127"/>
  <c r="H69" i="127"/>
  <c r="H71" i="127"/>
  <c r="H73" i="127"/>
  <c r="H75" i="127"/>
  <c r="H77" i="127"/>
  <c r="H79" i="127"/>
  <c r="H83" i="127"/>
  <c r="H85" i="127"/>
  <c r="H87" i="127"/>
  <c r="H89" i="127"/>
  <c r="H91" i="127"/>
  <c r="G13" i="127"/>
  <c r="G15" i="127"/>
  <c r="G17" i="127"/>
  <c r="G19" i="127"/>
  <c r="G21" i="127"/>
  <c r="G23" i="127"/>
  <c r="G25" i="127"/>
  <c r="G27" i="127"/>
  <c r="G29" i="127"/>
  <c r="G31" i="127"/>
  <c r="G33" i="127"/>
  <c r="G35" i="127"/>
  <c r="G37" i="127"/>
  <c r="G45" i="127"/>
  <c r="G47" i="127"/>
  <c r="G49" i="127"/>
  <c r="G51" i="127"/>
  <c r="G53" i="127"/>
  <c r="G55" i="127"/>
  <c r="G57" i="127"/>
  <c r="G59" i="127"/>
  <c r="G61" i="127"/>
  <c r="G63" i="127"/>
  <c r="G65" i="127"/>
  <c r="G67" i="127"/>
  <c r="G69" i="127"/>
  <c r="G71" i="127"/>
  <c r="G73" i="127"/>
  <c r="G75" i="127"/>
  <c r="G77" i="127"/>
  <c r="G79" i="127"/>
  <c r="G83" i="127"/>
  <c r="G85" i="127"/>
  <c r="G87" i="127"/>
  <c r="G89" i="127"/>
  <c r="G91" i="127"/>
  <c r="F13" i="127"/>
  <c r="F15" i="127"/>
  <c r="F17" i="127"/>
  <c r="F19" i="127"/>
  <c r="F21" i="127"/>
  <c r="F23" i="127"/>
  <c r="F25" i="127"/>
  <c r="F27" i="127"/>
  <c r="F29" i="127"/>
  <c r="F31" i="127"/>
  <c r="F33" i="127"/>
  <c r="F35" i="127"/>
  <c r="F37" i="127"/>
  <c r="F45" i="127"/>
  <c r="F47" i="127"/>
  <c r="F49" i="127"/>
  <c r="F51" i="127"/>
  <c r="F53" i="127"/>
  <c r="F55" i="127"/>
  <c r="F57" i="127"/>
  <c r="F59" i="127"/>
  <c r="F61" i="127"/>
  <c r="F63" i="127"/>
  <c r="F65" i="127"/>
  <c r="F67" i="127"/>
  <c r="F69" i="127"/>
  <c r="F71" i="127"/>
  <c r="F73" i="127"/>
  <c r="F75" i="127"/>
  <c r="F77" i="127"/>
  <c r="F79" i="127"/>
  <c r="F83" i="127"/>
  <c r="F85" i="127"/>
  <c r="F87" i="127"/>
  <c r="F89" i="127"/>
  <c r="F91" i="127"/>
  <c r="M8" i="127"/>
  <c r="F237" i="126"/>
  <c r="G237" i="126"/>
  <c r="I237" i="126"/>
  <c r="J237" i="126"/>
  <c r="O237" i="126"/>
  <c r="P237" i="126"/>
  <c r="P238" i="126"/>
  <c r="E235" i="126"/>
  <c r="F235" i="126"/>
  <c r="G235" i="126"/>
  <c r="I235" i="126"/>
  <c r="J235" i="126"/>
  <c r="O235" i="126"/>
  <c r="P235" i="126"/>
  <c r="P236" i="126"/>
  <c r="E233" i="126"/>
  <c r="F233" i="126"/>
  <c r="G233" i="126"/>
  <c r="I233" i="126"/>
  <c r="J233" i="126"/>
  <c r="O233" i="126"/>
  <c r="P233" i="126"/>
  <c r="P234" i="126"/>
  <c r="E231" i="126"/>
  <c r="F231" i="126"/>
  <c r="G231" i="126"/>
  <c r="I231" i="126"/>
  <c r="J231" i="126"/>
  <c r="O231" i="126"/>
  <c r="P231" i="126"/>
  <c r="P232" i="126"/>
  <c r="E229" i="126"/>
  <c r="F229" i="126"/>
  <c r="G229" i="126"/>
  <c r="I229" i="126"/>
  <c r="J229" i="126"/>
  <c r="O229" i="126"/>
  <c r="P229" i="126"/>
  <c r="P230" i="126"/>
  <c r="E227" i="126"/>
  <c r="F227" i="126"/>
  <c r="G227" i="126"/>
  <c r="I227" i="126"/>
  <c r="J227" i="126"/>
  <c r="O227" i="126"/>
  <c r="P227" i="126"/>
  <c r="P228" i="126"/>
  <c r="E225" i="126"/>
  <c r="F225" i="126"/>
  <c r="G225" i="126"/>
  <c r="I225" i="126"/>
  <c r="J225" i="126"/>
  <c r="O225" i="126"/>
  <c r="P225" i="126"/>
  <c r="P226" i="126"/>
  <c r="E223" i="126"/>
  <c r="F223" i="126"/>
  <c r="G223" i="126"/>
  <c r="I223" i="126"/>
  <c r="J223" i="126"/>
  <c r="O223" i="126"/>
  <c r="P223" i="126"/>
  <c r="P224" i="126"/>
  <c r="E221" i="126"/>
  <c r="F221" i="126"/>
  <c r="G221" i="126"/>
  <c r="I221" i="126"/>
  <c r="J221" i="126"/>
  <c r="O221" i="126"/>
  <c r="P221" i="126"/>
  <c r="P222" i="126"/>
  <c r="E219" i="126"/>
  <c r="F219" i="126"/>
  <c r="G219" i="126"/>
  <c r="I219" i="126"/>
  <c r="J219" i="126"/>
  <c r="O219" i="126"/>
  <c r="P219" i="126"/>
  <c r="P220" i="126"/>
  <c r="E217" i="126"/>
  <c r="F217" i="126"/>
  <c r="G217" i="126"/>
  <c r="I217" i="126"/>
  <c r="J217" i="126"/>
  <c r="O217" i="126"/>
  <c r="P217" i="126"/>
  <c r="P218" i="126"/>
  <c r="E215" i="126"/>
  <c r="F215" i="126"/>
  <c r="G215" i="126"/>
  <c r="I215" i="126"/>
  <c r="J215" i="126"/>
  <c r="O215" i="126"/>
  <c r="P215" i="126"/>
  <c r="P216" i="126"/>
  <c r="E213" i="126"/>
  <c r="F213" i="126"/>
  <c r="G213" i="126"/>
  <c r="I213" i="126"/>
  <c r="J213" i="126"/>
  <c r="O213" i="126"/>
  <c r="P213" i="126"/>
  <c r="P214" i="126"/>
  <c r="E211" i="126"/>
  <c r="F211" i="126"/>
  <c r="G211" i="126"/>
  <c r="I211" i="126"/>
  <c r="J211" i="126"/>
  <c r="O211" i="126"/>
  <c r="P211" i="126"/>
  <c r="P212" i="126"/>
  <c r="E209" i="126"/>
  <c r="F209" i="126"/>
  <c r="G209" i="126"/>
  <c r="I209" i="126"/>
  <c r="J209" i="126"/>
  <c r="O209" i="126"/>
  <c r="P209" i="126"/>
  <c r="P210" i="126"/>
  <c r="E207" i="126"/>
  <c r="I207" i="126"/>
  <c r="J207" i="126"/>
  <c r="O207" i="126"/>
  <c r="P207" i="126"/>
  <c r="P208" i="126"/>
  <c r="P239" i="126"/>
  <c r="E203" i="126"/>
  <c r="F203" i="126"/>
  <c r="G203" i="126"/>
  <c r="I203" i="126"/>
  <c r="J203" i="126"/>
  <c r="O203" i="126"/>
  <c r="P203" i="126"/>
  <c r="P204" i="126"/>
  <c r="E201" i="126"/>
  <c r="F201" i="126"/>
  <c r="G201" i="126"/>
  <c r="I201" i="126"/>
  <c r="J201" i="126"/>
  <c r="O201" i="126"/>
  <c r="P201" i="126"/>
  <c r="P202" i="126"/>
  <c r="E199" i="126"/>
  <c r="F199" i="126"/>
  <c r="G199" i="126"/>
  <c r="I199" i="126"/>
  <c r="J199" i="126"/>
  <c r="O199" i="126"/>
  <c r="P199" i="126"/>
  <c r="P200" i="126"/>
  <c r="E196" i="126"/>
  <c r="F196" i="126"/>
  <c r="G196" i="126"/>
  <c r="I196" i="126"/>
  <c r="J196" i="126"/>
  <c r="O196" i="126"/>
  <c r="P196" i="126"/>
  <c r="E197" i="126"/>
  <c r="F197" i="126"/>
  <c r="G197" i="126"/>
  <c r="I197" i="126"/>
  <c r="J197" i="126"/>
  <c r="O197" i="126"/>
  <c r="P197" i="126"/>
  <c r="P198" i="126"/>
  <c r="E193" i="126"/>
  <c r="I193" i="126"/>
  <c r="J193" i="126"/>
  <c r="O193" i="126"/>
  <c r="P193" i="126"/>
  <c r="E194" i="126"/>
  <c r="I194" i="126"/>
  <c r="J194" i="126"/>
  <c r="O194" i="126"/>
  <c r="P194" i="126"/>
  <c r="P195" i="126"/>
  <c r="P205" i="126"/>
  <c r="F189" i="126"/>
  <c r="G189" i="126"/>
  <c r="I189" i="126"/>
  <c r="J189" i="126"/>
  <c r="O189" i="126"/>
  <c r="P189" i="126"/>
  <c r="P190" i="126"/>
  <c r="E187" i="126"/>
  <c r="F187" i="126"/>
  <c r="G187" i="126"/>
  <c r="I187" i="126"/>
  <c r="J187" i="126"/>
  <c r="O187" i="126"/>
  <c r="P187" i="126"/>
  <c r="P188" i="126"/>
  <c r="E185" i="126"/>
  <c r="F185" i="126"/>
  <c r="G185" i="126"/>
  <c r="I185" i="126"/>
  <c r="J185" i="126"/>
  <c r="O185" i="126"/>
  <c r="P185" i="126"/>
  <c r="P186" i="126"/>
  <c r="E183" i="126"/>
  <c r="F183" i="126"/>
  <c r="G183" i="126"/>
  <c r="I183" i="126"/>
  <c r="J183" i="126"/>
  <c r="O183" i="126"/>
  <c r="P183" i="126"/>
  <c r="P184" i="126"/>
  <c r="E181" i="126"/>
  <c r="F181" i="126"/>
  <c r="G181" i="126"/>
  <c r="I181" i="126"/>
  <c r="J181" i="126"/>
  <c r="O181" i="126"/>
  <c r="P181" i="126"/>
  <c r="P182" i="126"/>
  <c r="E179" i="126"/>
  <c r="F179" i="126"/>
  <c r="G179" i="126"/>
  <c r="I179" i="126"/>
  <c r="J179" i="126"/>
  <c r="O179" i="126"/>
  <c r="P179" i="126"/>
  <c r="P180" i="126"/>
  <c r="E174" i="126"/>
  <c r="F174" i="126"/>
  <c r="G174" i="126"/>
  <c r="I174" i="126"/>
  <c r="J174" i="126"/>
  <c r="O174" i="126"/>
  <c r="P174" i="126"/>
  <c r="E175" i="126"/>
  <c r="F175" i="126"/>
  <c r="G175" i="126"/>
  <c r="I175" i="126"/>
  <c r="J175" i="126"/>
  <c r="O175" i="126"/>
  <c r="P175" i="126"/>
  <c r="E176" i="126"/>
  <c r="F176" i="126"/>
  <c r="G176" i="126"/>
  <c r="I176" i="126"/>
  <c r="J176" i="126"/>
  <c r="O176" i="126"/>
  <c r="P176" i="126"/>
  <c r="E177" i="126"/>
  <c r="F177" i="126"/>
  <c r="G177" i="126"/>
  <c r="I177" i="126"/>
  <c r="J177" i="126"/>
  <c r="O177" i="126"/>
  <c r="P177" i="126"/>
  <c r="P178" i="126"/>
  <c r="E172" i="126"/>
  <c r="F172" i="126"/>
  <c r="G172" i="126"/>
  <c r="I172" i="126"/>
  <c r="J172" i="126"/>
  <c r="O172" i="126"/>
  <c r="P172" i="126"/>
  <c r="P173" i="126"/>
  <c r="E170" i="126"/>
  <c r="F170" i="126"/>
  <c r="G170" i="126"/>
  <c r="I170" i="126"/>
  <c r="J170" i="126"/>
  <c r="O170" i="126"/>
  <c r="P170" i="126"/>
  <c r="P171" i="126"/>
  <c r="E168" i="126"/>
  <c r="F168" i="126"/>
  <c r="G168" i="126"/>
  <c r="I168" i="126"/>
  <c r="J168" i="126"/>
  <c r="K168" i="126"/>
  <c r="O168" i="126"/>
  <c r="P168" i="126"/>
  <c r="P169" i="126"/>
  <c r="E166" i="126"/>
  <c r="F166" i="126"/>
  <c r="G166" i="126"/>
  <c r="I166" i="126"/>
  <c r="J166" i="126"/>
  <c r="O166" i="126"/>
  <c r="P166" i="126"/>
  <c r="P167" i="126"/>
  <c r="E164" i="126"/>
  <c r="F164" i="126"/>
  <c r="G164" i="126"/>
  <c r="I164" i="126"/>
  <c r="J164" i="126"/>
  <c r="O164" i="126"/>
  <c r="P164" i="126"/>
  <c r="P165" i="126"/>
  <c r="E162" i="126"/>
  <c r="F162" i="126"/>
  <c r="G162" i="126"/>
  <c r="I162" i="126"/>
  <c r="J162" i="126"/>
  <c r="O162" i="126"/>
  <c r="P162" i="126"/>
  <c r="P163" i="126"/>
  <c r="E160" i="126"/>
  <c r="F160" i="126"/>
  <c r="G160" i="126"/>
  <c r="I160" i="126"/>
  <c r="J160" i="126"/>
  <c r="O160" i="126"/>
  <c r="P160" i="126"/>
  <c r="P161" i="126"/>
  <c r="E158" i="126"/>
  <c r="F158" i="126"/>
  <c r="G158" i="126"/>
  <c r="I158" i="126"/>
  <c r="J158" i="126"/>
  <c r="O158" i="126"/>
  <c r="P158" i="126"/>
  <c r="P159" i="126"/>
  <c r="E156" i="126"/>
  <c r="F156" i="126"/>
  <c r="G156" i="126"/>
  <c r="I156" i="126"/>
  <c r="J156" i="126"/>
  <c r="O156" i="126"/>
  <c r="P156" i="126"/>
  <c r="P157" i="126"/>
  <c r="E154" i="126"/>
  <c r="F154" i="126"/>
  <c r="G154" i="126"/>
  <c r="I154" i="126"/>
  <c r="J154" i="126"/>
  <c r="O154" i="126"/>
  <c r="P154" i="126"/>
  <c r="P155" i="126"/>
  <c r="E152" i="126"/>
  <c r="F152" i="126"/>
  <c r="G152" i="126"/>
  <c r="I152" i="126"/>
  <c r="J152" i="126"/>
  <c r="O152" i="126"/>
  <c r="P152" i="126"/>
  <c r="P153" i="126"/>
  <c r="E150" i="126"/>
  <c r="F150" i="126"/>
  <c r="G150" i="126"/>
  <c r="I150" i="126"/>
  <c r="J150" i="126"/>
  <c r="O150" i="126"/>
  <c r="P150" i="126"/>
  <c r="P151" i="126"/>
  <c r="E148" i="126"/>
  <c r="F148" i="126"/>
  <c r="G148" i="126"/>
  <c r="I148" i="126"/>
  <c r="J148" i="126"/>
  <c r="O148" i="126"/>
  <c r="P148" i="126"/>
  <c r="P149" i="126"/>
  <c r="E146" i="126"/>
  <c r="F146" i="126"/>
  <c r="G146" i="126"/>
  <c r="I146" i="126"/>
  <c r="J146" i="126"/>
  <c r="O146" i="126"/>
  <c r="P146" i="126"/>
  <c r="P147" i="126"/>
  <c r="E144" i="126"/>
  <c r="F144" i="126"/>
  <c r="G144" i="126"/>
  <c r="I144" i="126"/>
  <c r="J144" i="126"/>
  <c r="O144" i="126"/>
  <c r="P144" i="126"/>
  <c r="P145" i="126"/>
  <c r="E142" i="126"/>
  <c r="F142" i="126"/>
  <c r="G142" i="126"/>
  <c r="I142" i="126"/>
  <c r="J142" i="126"/>
  <c r="O142" i="126"/>
  <c r="P142" i="126"/>
  <c r="P143" i="126"/>
  <c r="E140" i="126"/>
  <c r="F140" i="126"/>
  <c r="G140" i="126"/>
  <c r="I140" i="126"/>
  <c r="J140" i="126"/>
  <c r="O140" i="126"/>
  <c r="P140" i="126"/>
  <c r="P141" i="126"/>
  <c r="E138" i="126"/>
  <c r="F138" i="126"/>
  <c r="G138" i="126"/>
  <c r="I138" i="126"/>
  <c r="J138" i="126"/>
  <c r="O138" i="126"/>
  <c r="P138" i="126"/>
  <c r="P139" i="126"/>
  <c r="E136" i="126"/>
  <c r="F136" i="126"/>
  <c r="G136" i="126"/>
  <c r="I136" i="126"/>
  <c r="J136" i="126"/>
  <c r="O136" i="126"/>
  <c r="P136" i="126"/>
  <c r="P137" i="126"/>
  <c r="E134" i="126"/>
  <c r="F134" i="126"/>
  <c r="G134" i="126"/>
  <c r="I134" i="126"/>
  <c r="J134" i="126"/>
  <c r="O134" i="126"/>
  <c r="P134" i="126"/>
  <c r="P135" i="126"/>
  <c r="E132" i="126"/>
  <c r="F132" i="126"/>
  <c r="G132" i="126"/>
  <c r="I132" i="126"/>
  <c r="J132" i="126"/>
  <c r="O132" i="126"/>
  <c r="P132" i="126"/>
  <c r="P133" i="126"/>
  <c r="E130" i="126"/>
  <c r="F130" i="126"/>
  <c r="G130" i="126"/>
  <c r="I130" i="126"/>
  <c r="J130" i="126"/>
  <c r="O130" i="126"/>
  <c r="P130" i="126"/>
  <c r="P131" i="126"/>
  <c r="E128" i="126"/>
  <c r="F128" i="126"/>
  <c r="G128" i="126"/>
  <c r="I128" i="126"/>
  <c r="J128" i="126"/>
  <c r="O128" i="126"/>
  <c r="P128" i="126"/>
  <c r="P129" i="126"/>
  <c r="E126" i="126"/>
  <c r="F126" i="126"/>
  <c r="G126" i="126"/>
  <c r="I126" i="126"/>
  <c r="J126" i="126"/>
  <c r="O126" i="126"/>
  <c r="P126" i="126"/>
  <c r="P127" i="126"/>
  <c r="I121" i="126"/>
  <c r="J121" i="126"/>
  <c r="O121" i="126"/>
  <c r="P121" i="126"/>
  <c r="E122" i="126"/>
  <c r="I122" i="126"/>
  <c r="J122" i="126"/>
  <c r="O122" i="126"/>
  <c r="P122" i="126"/>
  <c r="E123" i="126"/>
  <c r="I123" i="126"/>
  <c r="J123" i="126"/>
  <c r="O123" i="126"/>
  <c r="P123" i="126"/>
  <c r="E124" i="126"/>
  <c r="I124" i="126"/>
  <c r="J124" i="126"/>
  <c r="O124" i="126"/>
  <c r="P124" i="126"/>
  <c r="P125" i="126"/>
  <c r="P191" i="126"/>
  <c r="P240" i="126"/>
  <c r="G254" i="126"/>
  <c r="J238" i="126"/>
  <c r="J236" i="126"/>
  <c r="J234" i="126"/>
  <c r="J232" i="126"/>
  <c r="J230" i="126"/>
  <c r="J228" i="126"/>
  <c r="J226" i="126"/>
  <c r="J224" i="126"/>
  <c r="J222" i="126"/>
  <c r="J220" i="126"/>
  <c r="J218" i="126"/>
  <c r="J216" i="126"/>
  <c r="J214" i="126"/>
  <c r="J212" i="126"/>
  <c r="J210" i="126"/>
  <c r="J208" i="126"/>
  <c r="J239" i="126"/>
  <c r="J204" i="126"/>
  <c r="J202" i="126"/>
  <c r="J200" i="126"/>
  <c r="J198" i="126"/>
  <c r="J195" i="126"/>
  <c r="J205" i="126"/>
  <c r="J190" i="126"/>
  <c r="J188" i="126"/>
  <c r="J186" i="126"/>
  <c r="J184" i="126"/>
  <c r="J182" i="126"/>
  <c r="J180" i="126"/>
  <c r="J178" i="126"/>
  <c r="J173" i="126"/>
  <c r="J171" i="126"/>
  <c r="J169" i="126"/>
  <c r="J167" i="126"/>
  <c r="J165" i="126"/>
  <c r="J163" i="126"/>
  <c r="J161" i="126"/>
  <c r="J159" i="126"/>
  <c r="J157" i="126"/>
  <c r="J155" i="126"/>
  <c r="J153" i="126"/>
  <c r="J151" i="126"/>
  <c r="J149" i="126"/>
  <c r="J147" i="126"/>
  <c r="J145" i="126"/>
  <c r="J143" i="126"/>
  <c r="J141" i="126"/>
  <c r="J139" i="126"/>
  <c r="J137" i="126"/>
  <c r="J135" i="126"/>
  <c r="J133" i="126"/>
  <c r="J131" i="126"/>
  <c r="J129" i="126"/>
  <c r="J127" i="126"/>
  <c r="J125" i="126"/>
  <c r="J191" i="126"/>
  <c r="E117" i="126"/>
  <c r="F117" i="126"/>
  <c r="G117" i="126"/>
  <c r="I117" i="126"/>
  <c r="J117" i="126"/>
  <c r="J118" i="126"/>
  <c r="F115" i="126"/>
  <c r="G115" i="126"/>
  <c r="I115" i="126"/>
  <c r="J115" i="126"/>
  <c r="J116" i="126"/>
  <c r="E113" i="126"/>
  <c r="F113" i="126"/>
  <c r="G113" i="126"/>
  <c r="I113" i="126"/>
  <c r="J113" i="126"/>
  <c r="J114" i="126"/>
  <c r="E111" i="126"/>
  <c r="F111" i="126"/>
  <c r="G111" i="126"/>
  <c r="I111" i="126"/>
  <c r="J111" i="126"/>
  <c r="J112" i="126"/>
  <c r="E109" i="126"/>
  <c r="F109" i="126"/>
  <c r="G109" i="126"/>
  <c r="I109" i="126"/>
  <c r="J109" i="126"/>
  <c r="J110" i="126"/>
  <c r="E107" i="126"/>
  <c r="F107" i="126"/>
  <c r="G107" i="126"/>
  <c r="I107" i="126"/>
  <c r="J107" i="126"/>
  <c r="J108" i="126"/>
  <c r="E105" i="126"/>
  <c r="F105" i="126"/>
  <c r="G105" i="126"/>
  <c r="I105" i="126"/>
  <c r="J105" i="126"/>
  <c r="J106" i="126"/>
  <c r="E103" i="126"/>
  <c r="F103" i="126"/>
  <c r="G103" i="126"/>
  <c r="I103" i="126"/>
  <c r="J103" i="126"/>
  <c r="J104" i="126"/>
  <c r="E101" i="126"/>
  <c r="F101" i="126"/>
  <c r="G101" i="126"/>
  <c r="I101" i="126"/>
  <c r="J101" i="126"/>
  <c r="J102" i="126"/>
  <c r="E99" i="126"/>
  <c r="F99" i="126"/>
  <c r="G99" i="126"/>
  <c r="I99" i="126"/>
  <c r="J99" i="126"/>
  <c r="J100" i="126"/>
  <c r="E97" i="126"/>
  <c r="F97" i="126"/>
  <c r="G97" i="126"/>
  <c r="I97" i="126"/>
  <c r="J97" i="126"/>
  <c r="J98" i="126"/>
  <c r="E95" i="126"/>
  <c r="F95" i="126"/>
  <c r="G95" i="126"/>
  <c r="I95" i="126"/>
  <c r="J95" i="126"/>
  <c r="J96" i="126"/>
  <c r="E93" i="126"/>
  <c r="F93" i="126"/>
  <c r="G93" i="126"/>
  <c r="I93" i="126"/>
  <c r="J93" i="126"/>
  <c r="J94" i="126"/>
  <c r="E91" i="126"/>
  <c r="F91" i="126"/>
  <c r="G91" i="126"/>
  <c r="I91" i="126"/>
  <c r="J91" i="126"/>
  <c r="J92" i="126"/>
  <c r="E89" i="126"/>
  <c r="F89" i="126"/>
  <c r="G89" i="126"/>
  <c r="I89" i="126"/>
  <c r="J89" i="126"/>
  <c r="J90" i="126"/>
  <c r="E87" i="126"/>
  <c r="F87" i="126"/>
  <c r="G87" i="126"/>
  <c r="I87" i="126"/>
  <c r="J87" i="126"/>
  <c r="J88" i="126"/>
  <c r="E85" i="126"/>
  <c r="F85" i="126"/>
  <c r="G85" i="126"/>
  <c r="I85" i="126"/>
  <c r="J85" i="126"/>
  <c r="J86" i="126"/>
  <c r="E83" i="126"/>
  <c r="F83" i="126"/>
  <c r="G83" i="126"/>
  <c r="I83" i="126"/>
  <c r="J83" i="126"/>
  <c r="J84" i="126"/>
  <c r="E81" i="126"/>
  <c r="F81" i="126"/>
  <c r="G81" i="126"/>
  <c r="I81" i="126"/>
  <c r="J81" i="126"/>
  <c r="J82" i="126"/>
  <c r="E79" i="126"/>
  <c r="F79" i="126"/>
  <c r="G79" i="126"/>
  <c r="I79" i="126"/>
  <c r="J79" i="126"/>
  <c r="J80" i="126"/>
  <c r="E77" i="126"/>
  <c r="F77" i="126"/>
  <c r="G77" i="126"/>
  <c r="I77" i="126"/>
  <c r="J77" i="126"/>
  <c r="J78" i="126"/>
  <c r="E75" i="126"/>
  <c r="F75" i="126"/>
  <c r="G75" i="126"/>
  <c r="I75" i="126"/>
  <c r="J75" i="126"/>
  <c r="J76" i="126"/>
  <c r="E73" i="126"/>
  <c r="F73" i="126"/>
  <c r="G73" i="126"/>
  <c r="I73" i="126"/>
  <c r="J73" i="126"/>
  <c r="J74" i="126"/>
  <c r="E71" i="126"/>
  <c r="F71" i="126"/>
  <c r="G71" i="126"/>
  <c r="I71" i="126"/>
  <c r="J71" i="126"/>
  <c r="J72" i="126"/>
  <c r="E69" i="126"/>
  <c r="F69" i="126"/>
  <c r="G69" i="126"/>
  <c r="I69" i="126"/>
  <c r="J69" i="126"/>
  <c r="J70" i="126"/>
  <c r="E67" i="126"/>
  <c r="F67" i="126"/>
  <c r="G67" i="126"/>
  <c r="I67" i="126"/>
  <c r="J67" i="126"/>
  <c r="J68" i="126"/>
  <c r="E65" i="126"/>
  <c r="F65" i="126"/>
  <c r="G65" i="126"/>
  <c r="I65" i="126"/>
  <c r="J65" i="126"/>
  <c r="J66" i="126"/>
  <c r="E63" i="126"/>
  <c r="F63" i="126"/>
  <c r="G63" i="126"/>
  <c r="I63" i="126"/>
  <c r="J63" i="126"/>
  <c r="J64" i="126"/>
  <c r="E61" i="126"/>
  <c r="F61" i="126"/>
  <c r="G61" i="126"/>
  <c r="I61" i="126"/>
  <c r="J61" i="126"/>
  <c r="J62" i="126"/>
  <c r="E59" i="126"/>
  <c r="F59" i="126"/>
  <c r="G59" i="126"/>
  <c r="I59" i="126"/>
  <c r="J59" i="126"/>
  <c r="J60" i="126"/>
  <c r="E57" i="126"/>
  <c r="F57" i="126"/>
  <c r="G57" i="126"/>
  <c r="I57" i="126"/>
  <c r="J57" i="126"/>
  <c r="J58" i="126"/>
  <c r="E55" i="126"/>
  <c r="F55" i="126"/>
  <c r="G55" i="126"/>
  <c r="I55" i="126"/>
  <c r="J55" i="126"/>
  <c r="J56" i="126"/>
  <c r="E53" i="126"/>
  <c r="F53" i="126"/>
  <c r="G53" i="126"/>
  <c r="I53" i="126"/>
  <c r="J53" i="126"/>
  <c r="J54" i="126"/>
  <c r="E51" i="126"/>
  <c r="F51" i="126"/>
  <c r="G51" i="126"/>
  <c r="I51" i="126"/>
  <c r="J51" i="126"/>
  <c r="J52" i="126"/>
  <c r="E49" i="126"/>
  <c r="F49" i="126"/>
  <c r="G49" i="126"/>
  <c r="I49" i="126"/>
  <c r="J49" i="126"/>
  <c r="J50" i="126"/>
  <c r="E47" i="126"/>
  <c r="F47" i="126"/>
  <c r="G47" i="126"/>
  <c r="I47" i="126"/>
  <c r="J47" i="126"/>
  <c r="J48" i="126"/>
  <c r="E45" i="126"/>
  <c r="F45" i="126"/>
  <c r="G45" i="126"/>
  <c r="I45" i="126"/>
  <c r="J45" i="126"/>
  <c r="J46" i="126"/>
  <c r="F43" i="126"/>
  <c r="G43" i="126"/>
  <c r="I43" i="126"/>
  <c r="J43" i="126"/>
  <c r="J44" i="126"/>
  <c r="E41" i="126"/>
  <c r="F41" i="126"/>
  <c r="G41" i="126"/>
  <c r="I41" i="126"/>
  <c r="J41" i="126"/>
  <c r="J42" i="126"/>
  <c r="E39" i="126"/>
  <c r="F39" i="126"/>
  <c r="G39" i="126"/>
  <c r="I39" i="126"/>
  <c r="J39" i="126"/>
  <c r="J40" i="126"/>
  <c r="E37" i="126"/>
  <c r="F37" i="126"/>
  <c r="G37" i="126"/>
  <c r="I37" i="126"/>
  <c r="J37" i="126"/>
  <c r="J38" i="126"/>
  <c r="E35" i="126"/>
  <c r="F35" i="126"/>
  <c r="G35" i="126"/>
  <c r="I35" i="126"/>
  <c r="J35" i="126"/>
  <c r="J36" i="126"/>
  <c r="E33" i="126"/>
  <c r="F33" i="126"/>
  <c r="G33" i="126"/>
  <c r="I33" i="126"/>
  <c r="J33" i="126"/>
  <c r="J34" i="126"/>
  <c r="E31" i="126"/>
  <c r="F31" i="126"/>
  <c r="G31" i="126"/>
  <c r="I31" i="126"/>
  <c r="J31" i="126"/>
  <c r="J32" i="126"/>
  <c r="E29" i="126"/>
  <c r="F29" i="126"/>
  <c r="G29" i="126"/>
  <c r="I29" i="126"/>
  <c r="J29" i="126"/>
  <c r="J30" i="126"/>
  <c r="F27" i="126"/>
  <c r="G27" i="126"/>
  <c r="I27" i="126"/>
  <c r="J27" i="126"/>
  <c r="J28" i="126"/>
  <c r="F25" i="126"/>
  <c r="G25" i="126"/>
  <c r="I25" i="126"/>
  <c r="J25" i="126"/>
  <c r="J26" i="126"/>
  <c r="F23" i="126"/>
  <c r="G23" i="126"/>
  <c r="I23" i="126"/>
  <c r="J23" i="126"/>
  <c r="J24" i="126"/>
  <c r="E21" i="126"/>
  <c r="F21" i="126"/>
  <c r="G21" i="126"/>
  <c r="I21" i="126"/>
  <c r="J21" i="126"/>
  <c r="J22" i="126"/>
  <c r="E19" i="126"/>
  <c r="F19" i="126"/>
  <c r="G19" i="126"/>
  <c r="I19" i="126"/>
  <c r="J19" i="126"/>
  <c r="J20" i="126"/>
  <c r="E17" i="126"/>
  <c r="F17" i="126"/>
  <c r="G17" i="126"/>
  <c r="I17" i="126"/>
  <c r="J17" i="126"/>
  <c r="J18" i="126"/>
  <c r="E15" i="126"/>
  <c r="F15" i="126"/>
  <c r="G15" i="126"/>
  <c r="I15" i="126"/>
  <c r="J15" i="126"/>
  <c r="J16" i="126"/>
  <c r="E13" i="126"/>
  <c r="I13" i="126"/>
  <c r="J13" i="126"/>
  <c r="J14" i="126"/>
  <c r="J119" i="126"/>
  <c r="J240" i="126"/>
  <c r="J254" i="126"/>
  <c r="O238" i="126"/>
  <c r="O236" i="126"/>
  <c r="O234" i="126"/>
  <c r="O232" i="126"/>
  <c r="O230" i="126"/>
  <c r="O228" i="126"/>
  <c r="O226" i="126"/>
  <c r="O224" i="126"/>
  <c r="O222" i="126"/>
  <c r="O220" i="126"/>
  <c r="O218" i="126"/>
  <c r="O216" i="126"/>
  <c r="O214" i="126"/>
  <c r="O212" i="126"/>
  <c r="O210" i="126"/>
  <c r="O208" i="126"/>
  <c r="O239" i="126"/>
  <c r="O204" i="126"/>
  <c r="O202" i="126"/>
  <c r="O200" i="126"/>
  <c r="O198" i="126"/>
  <c r="O195" i="126"/>
  <c r="O205" i="126"/>
  <c r="O190" i="126"/>
  <c r="O188" i="126"/>
  <c r="O186" i="126"/>
  <c r="O184" i="126"/>
  <c r="O182" i="126"/>
  <c r="O180" i="126"/>
  <c r="O178" i="126"/>
  <c r="O173" i="126"/>
  <c r="O171" i="126"/>
  <c r="O169" i="126"/>
  <c r="O167" i="126"/>
  <c r="O165" i="126"/>
  <c r="O163" i="126"/>
  <c r="O161" i="126"/>
  <c r="O159" i="126"/>
  <c r="O157" i="126"/>
  <c r="O155" i="126"/>
  <c r="O153" i="126"/>
  <c r="O151" i="126"/>
  <c r="O149" i="126"/>
  <c r="O147" i="126"/>
  <c r="O145" i="126"/>
  <c r="O143" i="126"/>
  <c r="O141" i="126"/>
  <c r="O139" i="126"/>
  <c r="O137" i="126"/>
  <c r="O135" i="126"/>
  <c r="O133" i="126"/>
  <c r="O131" i="126"/>
  <c r="O129" i="126"/>
  <c r="O127" i="126"/>
  <c r="O125" i="126"/>
  <c r="O191" i="126"/>
  <c r="O240" i="126"/>
  <c r="G252" i="126"/>
  <c r="J252" i="126"/>
  <c r="K238" i="126"/>
  <c r="K236" i="126"/>
  <c r="K234" i="126"/>
  <c r="K232" i="126"/>
  <c r="K230" i="126"/>
  <c r="K228" i="126"/>
  <c r="K226" i="126"/>
  <c r="K224" i="126"/>
  <c r="K222" i="126"/>
  <c r="K220" i="126"/>
  <c r="K218" i="126"/>
  <c r="K216" i="126"/>
  <c r="K214" i="126"/>
  <c r="K212" i="126"/>
  <c r="K210" i="126"/>
  <c r="K208" i="126"/>
  <c r="K239" i="126"/>
  <c r="K204" i="126"/>
  <c r="K202" i="126"/>
  <c r="K200" i="126"/>
  <c r="K198" i="126"/>
  <c r="K195" i="126"/>
  <c r="K205" i="126"/>
  <c r="K190" i="126"/>
  <c r="K188" i="126"/>
  <c r="K186" i="126"/>
  <c r="K184" i="126"/>
  <c r="K182" i="126"/>
  <c r="K180" i="126"/>
  <c r="K178" i="126"/>
  <c r="K173" i="126"/>
  <c r="K171" i="126"/>
  <c r="K169" i="126"/>
  <c r="K167" i="126"/>
  <c r="K165" i="126"/>
  <c r="K163" i="126"/>
  <c r="K161" i="126"/>
  <c r="K159" i="126"/>
  <c r="K157" i="126"/>
  <c r="K155" i="126"/>
  <c r="K153" i="126"/>
  <c r="K151" i="126"/>
  <c r="K149" i="126"/>
  <c r="K147" i="126"/>
  <c r="K145" i="126"/>
  <c r="K143" i="126"/>
  <c r="K141" i="126"/>
  <c r="K139" i="126"/>
  <c r="K137" i="126"/>
  <c r="K135" i="126"/>
  <c r="K133" i="126"/>
  <c r="K131" i="126"/>
  <c r="K129" i="126"/>
  <c r="K127" i="126"/>
  <c r="K125" i="126"/>
  <c r="K191" i="126"/>
  <c r="K118" i="126"/>
  <c r="K116" i="126"/>
  <c r="K114" i="126"/>
  <c r="K112" i="126"/>
  <c r="K110" i="126"/>
  <c r="K108" i="126"/>
  <c r="K106" i="126"/>
  <c r="K104" i="126"/>
  <c r="K102" i="126"/>
  <c r="K100" i="126"/>
  <c r="K98" i="126"/>
  <c r="K96" i="126"/>
  <c r="K94" i="126"/>
  <c r="K92" i="126"/>
  <c r="K90" i="126"/>
  <c r="K88" i="126"/>
  <c r="K86" i="126"/>
  <c r="K84" i="126"/>
  <c r="K82" i="126"/>
  <c r="K80" i="126"/>
  <c r="K78" i="126"/>
  <c r="K76" i="126"/>
  <c r="K74" i="126"/>
  <c r="K72" i="126"/>
  <c r="K70" i="126"/>
  <c r="K68" i="126"/>
  <c r="K66" i="126"/>
  <c r="K64" i="126"/>
  <c r="K62" i="126"/>
  <c r="K60" i="126"/>
  <c r="K58" i="126"/>
  <c r="K56" i="126"/>
  <c r="K54" i="126"/>
  <c r="K52" i="126"/>
  <c r="K50" i="126"/>
  <c r="K48" i="126"/>
  <c r="K46" i="126"/>
  <c r="K44" i="126"/>
  <c r="K42" i="126"/>
  <c r="K40" i="126"/>
  <c r="K38" i="126"/>
  <c r="K36" i="126"/>
  <c r="K34" i="126"/>
  <c r="K32" i="126"/>
  <c r="K30" i="126"/>
  <c r="K28" i="126"/>
  <c r="K26" i="126"/>
  <c r="K24" i="126"/>
  <c r="K22" i="126"/>
  <c r="K20" i="126"/>
  <c r="K18" i="126"/>
  <c r="K16" i="126"/>
  <c r="K14" i="126"/>
  <c r="K119" i="126"/>
  <c r="K240" i="126"/>
  <c r="G250" i="126"/>
  <c r="J250" i="126"/>
  <c r="E238" i="126"/>
  <c r="E236" i="126"/>
  <c r="E234" i="126"/>
  <c r="E232" i="126"/>
  <c r="E230" i="126"/>
  <c r="E228" i="126"/>
  <c r="E226" i="126"/>
  <c r="E224" i="126"/>
  <c r="E222" i="126"/>
  <c r="E220" i="126"/>
  <c r="E218" i="126"/>
  <c r="E216" i="126"/>
  <c r="E214" i="126"/>
  <c r="E212" i="126"/>
  <c r="E210" i="126"/>
  <c r="E208" i="126"/>
  <c r="E239" i="126"/>
  <c r="E204" i="126"/>
  <c r="E202" i="126"/>
  <c r="E200" i="126"/>
  <c r="E198" i="126"/>
  <c r="E195" i="126"/>
  <c r="E205" i="126"/>
  <c r="E190" i="126"/>
  <c r="E188" i="126"/>
  <c r="E186" i="126"/>
  <c r="E184" i="126"/>
  <c r="E182" i="126"/>
  <c r="E180" i="126"/>
  <c r="E178" i="126"/>
  <c r="E173" i="126"/>
  <c r="E171" i="126"/>
  <c r="E169" i="126"/>
  <c r="E167" i="126"/>
  <c r="E165" i="126"/>
  <c r="E163" i="126"/>
  <c r="E161" i="126"/>
  <c r="E159" i="126"/>
  <c r="E157" i="126"/>
  <c r="E155" i="126"/>
  <c r="E153" i="126"/>
  <c r="E151" i="126"/>
  <c r="E149" i="126"/>
  <c r="E147" i="126"/>
  <c r="E145" i="126"/>
  <c r="E143" i="126"/>
  <c r="E141" i="126"/>
  <c r="E139" i="126"/>
  <c r="E137" i="126"/>
  <c r="E135" i="126"/>
  <c r="E133" i="126"/>
  <c r="E131" i="126"/>
  <c r="E129" i="126"/>
  <c r="E127" i="126"/>
  <c r="E125" i="126"/>
  <c r="E191" i="126"/>
  <c r="E118" i="126"/>
  <c r="E116" i="126"/>
  <c r="E114" i="126"/>
  <c r="E112" i="126"/>
  <c r="E110" i="126"/>
  <c r="E108" i="126"/>
  <c r="E106" i="126"/>
  <c r="E104" i="126"/>
  <c r="E102" i="126"/>
  <c r="E100" i="126"/>
  <c r="E98" i="126"/>
  <c r="E96" i="126"/>
  <c r="E94" i="126"/>
  <c r="E92" i="126"/>
  <c r="E90" i="126"/>
  <c r="E88" i="126"/>
  <c r="E86" i="126"/>
  <c r="E84" i="126"/>
  <c r="E82" i="126"/>
  <c r="E80" i="126"/>
  <c r="E78" i="126"/>
  <c r="E76" i="126"/>
  <c r="E74" i="126"/>
  <c r="E72" i="126"/>
  <c r="E70" i="126"/>
  <c r="E68" i="126"/>
  <c r="E66" i="126"/>
  <c r="E64" i="126"/>
  <c r="E62" i="126"/>
  <c r="E60" i="126"/>
  <c r="E58" i="126"/>
  <c r="E56" i="126"/>
  <c r="E54" i="126"/>
  <c r="E52" i="126"/>
  <c r="E50" i="126"/>
  <c r="E48" i="126"/>
  <c r="E46" i="126"/>
  <c r="E44" i="126"/>
  <c r="E42" i="126"/>
  <c r="E40" i="126"/>
  <c r="E38" i="126"/>
  <c r="E36" i="126"/>
  <c r="E34" i="126"/>
  <c r="E32" i="126"/>
  <c r="E30" i="126"/>
  <c r="E28" i="126"/>
  <c r="E26" i="126"/>
  <c r="E24" i="126"/>
  <c r="E22" i="126"/>
  <c r="E20" i="126"/>
  <c r="E18" i="126"/>
  <c r="E16" i="126"/>
  <c r="E14" i="126"/>
  <c r="E119" i="126"/>
  <c r="E240" i="126"/>
  <c r="G248" i="126"/>
  <c r="M1" i="126"/>
  <c r="M7" i="126"/>
  <c r="G246" i="126"/>
  <c r="J248" i="126"/>
  <c r="E242" i="126"/>
  <c r="F242" i="126"/>
  <c r="K241" i="126"/>
  <c r="E241" i="126"/>
  <c r="N237" i="126"/>
  <c r="V237" i="126"/>
  <c r="V238" i="126"/>
  <c r="N235" i="126"/>
  <c r="V235" i="126"/>
  <c r="V236" i="126"/>
  <c r="N233" i="126"/>
  <c r="V233" i="126"/>
  <c r="V234" i="126"/>
  <c r="N231" i="126"/>
  <c r="V231" i="126"/>
  <c r="V232" i="126"/>
  <c r="N229" i="126"/>
  <c r="V229" i="126"/>
  <c r="V230" i="126"/>
  <c r="N227" i="126"/>
  <c r="V227" i="126"/>
  <c r="V228" i="126"/>
  <c r="N225" i="126"/>
  <c r="V225" i="126"/>
  <c r="V226" i="126"/>
  <c r="N223" i="126"/>
  <c r="V223" i="126"/>
  <c r="V224" i="126"/>
  <c r="N221" i="126"/>
  <c r="V221" i="126"/>
  <c r="V222" i="126"/>
  <c r="N219" i="126"/>
  <c r="V219" i="126"/>
  <c r="V220" i="126"/>
  <c r="N217" i="126"/>
  <c r="V217" i="126"/>
  <c r="V218" i="126"/>
  <c r="N215" i="126"/>
  <c r="V215" i="126"/>
  <c r="V216" i="126"/>
  <c r="N213" i="126"/>
  <c r="V213" i="126"/>
  <c r="V214" i="126"/>
  <c r="N211" i="126"/>
  <c r="V211" i="126"/>
  <c r="V212" i="126"/>
  <c r="N209" i="126"/>
  <c r="V209" i="126"/>
  <c r="V210" i="126"/>
  <c r="N207" i="126"/>
  <c r="V207" i="126"/>
  <c r="V208" i="126"/>
  <c r="V239" i="126"/>
  <c r="N203" i="126"/>
  <c r="V203" i="126"/>
  <c r="V204" i="126"/>
  <c r="N201" i="126"/>
  <c r="V201" i="126"/>
  <c r="V202" i="126"/>
  <c r="N199" i="126"/>
  <c r="V199" i="126"/>
  <c r="V200" i="126"/>
  <c r="N196" i="126"/>
  <c r="V196" i="126"/>
  <c r="N197" i="126"/>
  <c r="V197" i="126"/>
  <c r="V198" i="126"/>
  <c r="N193" i="126"/>
  <c r="V193" i="126"/>
  <c r="N194" i="126"/>
  <c r="V194" i="126"/>
  <c r="V195" i="126"/>
  <c r="V205" i="126"/>
  <c r="N189" i="126"/>
  <c r="V189" i="126"/>
  <c r="V190" i="126"/>
  <c r="N187" i="126"/>
  <c r="V187" i="126"/>
  <c r="V188" i="126"/>
  <c r="N185" i="126"/>
  <c r="V185" i="126"/>
  <c r="V186" i="126"/>
  <c r="N183" i="126"/>
  <c r="V183" i="126"/>
  <c r="V184" i="126"/>
  <c r="N181" i="126"/>
  <c r="V181" i="126"/>
  <c r="V182" i="126"/>
  <c r="N179" i="126"/>
  <c r="V179" i="126"/>
  <c r="V180" i="126"/>
  <c r="N174" i="126"/>
  <c r="V174" i="126"/>
  <c r="N175" i="126"/>
  <c r="V175" i="126"/>
  <c r="N176" i="126"/>
  <c r="V176" i="126"/>
  <c r="N177" i="126"/>
  <c r="V177" i="126"/>
  <c r="V178" i="126"/>
  <c r="N172" i="126"/>
  <c r="V172" i="126"/>
  <c r="V173" i="126"/>
  <c r="N170" i="126"/>
  <c r="V170" i="126"/>
  <c r="V171" i="126"/>
  <c r="V168" i="126"/>
  <c r="V169" i="126"/>
  <c r="N166" i="126"/>
  <c r="V166" i="126"/>
  <c r="V167" i="126"/>
  <c r="N164" i="126"/>
  <c r="V164" i="126"/>
  <c r="V165" i="126"/>
  <c r="N162" i="126"/>
  <c r="V162" i="126"/>
  <c r="V163" i="126"/>
  <c r="N160" i="126"/>
  <c r="V160" i="126"/>
  <c r="V161" i="126"/>
  <c r="N158" i="126"/>
  <c r="V158" i="126"/>
  <c r="V159" i="126"/>
  <c r="N156" i="126"/>
  <c r="V156" i="126"/>
  <c r="V157" i="126"/>
  <c r="N154" i="126"/>
  <c r="V154" i="126"/>
  <c r="V155" i="126"/>
  <c r="N152" i="126"/>
  <c r="V152" i="126"/>
  <c r="V153" i="126"/>
  <c r="N150" i="126"/>
  <c r="V150" i="126"/>
  <c r="V151" i="126"/>
  <c r="N148" i="126"/>
  <c r="V148" i="126"/>
  <c r="V149" i="126"/>
  <c r="N146" i="126"/>
  <c r="V146" i="126"/>
  <c r="V147" i="126"/>
  <c r="N144" i="126"/>
  <c r="V144" i="126"/>
  <c r="V145" i="126"/>
  <c r="N142" i="126"/>
  <c r="V142" i="126"/>
  <c r="V143" i="126"/>
  <c r="N140" i="126"/>
  <c r="V140" i="126"/>
  <c r="V141" i="126"/>
  <c r="N138" i="126"/>
  <c r="V138" i="126"/>
  <c r="V139" i="126"/>
  <c r="N136" i="126"/>
  <c r="V136" i="126"/>
  <c r="V137" i="126"/>
  <c r="N134" i="126"/>
  <c r="V134" i="126"/>
  <c r="V135" i="126"/>
  <c r="N132" i="126"/>
  <c r="V132" i="126"/>
  <c r="V133" i="126"/>
  <c r="N130" i="126"/>
  <c r="V130" i="126"/>
  <c r="V131" i="126"/>
  <c r="N128" i="126"/>
  <c r="V128" i="126"/>
  <c r="V129" i="126"/>
  <c r="N126" i="126"/>
  <c r="V126" i="126"/>
  <c r="V127" i="126"/>
  <c r="N121" i="126"/>
  <c r="V121" i="126"/>
  <c r="N122" i="126"/>
  <c r="V122" i="126"/>
  <c r="N124" i="126"/>
  <c r="V124" i="126"/>
  <c r="V125" i="126"/>
  <c r="V191" i="126"/>
  <c r="V240" i="126"/>
  <c r="U237" i="126"/>
  <c r="U238" i="126"/>
  <c r="U235" i="126"/>
  <c r="U236" i="126"/>
  <c r="U233" i="126"/>
  <c r="U234" i="126"/>
  <c r="U231" i="126"/>
  <c r="U232" i="126"/>
  <c r="U229" i="126"/>
  <c r="U230" i="126"/>
  <c r="U227" i="126"/>
  <c r="U228" i="126"/>
  <c r="U225" i="126"/>
  <c r="U226" i="126"/>
  <c r="U223" i="126"/>
  <c r="U224" i="126"/>
  <c r="U221" i="126"/>
  <c r="U222" i="126"/>
  <c r="U219" i="126"/>
  <c r="U220" i="126"/>
  <c r="U217" i="126"/>
  <c r="U218" i="126"/>
  <c r="U215" i="126"/>
  <c r="U216" i="126"/>
  <c r="U213" i="126"/>
  <c r="U214" i="126"/>
  <c r="U211" i="126"/>
  <c r="U212" i="126"/>
  <c r="U209" i="126"/>
  <c r="U210" i="126"/>
  <c r="U207" i="126"/>
  <c r="U208" i="126"/>
  <c r="U239" i="126"/>
  <c r="U203" i="126"/>
  <c r="U204" i="126"/>
  <c r="U201" i="126"/>
  <c r="U202" i="126"/>
  <c r="U199" i="126"/>
  <c r="U200" i="126"/>
  <c r="U196" i="126"/>
  <c r="U197" i="126"/>
  <c r="U198" i="126"/>
  <c r="U193" i="126"/>
  <c r="U194" i="126"/>
  <c r="U195" i="126"/>
  <c r="U205" i="126"/>
  <c r="U189" i="126"/>
  <c r="U190" i="126"/>
  <c r="U187" i="126"/>
  <c r="U188" i="126"/>
  <c r="U185" i="126"/>
  <c r="U186" i="126"/>
  <c r="U183" i="126"/>
  <c r="U184" i="126"/>
  <c r="U181" i="126"/>
  <c r="U182" i="126"/>
  <c r="U179" i="126"/>
  <c r="U180" i="126"/>
  <c r="U174" i="126"/>
  <c r="U175" i="126"/>
  <c r="U176" i="126"/>
  <c r="U177" i="126"/>
  <c r="U178" i="126"/>
  <c r="U172" i="126"/>
  <c r="U173" i="126"/>
  <c r="U170" i="126"/>
  <c r="U171" i="126"/>
  <c r="N168" i="126"/>
  <c r="U168" i="126"/>
  <c r="U169" i="126"/>
  <c r="U166" i="126"/>
  <c r="U167" i="126"/>
  <c r="U164" i="126"/>
  <c r="U165" i="126"/>
  <c r="U162" i="126"/>
  <c r="U163" i="126"/>
  <c r="U160" i="126"/>
  <c r="U161" i="126"/>
  <c r="U158" i="126"/>
  <c r="U159" i="126"/>
  <c r="U156" i="126"/>
  <c r="U157" i="126"/>
  <c r="U154" i="126"/>
  <c r="U155" i="126"/>
  <c r="U152" i="126"/>
  <c r="U153" i="126"/>
  <c r="U150" i="126"/>
  <c r="U151" i="126"/>
  <c r="U148" i="126"/>
  <c r="U149" i="126"/>
  <c r="U146" i="126"/>
  <c r="U147" i="126"/>
  <c r="U144" i="126"/>
  <c r="U145" i="126"/>
  <c r="U142" i="126"/>
  <c r="U143" i="126"/>
  <c r="U140" i="126"/>
  <c r="U141" i="126"/>
  <c r="U138" i="126"/>
  <c r="U139" i="126"/>
  <c r="U136" i="126"/>
  <c r="U137" i="126"/>
  <c r="U134" i="126"/>
  <c r="U135" i="126"/>
  <c r="U132" i="126"/>
  <c r="U133" i="126"/>
  <c r="U130" i="126"/>
  <c r="U131" i="126"/>
  <c r="U128" i="126"/>
  <c r="U129" i="126"/>
  <c r="U126" i="126"/>
  <c r="U127" i="126"/>
  <c r="U121" i="126"/>
  <c r="U122" i="126"/>
  <c r="N123" i="126"/>
  <c r="U123" i="126"/>
  <c r="U124" i="126"/>
  <c r="U125" i="126"/>
  <c r="U191" i="126"/>
  <c r="U240" i="126"/>
  <c r="T237" i="126"/>
  <c r="T238" i="126"/>
  <c r="T235" i="126"/>
  <c r="T236" i="126"/>
  <c r="T233" i="126"/>
  <c r="T234" i="126"/>
  <c r="T231" i="126"/>
  <c r="T232" i="126"/>
  <c r="T229" i="126"/>
  <c r="T230" i="126"/>
  <c r="T227" i="126"/>
  <c r="T228" i="126"/>
  <c r="T225" i="126"/>
  <c r="T226" i="126"/>
  <c r="T223" i="126"/>
  <c r="T224" i="126"/>
  <c r="T221" i="126"/>
  <c r="T222" i="126"/>
  <c r="T219" i="126"/>
  <c r="T220" i="126"/>
  <c r="T217" i="126"/>
  <c r="T218" i="126"/>
  <c r="T215" i="126"/>
  <c r="T216" i="126"/>
  <c r="T213" i="126"/>
  <c r="T214" i="126"/>
  <c r="T211" i="126"/>
  <c r="T212" i="126"/>
  <c r="T209" i="126"/>
  <c r="T210" i="126"/>
  <c r="T207" i="126"/>
  <c r="T208" i="126"/>
  <c r="T239" i="126"/>
  <c r="T203" i="126"/>
  <c r="T204" i="126"/>
  <c r="T201" i="126"/>
  <c r="T202" i="126"/>
  <c r="T199" i="126"/>
  <c r="T200" i="126"/>
  <c r="T196" i="126"/>
  <c r="T197" i="126"/>
  <c r="T198" i="126"/>
  <c r="T193" i="126"/>
  <c r="T194" i="126"/>
  <c r="T195" i="126"/>
  <c r="T205" i="126"/>
  <c r="T189" i="126"/>
  <c r="T190" i="126"/>
  <c r="T187" i="126"/>
  <c r="T188" i="126"/>
  <c r="T185" i="126"/>
  <c r="T186" i="126"/>
  <c r="T183" i="126"/>
  <c r="T184" i="126"/>
  <c r="T181" i="126"/>
  <c r="T182" i="126"/>
  <c r="T179" i="126"/>
  <c r="T180" i="126"/>
  <c r="T174" i="126"/>
  <c r="T175" i="126"/>
  <c r="T176" i="126"/>
  <c r="T177" i="126"/>
  <c r="T178" i="126"/>
  <c r="T172" i="126"/>
  <c r="T173" i="126"/>
  <c r="T170" i="126"/>
  <c r="T171" i="126"/>
  <c r="T168" i="126"/>
  <c r="T169" i="126"/>
  <c r="T166" i="126"/>
  <c r="T167" i="126"/>
  <c r="T164" i="126"/>
  <c r="T165" i="126"/>
  <c r="T162" i="126"/>
  <c r="T163" i="126"/>
  <c r="T160" i="126"/>
  <c r="T161" i="126"/>
  <c r="T158" i="126"/>
  <c r="T159" i="126"/>
  <c r="T156" i="126"/>
  <c r="T157" i="126"/>
  <c r="T154" i="126"/>
  <c r="T155" i="126"/>
  <c r="T152" i="126"/>
  <c r="T153" i="126"/>
  <c r="T150" i="126"/>
  <c r="T151" i="126"/>
  <c r="T148" i="126"/>
  <c r="T149" i="126"/>
  <c r="T146" i="126"/>
  <c r="T147" i="126"/>
  <c r="T144" i="126"/>
  <c r="T145" i="126"/>
  <c r="T142" i="126"/>
  <c r="T143" i="126"/>
  <c r="T140" i="126"/>
  <c r="T141" i="126"/>
  <c r="T138" i="126"/>
  <c r="T139" i="126"/>
  <c r="T136" i="126"/>
  <c r="T137" i="126"/>
  <c r="T134" i="126"/>
  <c r="T135" i="126"/>
  <c r="T132" i="126"/>
  <c r="T133" i="126"/>
  <c r="T130" i="126"/>
  <c r="T131" i="126"/>
  <c r="T128" i="126"/>
  <c r="T129" i="126"/>
  <c r="T126" i="126"/>
  <c r="T127" i="126"/>
  <c r="T121" i="126"/>
  <c r="T122" i="126"/>
  <c r="T123" i="126"/>
  <c r="T124" i="126"/>
  <c r="T125" i="126"/>
  <c r="T191" i="126"/>
  <c r="T240" i="126"/>
  <c r="S237" i="126"/>
  <c r="S238" i="126"/>
  <c r="S235" i="126"/>
  <c r="S236" i="126"/>
  <c r="S233" i="126"/>
  <c r="S234" i="126"/>
  <c r="S231" i="126"/>
  <c r="S232" i="126"/>
  <c r="S229" i="126"/>
  <c r="S230" i="126"/>
  <c r="S227" i="126"/>
  <c r="S228" i="126"/>
  <c r="S225" i="126"/>
  <c r="S226" i="126"/>
  <c r="S223" i="126"/>
  <c r="S224" i="126"/>
  <c r="S221" i="126"/>
  <c r="S222" i="126"/>
  <c r="S219" i="126"/>
  <c r="S220" i="126"/>
  <c r="S217" i="126"/>
  <c r="S218" i="126"/>
  <c r="S215" i="126"/>
  <c r="S216" i="126"/>
  <c r="S213" i="126"/>
  <c r="S214" i="126"/>
  <c r="S211" i="126"/>
  <c r="S212" i="126"/>
  <c r="S209" i="126"/>
  <c r="S210" i="126"/>
  <c r="S207" i="126"/>
  <c r="S208" i="126"/>
  <c r="S239" i="126"/>
  <c r="S203" i="126"/>
  <c r="S204" i="126"/>
  <c r="S201" i="126"/>
  <c r="S202" i="126"/>
  <c r="S199" i="126"/>
  <c r="S200" i="126"/>
  <c r="S196" i="126"/>
  <c r="S197" i="126"/>
  <c r="S198" i="126"/>
  <c r="S193" i="126"/>
  <c r="S194" i="126"/>
  <c r="S195" i="126"/>
  <c r="S205" i="126"/>
  <c r="S189" i="126"/>
  <c r="S190" i="126"/>
  <c r="S187" i="126"/>
  <c r="S188" i="126"/>
  <c r="S185" i="126"/>
  <c r="S186" i="126"/>
  <c r="S183" i="126"/>
  <c r="S184" i="126"/>
  <c r="S181" i="126"/>
  <c r="S182" i="126"/>
  <c r="S179" i="126"/>
  <c r="S180" i="126"/>
  <c r="S174" i="126"/>
  <c r="S175" i="126"/>
  <c r="S176" i="126"/>
  <c r="S177" i="126"/>
  <c r="S178" i="126"/>
  <c r="S172" i="126"/>
  <c r="S173" i="126"/>
  <c r="S170" i="126"/>
  <c r="S171" i="126"/>
  <c r="S168" i="126"/>
  <c r="S169" i="126"/>
  <c r="S166" i="126"/>
  <c r="S167" i="126"/>
  <c r="S164" i="126"/>
  <c r="S165" i="126"/>
  <c r="S162" i="126"/>
  <c r="S163" i="126"/>
  <c r="S160" i="126"/>
  <c r="S161" i="126"/>
  <c r="S158" i="126"/>
  <c r="S159" i="126"/>
  <c r="S156" i="126"/>
  <c r="S157" i="126"/>
  <c r="S154" i="126"/>
  <c r="S155" i="126"/>
  <c r="S152" i="126"/>
  <c r="S153" i="126"/>
  <c r="S150" i="126"/>
  <c r="S151" i="126"/>
  <c r="S148" i="126"/>
  <c r="S149" i="126"/>
  <c r="S146" i="126"/>
  <c r="S147" i="126"/>
  <c r="S144" i="126"/>
  <c r="S145" i="126"/>
  <c r="S142" i="126"/>
  <c r="S143" i="126"/>
  <c r="S140" i="126"/>
  <c r="S141" i="126"/>
  <c r="S138" i="126"/>
  <c r="S139" i="126"/>
  <c r="S136" i="126"/>
  <c r="S137" i="126"/>
  <c r="S134" i="126"/>
  <c r="S135" i="126"/>
  <c r="S132" i="126"/>
  <c r="S133" i="126"/>
  <c r="S130" i="126"/>
  <c r="S131" i="126"/>
  <c r="S128" i="126"/>
  <c r="S129" i="126"/>
  <c r="S126" i="126"/>
  <c r="S127" i="126"/>
  <c r="S121" i="126"/>
  <c r="S122" i="126"/>
  <c r="S123" i="126"/>
  <c r="S124" i="126"/>
  <c r="S125" i="126"/>
  <c r="S191" i="126"/>
  <c r="S240" i="126"/>
  <c r="R237" i="126"/>
  <c r="R238" i="126"/>
  <c r="R235" i="126"/>
  <c r="R236" i="126"/>
  <c r="R233" i="126"/>
  <c r="R234" i="126"/>
  <c r="R231" i="126"/>
  <c r="R232" i="126"/>
  <c r="R229" i="126"/>
  <c r="R230" i="126"/>
  <c r="R227" i="126"/>
  <c r="R228" i="126"/>
  <c r="R225" i="126"/>
  <c r="R226" i="126"/>
  <c r="R223" i="126"/>
  <c r="R224" i="126"/>
  <c r="R221" i="126"/>
  <c r="R222" i="126"/>
  <c r="R219" i="126"/>
  <c r="R220" i="126"/>
  <c r="R217" i="126"/>
  <c r="R218" i="126"/>
  <c r="R215" i="126"/>
  <c r="R216" i="126"/>
  <c r="R213" i="126"/>
  <c r="R214" i="126"/>
  <c r="R211" i="126"/>
  <c r="R212" i="126"/>
  <c r="R209" i="126"/>
  <c r="R210" i="126"/>
  <c r="R207" i="126"/>
  <c r="R208" i="126"/>
  <c r="R239" i="126"/>
  <c r="R203" i="126"/>
  <c r="R204" i="126"/>
  <c r="R201" i="126"/>
  <c r="R202" i="126"/>
  <c r="R199" i="126"/>
  <c r="R200" i="126"/>
  <c r="R196" i="126"/>
  <c r="R197" i="126"/>
  <c r="R198" i="126"/>
  <c r="R193" i="126"/>
  <c r="R194" i="126"/>
  <c r="R195" i="126"/>
  <c r="R205" i="126"/>
  <c r="R189" i="126"/>
  <c r="R190" i="126"/>
  <c r="R187" i="126"/>
  <c r="R188" i="126"/>
  <c r="R185" i="126"/>
  <c r="R186" i="126"/>
  <c r="R183" i="126"/>
  <c r="R184" i="126"/>
  <c r="R181" i="126"/>
  <c r="R182" i="126"/>
  <c r="R179" i="126"/>
  <c r="R180" i="126"/>
  <c r="R174" i="126"/>
  <c r="R175" i="126"/>
  <c r="R176" i="126"/>
  <c r="R177" i="126"/>
  <c r="R178" i="126"/>
  <c r="R172" i="126"/>
  <c r="R173" i="126"/>
  <c r="R170" i="126"/>
  <c r="R171" i="126"/>
  <c r="R168" i="126"/>
  <c r="R169" i="126"/>
  <c r="R166" i="126"/>
  <c r="R167" i="126"/>
  <c r="R164" i="126"/>
  <c r="R165" i="126"/>
  <c r="R162" i="126"/>
  <c r="R163" i="126"/>
  <c r="R160" i="126"/>
  <c r="R161" i="126"/>
  <c r="R158" i="126"/>
  <c r="R159" i="126"/>
  <c r="R156" i="126"/>
  <c r="R157" i="126"/>
  <c r="R154" i="126"/>
  <c r="R155" i="126"/>
  <c r="R152" i="126"/>
  <c r="R153" i="126"/>
  <c r="R150" i="126"/>
  <c r="R151" i="126"/>
  <c r="R148" i="126"/>
  <c r="R149" i="126"/>
  <c r="R146" i="126"/>
  <c r="R147" i="126"/>
  <c r="R144" i="126"/>
  <c r="R145" i="126"/>
  <c r="R142" i="126"/>
  <c r="R143" i="126"/>
  <c r="R140" i="126"/>
  <c r="R141" i="126"/>
  <c r="R138" i="126"/>
  <c r="R139" i="126"/>
  <c r="R136" i="126"/>
  <c r="R137" i="126"/>
  <c r="R134" i="126"/>
  <c r="R135" i="126"/>
  <c r="R132" i="126"/>
  <c r="R133" i="126"/>
  <c r="R130" i="126"/>
  <c r="R131" i="126"/>
  <c r="R128" i="126"/>
  <c r="R129" i="126"/>
  <c r="R126" i="126"/>
  <c r="R127" i="126"/>
  <c r="R121" i="126"/>
  <c r="R122" i="126"/>
  <c r="R123" i="126"/>
  <c r="R124" i="126"/>
  <c r="R125" i="126"/>
  <c r="R191" i="126"/>
  <c r="R240" i="126"/>
  <c r="Q239" i="126"/>
  <c r="Q240" i="126"/>
  <c r="I238" i="126"/>
  <c r="I236" i="126"/>
  <c r="I234" i="126"/>
  <c r="I232" i="126"/>
  <c r="I230" i="126"/>
  <c r="I228" i="126"/>
  <c r="I226" i="126"/>
  <c r="I224" i="126"/>
  <c r="I222" i="126"/>
  <c r="I220" i="126"/>
  <c r="I218" i="126"/>
  <c r="I216" i="126"/>
  <c r="I214" i="126"/>
  <c r="I212" i="126"/>
  <c r="I210" i="126"/>
  <c r="I208" i="126"/>
  <c r="I239" i="126"/>
  <c r="I204" i="126"/>
  <c r="I202" i="126"/>
  <c r="I200" i="126"/>
  <c r="I198" i="126"/>
  <c r="I195" i="126"/>
  <c r="I205" i="126"/>
  <c r="I190" i="126"/>
  <c r="I188" i="126"/>
  <c r="I186" i="126"/>
  <c r="I184" i="126"/>
  <c r="I182" i="126"/>
  <c r="I180" i="126"/>
  <c r="I178" i="126"/>
  <c r="I173" i="126"/>
  <c r="I171" i="126"/>
  <c r="I169" i="126"/>
  <c r="I167" i="126"/>
  <c r="I165" i="126"/>
  <c r="I163" i="126"/>
  <c r="I161" i="126"/>
  <c r="I159" i="126"/>
  <c r="I157" i="126"/>
  <c r="I155" i="126"/>
  <c r="I153" i="126"/>
  <c r="I151" i="126"/>
  <c r="I149" i="126"/>
  <c r="I147" i="126"/>
  <c r="I145" i="126"/>
  <c r="I143" i="126"/>
  <c r="I141" i="126"/>
  <c r="I139" i="126"/>
  <c r="I137" i="126"/>
  <c r="I135" i="126"/>
  <c r="I133" i="126"/>
  <c r="I131" i="126"/>
  <c r="I129" i="126"/>
  <c r="I127" i="126"/>
  <c r="I125" i="126"/>
  <c r="I191" i="126"/>
  <c r="I118" i="126"/>
  <c r="I116" i="126"/>
  <c r="I114" i="126"/>
  <c r="I112" i="126"/>
  <c r="I110" i="126"/>
  <c r="I108" i="126"/>
  <c r="I106" i="126"/>
  <c r="I104" i="126"/>
  <c r="I102" i="126"/>
  <c r="I100" i="126"/>
  <c r="I98" i="126"/>
  <c r="I96" i="126"/>
  <c r="I94" i="126"/>
  <c r="I92" i="126"/>
  <c r="I90" i="126"/>
  <c r="I88" i="126"/>
  <c r="I86" i="126"/>
  <c r="I84" i="126"/>
  <c r="I82" i="126"/>
  <c r="I80" i="126"/>
  <c r="I78" i="126"/>
  <c r="I76" i="126"/>
  <c r="I74" i="126"/>
  <c r="I72" i="126"/>
  <c r="I70" i="126"/>
  <c r="I68" i="126"/>
  <c r="I66" i="126"/>
  <c r="I64" i="126"/>
  <c r="I62" i="126"/>
  <c r="I60" i="126"/>
  <c r="I58" i="126"/>
  <c r="I56" i="126"/>
  <c r="I54" i="126"/>
  <c r="I52" i="126"/>
  <c r="I50" i="126"/>
  <c r="I48" i="126"/>
  <c r="I46" i="126"/>
  <c r="I44" i="126"/>
  <c r="I42" i="126"/>
  <c r="I40" i="126"/>
  <c r="I38" i="126"/>
  <c r="I36" i="126"/>
  <c r="I34" i="126"/>
  <c r="I32" i="126"/>
  <c r="I30" i="126"/>
  <c r="I28" i="126"/>
  <c r="I26" i="126"/>
  <c r="I24" i="126"/>
  <c r="I22" i="126"/>
  <c r="I20" i="126"/>
  <c r="I18" i="126"/>
  <c r="I16" i="126"/>
  <c r="I14" i="126"/>
  <c r="I119" i="126"/>
  <c r="I240" i="126"/>
  <c r="H238" i="126"/>
  <c r="H236" i="126"/>
  <c r="H234" i="126"/>
  <c r="H232" i="126"/>
  <c r="H230" i="126"/>
  <c r="H228" i="126"/>
  <c r="H226" i="126"/>
  <c r="H224" i="126"/>
  <c r="H222" i="126"/>
  <c r="H220" i="126"/>
  <c r="H218" i="126"/>
  <c r="H216" i="126"/>
  <c r="H214" i="126"/>
  <c r="H212" i="126"/>
  <c r="H210" i="126"/>
  <c r="H208" i="126"/>
  <c r="H239" i="126"/>
  <c r="H204" i="126"/>
  <c r="H202" i="126"/>
  <c r="H200" i="126"/>
  <c r="H198" i="126"/>
  <c r="H195" i="126"/>
  <c r="H205" i="126"/>
  <c r="H190" i="126"/>
  <c r="H188" i="126"/>
  <c r="H186" i="126"/>
  <c r="H184" i="126"/>
  <c r="H182" i="126"/>
  <c r="H180" i="126"/>
  <c r="H178" i="126"/>
  <c r="H173" i="126"/>
  <c r="H171" i="126"/>
  <c r="H169" i="126"/>
  <c r="H167" i="126"/>
  <c r="H165" i="126"/>
  <c r="H163" i="126"/>
  <c r="H161" i="126"/>
  <c r="H159" i="126"/>
  <c r="H157" i="126"/>
  <c r="H155" i="126"/>
  <c r="H153" i="126"/>
  <c r="H151" i="126"/>
  <c r="H149" i="126"/>
  <c r="H147" i="126"/>
  <c r="H145" i="126"/>
  <c r="H143" i="126"/>
  <c r="H141" i="126"/>
  <c r="H139" i="126"/>
  <c r="H137" i="126"/>
  <c r="H135" i="126"/>
  <c r="H133" i="126"/>
  <c r="H131" i="126"/>
  <c r="H129" i="126"/>
  <c r="H127" i="126"/>
  <c r="H125" i="126"/>
  <c r="H191" i="126"/>
  <c r="H118" i="126"/>
  <c r="H116" i="126"/>
  <c r="H114" i="126"/>
  <c r="H112" i="126"/>
  <c r="H110" i="126"/>
  <c r="H108" i="126"/>
  <c r="H106" i="126"/>
  <c r="H104" i="126"/>
  <c r="H102" i="126"/>
  <c r="H100" i="126"/>
  <c r="H98" i="126"/>
  <c r="H96" i="126"/>
  <c r="H94" i="126"/>
  <c r="H92" i="126"/>
  <c r="H90" i="126"/>
  <c r="H88" i="126"/>
  <c r="H86" i="126"/>
  <c r="H84" i="126"/>
  <c r="H82" i="126"/>
  <c r="H80" i="126"/>
  <c r="H78" i="126"/>
  <c r="H76" i="126"/>
  <c r="H74" i="126"/>
  <c r="H72" i="126"/>
  <c r="H70" i="126"/>
  <c r="H68" i="126"/>
  <c r="H66" i="126"/>
  <c r="H64" i="126"/>
  <c r="H62" i="126"/>
  <c r="H60" i="126"/>
  <c r="H58" i="126"/>
  <c r="H56" i="126"/>
  <c r="H54" i="126"/>
  <c r="H52" i="126"/>
  <c r="H50" i="126"/>
  <c r="H48" i="126"/>
  <c r="H46" i="126"/>
  <c r="H44" i="126"/>
  <c r="H42" i="126"/>
  <c r="H40" i="126"/>
  <c r="H38" i="126"/>
  <c r="H36" i="126"/>
  <c r="H34" i="126"/>
  <c r="H32" i="126"/>
  <c r="H30" i="126"/>
  <c r="H28" i="126"/>
  <c r="H26" i="126"/>
  <c r="H24" i="126"/>
  <c r="H22" i="126"/>
  <c r="H20" i="126"/>
  <c r="H18" i="126"/>
  <c r="H16" i="126"/>
  <c r="H14" i="126"/>
  <c r="H119" i="126"/>
  <c r="H240" i="126"/>
  <c r="G238" i="126"/>
  <c r="G236" i="126"/>
  <c r="G234" i="126"/>
  <c r="G232" i="126"/>
  <c r="G230" i="126"/>
  <c r="G228" i="126"/>
  <c r="G226" i="126"/>
  <c r="G224" i="126"/>
  <c r="G222" i="126"/>
  <c r="G220" i="126"/>
  <c r="G218" i="126"/>
  <c r="G216" i="126"/>
  <c r="G214" i="126"/>
  <c r="G212" i="126"/>
  <c r="G210" i="126"/>
  <c r="G208" i="126"/>
  <c r="G239" i="126"/>
  <c r="G204" i="126"/>
  <c r="G202" i="126"/>
  <c r="G200" i="126"/>
  <c r="G198" i="126"/>
  <c r="G195" i="126"/>
  <c r="G205" i="126"/>
  <c r="G190" i="126"/>
  <c r="G188" i="126"/>
  <c r="G186" i="126"/>
  <c r="G184" i="126"/>
  <c r="G182" i="126"/>
  <c r="G180" i="126"/>
  <c r="G178" i="126"/>
  <c r="G173" i="126"/>
  <c r="G171" i="126"/>
  <c r="G169" i="126"/>
  <c r="G167" i="126"/>
  <c r="G165" i="126"/>
  <c r="G163" i="126"/>
  <c r="G161" i="126"/>
  <c r="G159" i="126"/>
  <c r="G157" i="126"/>
  <c r="G155" i="126"/>
  <c r="G153" i="126"/>
  <c r="G151" i="126"/>
  <c r="G149" i="126"/>
  <c r="G147" i="126"/>
  <c r="G145" i="126"/>
  <c r="G143" i="126"/>
  <c r="G141" i="126"/>
  <c r="G139" i="126"/>
  <c r="G137" i="126"/>
  <c r="G135" i="126"/>
  <c r="G133" i="126"/>
  <c r="G131" i="126"/>
  <c r="G129" i="126"/>
  <c r="G127" i="126"/>
  <c r="G125" i="126"/>
  <c r="G191" i="126"/>
  <c r="G118" i="126"/>
  <c r="G116" i="126"/>
  <c r="G114" i="126"/>
  <c r="G112" i="126"/>
  <c r="G110" i="126"/>
  <c r="G108" i="126"/>
  <c r="G106" i="126"/>
  <c r="G104" i="126"/>
  <c r="G102" i="126"/>
  <c r="G100" i="126"/>
  <c r="G98" i="126"/>
  <c r="G96" i="126"/>
  <c r="G94" i="126"/>
  <c r="G92" i="126"/>
  <c r="G90" i="126"/>
  <c r="G88" i="126"/>
  <c r="G86" i="126"/>
  <c r="G84" i="126"/>
  <c r="G82" i="126"/>
  <c r="G80" i="126"/>
  <c r="G78" i="126"/>
  <c r="G76" i="126"/>
  <c r="G74" i="126"/>
  <c r="G72" i="126"/>
  <c r="G70" i="126"/>
  <c r="G68" i="126"/>
  <c r="G66" i="126"/>
  <c r="G64" i="126"/>
  <c r="G62" i="126"/>
  <c r="G60" i="126"/>
  <c r="G58" i="126"/>
  <c r="G56" i="126"/>
  <c r="G54" i="126"/>
  <c r="G52" i="126"/>
  <c r="G50" i="126"/>
  <c r="G48" i="126"/>
  <c r="G46" i="126"/>
  <c r="G44" i="126"/>
  <c r="G42" i="126"/>
  <c r="G40" i="126"/>
  <c r="G38" i="126"/>
  <c r="G36" i="126"/>
  <c r="G34" i="126"/>
  <c r="G32" i="126"/>
  <c r="G30" i="126"/>
  <c r="G28" i="126"/>
  <c r="G26" i="126"/>
  <c r="G24" i="126"/>
  <c r="G22" i="126"/>
  <c r="G20" i="126"/>
  <c r="G18" i="126"/>
  <c r="G16" i="126"/>
  <c r="G14" i="126"/>
  <c r="G119" i="126"/>
  <c r="G240" i="126"/>
  <c r="F238" i="126"/>
  <c r="F236" i="126"/>
  <c r="F234" i="126"/>
  <c r="F232" i="126"/>
  <c r="F230" i="126"/>
  <c r="F228" i="126"/>
  <c r="F226" i="126"/>
  <c r="F224" i="126"/>
  <c r="F222" i="126"/>
  <c r="F220" i="126"/>
  <c r="F218" i="126"/>
  <c r="F216" i="126"/>
  <c r="F214" i="126"/>
  <c r="F212" i="126"/>
  <c r="F210" i="126"/>
  <c r="F208" i="126"/>
  <c r="F239" i="126"/>
  <c r="F204" i="126"/>
  <c r="F202" i="126"/>
  <c r="F200" i="126"/>
  <c r="F198" i="126"/>
  <c r="F195" i="126"/>
  <c r="F205" i="126"/>
  <c r="F190" i="126"/>
  <c r="F188" i="126"/>
  <c r="F186" i="126"/>
  <c r="F184" i="126"/>
  <c r="F182" i="126"/>
  <c r="F180" i="126"/>
  <c r="F178" i="126"/>
  <c r="F173" i="126"/>
  <c r="F171" i="126"/>
  <c r="F169" i="126"/>
  <c r="F167" i="126"/>
  <c r="F165" i="126"/>
  <c r="F163" i="126"/>
  <c r="F161" i="126"/>
  <c r="F159" i="126"/>
  <c r="F157" i="126"/>
  <c r="F155" i="126"/>
  <c r="F153" i="126"/>
  <c r="F151" i="126"/>
  <c r="F149" i="126"/>
  <c r="F147" i="126"/>
  <c r="F145" i="126"/>
  <c r="F143" i="126"/>
  <c r="F141" i="126"/>
  <c r="F139" i="126"/>
  <c r="F137" i="126"/>
  <c r="F135" i="126"/>
  <c r="F133" i="126"/>
  <c r="F131" i="126"/>
  <c r="F129" i="126"/>
  <c r="F127" i="126"/>
  <c r="F125" i="126"/>
  <c r="F191" i="126"/>
  <c r="F118" i="126"/>
  <c r="F116" i="126"/>
  <c r="F114" i="126"/>
  <c r="F112" i="126"/>
  <c r="F110" i="126"/>
  <c r="F108" i="126"/>
  <c r="F106" i="126"/>
  <c r="F104" i="126"/>
  <c r="F102" i="126"/>
  <c r="F100" i="126"/>
  <c r="F98" i="126"/>
  <c r="F96" i="126"/>
  <c r="F94" i="126"/>
  <c r="F92" i="126"/>
  <c r="F90" i="126"/>
  <c r="F88" i="126"/>
  <c r="F86" i="126"/>
  <c r="F84" i="126"/>
  <c r="F82" i="126"/>
  <c r="F80" i="126"/>
  <c r="F78" i="126"/>
  <c r="F76" i="126"/>
  <c r="F74" i="126"/>
  <c r="F72" i="126"/>
  <c r="F70" i="126"/>
  <c r="F68" i="126"/>
  <c r="F66" i="126"/>
  <c r="F64" i="126"/>
  <c r="F62" i="126"/>
  <c r="F60" i="126"/>
  <c r="F58" i="126"/>
  <c r="F56" i="126"/>
  <c r="F54" i="126"/>
  <c r="F52" i="126"/>
  <c r="F50" i="126"/>
  <c r="F48" i="126"/>
  <c r="F46" i="126"/>
  <c r="F44" i="126"/>
  <c r="F42" i="126"/>
  <c r="F40" i="126"/>
  <c r="F38" i="126"/>
  <c r="F36" i="126"/>
  <c r="F34" i="126"/>
  <c r="F32" i="126"/>
  <c r="F30" i="126"/>
  <c r="F28" i="126"/>
  <c r="F26" i="126"/>
  <c r="F24" i="126"/>
  <c r="F22" i="126"/>
  <c r="F20" i="126"/>
  <c r="F18" i="126"/>
  <c r="F16" i="126"/>
  <c r="F14" i="126"/>
  <c r="F119" i="126"/>
  <c r="F240" i="126"/>
  <c r="P206" i="126"/>
  <c r="X205" i="126"/>
  <c r="P192" i="126"/>
  <c r="X191" i="126"/>
  <c r="P120" i="126"/>
  <c r="N117" i="126"/>
  <c r="V117" i="126"/>
  <c r="V118" i="126"/>
  <c r="U117" i="126"/>
  <c r="U118" i="126"/>
  <c r="T117" i="126"/>
  <c r="T118" i="126"/>
  <c r="S117" i="126"/>
  <c r="S118" i="126"/>
  <c r="R117" i="126"/>
  <c r="R118" i="126"/>
  <c r="O117" i="126"/>
  <c r="P117" i="126"/>
  <c r="P118" i="126"/>
  <c r="O118" i="126"/>
  <c r="N115" i="126"/>
  <c r="V115" i="126"/>
  <c r="V116" i="126"/>
  <c r="U115" i="126"/>
  <c r="U116" i="126"/>
  <c r="T115" i="126"/>
  <c r="T116" i="126"/>
  <c r="S115" i="126"/>
  <c r="S116" i="126"/>
  <c r="R115" i="126"/>
  <c r="R116" i="126"/>
  <c r="O115" i="126"/>
  <c r="P115" i="126"/>
  <c r="P116" i="126"/>
  <c r="O116" i="126"/>
  <c r="N113" i="126"/>
  <c r="V113" i="126"/>
  <c r="V114" i="126"/>
  <c r="U113" i="126"/>
  <c r="U114" i="126"/>
  <c r="T113" i="126"/>
  <c r="T114" i="126"/>
  <c r="S113" i="126"/>
  <c r="S114" i="126"/>
  <c r="R113" i="126"/>
  <c r="R114" i="126"/>
  <c r="O113" i="126"/>
  <c r="P113" i="126"/>
  <c r="P114" i="126"/>
  <c r="O114" i="126"/>
  <c r="N111" i="126"/>
  <c r="V111" i="126"/>
  <c r="V112" i="126"/>
  <c r="U111" i="126"/>
  <c r="U112" i="126"/>
  <c r="T111" i="126"/>
  <c r="T112" i="126"/>
  <c r="S111" i="126"/>
  <c r="S112" i="126"/>
  <c r="R111" i="126"/>
  <c r="R112" i="126"/>
  <c r="O111" i="126"/>
  <c r="P111" i="126"/>
  <c r="P112" i="126"/>
  <c r="O112" i="126"/>
  <c r="N109" i="126"/>
  <c r="V109" i="126"/>
  <c r="V110" i="126"/>
  <c r="U109" i="126"/>
  <c r="U110" i="126"/>
  <c r="T109" i="126"/>
  <c r="T110" i="126"/>
  <c r="S109" i="126"/>
  <c r="S110" i="126"/>
  <c r="R109" i="126"/>
  <c r="R110" i="126"/>
  <c r="O109" i="126"/>
  <c r="P109" i="126"/>
  <c r="P110" i="126"/>
  <c r="O110" i="126"/>
  <c r="N107" i="126"/>
  <c r="V107" i="126"/>
  <c r="V108" i="126"/>
  <c r="U107" i="126"/>
  <c r="U108" i="126"/>
  <c r="T107" i="126"/>
  <c r="T108" i="126"/>
  <c r="S107" i="126"/>
  <c r="S108" i="126"/>
  <c r="R107" i="126"/>
  <c r="R108" i="126"/>
  <c r="O107" i="126"/>
  <c r="P107" i="126"/>
  <c r="P108" i="126"/>
  <c r="O108" i="126"/>
  <c r="N105" i="126"/>
  <c r="V105" i="126"/>
  <c r="V106" i="126"/>
  <c r="U105" i="126"/>
  <c r="U106" i="126"/>
  <c r="T105" i="126"/>
  <c r="T106" i="126"/>
  <c r="S105" i="126"/>
  <c r="S106" i="126"/>
  <c r="R105" i="126"/>
  <c r="R106" i="126"/>
  <c r="O105" i="126"/>
  <c r="P105" i="126"/>
  <c r="P106" i="126"/>
  <c r="O106" i="126"/>
  <c r="N103" i="126"/>
  <c r="V103" i="126"/>
  <c r="V104" i="126"/>
  <c r="U103" i="126"/>
  <c r="U104" i="126"/>
  <c r="T103" i="126"/>
  <c r="T104" i="126"/>
  <c r="S103" i="126"/>
  <c r="S104" i="126"/>
  <c r="R103" i="126"/>
  <c r="R104" i="126"/>
  <c r="O103" i="126"/>
  <c r="P103" i="126"/>
  <c r="P104" i="126"/>
  <c r="O104" i="126"/>
  <c r="N101" i="126"/>
  <c r="V101" i="126"/>
  <c r="V102" i="126"/>
  <c r="U101" i="126"/>
  <c r="U102" i="126"/>
  <c r="T101" i="126"/>
  <c r="T102" i="126"/>
  <c r="S101" i="126"/>
  <c r="S102" i="126"/>
  <c r="R101" i="126"/>
  <c r="R102" i="126"/>
  <c r="O101" i="126"/>
  <c r="P101" i="126"/>
  <c r="P102" i="126"/>
  <c r="O102" i="126"/>
  <c r="N99" i="126"/>
  <c r="V99" i="126"/>
  <c r="V100" i="126"/>
  <c r="U99" i="126"/>
  <c r="U100" i="126"/>
  <c r="T99" i="126"/>
  <c r="T100" i="126"/>
  <c r="S99" i="126"/>
  <c r="S100" i="126"/>
  <c r="R99" i="126"/>
  <c r="R100" i="126"/>
  <c r="O99" i="126"/>
  <c r="P99" i="126"/>
  <c r="P100" i="126"/>
  <c r="O100" i="126"/>
  <c r="N97" i="126"/>
  <c r="V97" i="126"/>
  <c r="V98" i="126"/>
  <c r="U97" i="126"/>
  <c r="U98" i="126"/>
  <c r="T97" i="126"/>
  <c r="T98" i="126"/>
  <c r="S97" i="126"/>
  <c r="S98" i="126"/>
  <c r="R97" i="126"/>
  <c r="R98" i="126"/>
  <c r="O97" i="126"/>
  <c r="P97" i="126"/>
  <c r="P98" i="126"/>
  <c r="O98" i="126"/>
  <c r="N95" i="126"/>
  <c r="V95" i="126"/>
  <c r="V96" i="126"/>
  <c r="U95" i="126"/>
  <c r="U96" i="126"/>
  <c r="T95" i="126"/>
  <c r="T96" i="126"/>
  <c r="S95" i="126"/>
  <c r="S96" i="126"/>
  <c r="R95" i="126"/>
  <c r="R96" i="126"/>
  <c r="O95" i="126"/>
  <c r="P95" i="126"/>
  <c r="P96" i="126"/>
  <c r="O96" i="126"/>
  <c r="N93" i="126"/>
  <c r="V93" i="126"/>
  <c r="V94" i="126"/>
  <c r="U93" i="126"/>
  <c r="U94" i="126"/>
  <c r="T93" i="126"/>
  <c r="T94" i="126"/>
  <c r="S93" i="126"/>
  <c r="S94" i="126"/>
  <c r="R93" i="126"/>
  <c r="R94" i="126"/>
  <c r="O93" i="126"/>
  <c r="P93" i="126"/>
  <c r="P94" i="126"/>
  <c r="O94" i="126"/>
  <c r="N91" i="126"/>
  <c r="V91" i="126"/>
  <c r="V92" i="126"/>
  <c r="U91" i="126"/>
  <c r="U92" i="126"/>
  <c r="T91" i="126"/>
  <c r="T92" i="126"/>
  <c r="S91" i="126"/>
  <c r="S92" i="126"/>
  <c r="R91" i="126"/>
  <c r="R92" i="126"/>
  <c r="O91" i="126"/>
  <c r="P91" i="126"/>
  <c r="P92" i="126"/>
  <c r="O92" i="126"/>
  <c r="N89" i="126"/>
  <c r="V89" i="126"/>
  <c r="V90" i="126"/>
  <c r="U89" i="126"/>
  <c r="U90" i="126"/>
  <c r="T89" i="126"/>
  <c r="T90" i="126"/>
  <c r="S89" i="126"/>
  <c r="S90" i="126"/>
  <c r="R89" i="126"/>
  <c r="R90" i="126"/>
  <c r="O89" i="126"/>
  <c r="P89" i="126"/>
  <c r="P90" i="126"/>
  <c r="O90" i="126"/>
  <c r="N87" i="126"/>
  <c r="V87" i="126"/>
  <c r="V88" i="126"/>
  <c r="U87" i="126"/>
  <c r="U88" i="126"/>
  <c r="T87" i="126"/>
  <c r="T88" i="126"/>
  <c r="S87" i="126"/>
  <c r="S88" i="126"/>
  <c r="R87" i="126"/>
  <c r="R88" i="126"/>
  <c r="O87" i="126"/>
  <c r="P87" i="126"/>
  <c r="P88" i="126"/>
  <c r="O88" i="126"/>
  <c r="N85" i="126"/>
  <c r="V85" i="126"/>
  <c r="V86" i="126"/>
  <c r="U85" i="126"/>
  <c r="U86" i="126"/>
  <c r="T85" i="126"/>
  <c r="T86" i="126"/>
  <c r="S85" i="126"/>
  <c r="S86" i="126"/>
  <c r="R85" i="126"/>
  <c r="R86" i="126"/>
  <c r="O85" i="126"/>
  <c r="P85" i="126"/>
  <c r="P86" i="126"/>
  <c r="O86" i="126"/>
  <c r="N83" i="126"/>
  <c r="V83" i="126"/>
  <c r="V84" i="126"/>
  <c r="U83" i="126"/>
  <c r="U84" i="126"/>
  <c r="T83" i="126"/>
  <c r="T84" i="126"/>
  <c r="S83" i="126"/>
  <c r="S84" i="126"/>
  <c r="R83" i="126"/>
  <c r="R84" i="126"/>
  <c r="O83" i="126"/>
  <c r="P83" i="126"/>
  <c r="P84" i="126"/>
  <c r="O84" i="126"/>
  <c r="N81" i="126"/>
  <c r="V81" i="126"/>
  <c r="V82" i="126"/>
  <c r="U81" i="126"/>
  <c r="U82" i="126"/>
  <c r="T81" i="126"/>
  <c r="T82" i="126"/>
  <c r="S81" i="126"/>
  <c r="S82" i="126"/>
  <c r="R81" i="126"/>
  <c r="R82" i="126"/>
  <c r="O81" i="126"/>
  <c r="P81" i="126"/>
  <c r="P82" i="126"/>
  <c r="O82" i="126"/>
  <c r="N79" i="126"/>
  <c r="V79" i="126"/>
  <c r="V80" i="126"/>
  <c r="U79" i="126"/>
  <c r="U80" i="126"/>
  <c r="T79" i="126"/>
  <c r="T80" i="126"/>
  <c r="S79" i="126"/>
  <c r="S80" i="126"/>
  <c r="R79" i="126"/>
  <c r="R80" i="126"/>
  <c r="O79" i="126"/>
  <c r="P79" i="126"/>
  <c r="P80" i="126"/>
  <c r="O80" i="126"/>
  <c r="N77" i="126"/>
  <c r="V77" i="126"/>
  <c r="V78" i="126"/>
  <c r="U77" i="126"/>
  <c r="U78" i="126"/>
  <c r="T77" i="126"/>
  <c r="T78" i="126"/>
  <c r="S77" i="126"/>
  <c r="S78" i="126"/>
  <c r="R77" i="126"/>
  <c r="R78" i="126"/>
  <c r="O77" i="126"/>
  <c r="P77" i="126"/>
  <c r="P78" i="126"/>
  <c r="O78" i="126"/>
  <c r="N75" i="126"/>
  <c r="V75" i="126"/>
  <c r="V76" i="126"/>
  <c r="U75" i="126"/>
  <c r="U76" i="126"/>
  <c r="T75" i="126"/>
  <c r="T76" i="126"/>
  <c r="S75" i="126"/>
  <c r="S76" i="126"/>
  <c r="R75" i="126"/>
  <c r="R76" i="126"/>
  <c r="O75" i="126"/>
  <c r="P75" i="126"/>
  <c r="P76" i="126"/>
  <c r="O76" i="126"/>
  <c r="N73" i="126"/>
  <c r="V73" i="126"/>
  <c r="V74" i="126"/>
  <c r="U73" i="126"/>
  <c r="U74" i="126"/>
  <c r="T73" i="126"/>
  <c r="T74" i="126"/>
  <c r="S73" i="126"/>
  <c r="S74" i="126"/>
  <c r="R73" i="126"/>
  <c r="R74" i="126"/>
  <c r="O73" i="126"/>
  <c r="P73" i="126"/>
  <c r="P74" i="126"/>
  <c r="O74" i="126"/>
  <c r="N71" i="126"/>
  <c r="V71" i="126"/>
  <c r="V72" i="126"/>
  <c r="U71" i="126"/>
  <c r="U72" i="126"/>
  <c r="T71" i="126"/>
  <c r="T72" i="126"/>
  <c r="S71" i="126"/>
  <c r="S72" i="126"/>
  <c r="R71" i="126"/>
  <c r="R72" i="126"/>
  <c r="O71" i="126"/>
  <c r="P71" i="126"/>
  <c r="P72" i="126"/>
  <c r="O72" i="126"/>
  <c r="N69" i="126"/>
  <c r="V69" i="126"/>
  <c r="V70" i="126"/>
  <c r="U69" i="126"/>
  <c r="U70" i="126"/>
  <c r="T69" i="126"/>
  <c r="T70" i="126"/>
  <c r="S69" i="126"/>
  <c r="S70" i="126"/>
  <c r="R69" i="126"/>
  <c r="R70" i="126"/>
  <c r="O69" i="126"/>
  <c r="P69" i="126"/>
  <c r="P70" i="126"/>
  <c r="O70" i="126"/>
  <c r="N67" i="126"/>
  <c r="V67" i="126"/>
  <c r="V68" i="126"/>
  <c r="U67" i="126"/>
  <c r="U68" i="126"/>
  <c r="T67" i="126"/>
  <c r="T68" i="126"/>
  <c r="S67" i="126"/>
  <c r="S68" i="126"/>
  <c r="R67" i="126"/>
  <c r="R68" i="126"/>
  <c r="O67" i="126"/>
  <c r="P67" i="126"/>
  <c r="P68" i="126"/>
  <c r="O68" i="126"/>
  <c r="N65" i="126"/>
  <c r="V65" i="126"/>
  <c r="V66" i="126"/>
  <c r="U65" i="126"/>
  <c r="U66" i="126"/>
  <c r="T65" i="126"/>
  <c r="T66" i="126"/>
  <c r="S65" i="126"/>
  <c r="S66" i="126"/>
  <c r="R65" i="126"/>
  <c r="R66" i="126"/>
  <c r="O65" i="126"/>
  <c r="P65" i="126"/>
  <c r="P66" i="126"/>
  <c r="O66" i="126"/>
  <c r="N63" i="126"/>
  <c r="V63" i="126"/>
  <c r="V64" i="126"/>
  <c r="U63" i="126"/>
  <c r="U64" i="126"/>
  <c r="T63" i="126"/>
  <c r="T64" i="126"/>
  <c r="S63" i="126"/>
  <c r="S64" i="126"/>
  <c r="R63" i="126"/>
  <c r="R64" i="126"/>
  <c r="O63" i="126"/>
  <c r="P63" i="126"/>
  <c r="P64" i="126"/>
  <c r="O64" i="126"/>
  <c r="N61" i="126"/>
  <c r="V61" i="126"/>
  <c r="V62" i="126"/>
  <c r="U61" i="126"/>
  <c r="U62" i="126"/>
  <c r="T61" i="126"/>
  <c r="T62" i="126"/>
  <c r="S61" i="126"/>
  <c r="S62" i="126"/>
  <c r="R61" i="126"/>
  <c r="R62" i="126"/>
  <c r="O61" i="126"/>
  <c r="P61" i="126"/>
  <c r="P62" i="126"/>
  <c r="O62" i="126"/>
  <c r="N59" i="126"/>
  <c r="V59" i="126"/>
  <c r="V60" i="126"/>
  <c r="U59" i="126"/>
  <c r="U60" i="126"/>
  <c r="T59" i="126"/>
  <c r="T60" i="126"/>
  <c r="S59" i="126"/>
  <c r="S60" i="126"/>
  <c r="R59" i="126"/>
  <c r="R60" i="126"/>
  <c r="O59" i="126"/>
  <c r="P59" i="126"/>
  <c r="P60" i="126"/>
  <c r="O60" i="126"/>
  <c r="N57" i="126"/>
  <c r="V57" i="126"/>
  <c r="V58" i="126"/>
  <c r="U57" i="126"/>
  <c r="U58" i="126"/>
  <c r="T57" i="126"/>
  <c r="T58" i="126"/>
  <c r="S57" i="126"/>
  <c r="S58" i="126"/>
  <c r="R57" i="126"/>
  <c r="R58" i="126"/>
  <c r="O57" i="126"/>
  <c r="P57" i="126"/>
  <c r="P58" i="126"/>
  <c r="O58" i="126"/>
  <c r="N55" i="126"/>
  <c r="V55" i="126"/>
  <c r="V56" i="126"/>
  <c r="U55" i="126"/>
  <c r="U56" i="126"/>
  <c r="T55" i="126"/>
  <c r="T56" i="126"/>
  <c r="S55" i="126"/>
  <c r="S56" i="126"/>
  <c r="R55" i="126"/>
  <c r="R56" i="126"/>
  <c r="O55" i="126"/>
  <c r="P55" i="126"/>
  <c r="P56" i="126"/>
  <c r="O56" i="126"/>
  <c r="N53" i="126"/>
  <c r="V53" i="126"/>
  <c r="V54" i="126"/>
  <c r="U53" i="126"/>
  <c r="U54" i="126"/>
  <c r="T53" i="126"/>
  <c r="T54" i="126"/>
  <c r="S53" i="126"/>
  <c r="S54" i="126"/>
  <c r="R53" i="126"/>
  <c r="R54" i="126"/>
  <c r="O53" i="126"/>
  <c r="P53" i="126"/>
  <c r="P54" i="126"/>
  <c r="O54" i="126"/>
  <c r="N51" i="126"/>
  <c r="V51" i="126"/>
  <c r="V52" i="126"/>
  <c r="U51" i="126"/>
  <c r="U52" i="126"/>
  <c r="T51" i="126"/>
  <c r="T52" i="126"/>
  <c r="S51" i="126"/>
  <c r="S52" i="126"/>
  <c r="R51" i="126"/>
  <c r="R52" i="126"/>
  <c r="O51" i="126"/>
  <c r="P51" i="126"/>
  <c r="P52" i="126"/>
  <c r="O52" i="126"/>
  <c r="N49" i="126"/>
  <c r="V49" i="126"/>
  <c r="V50" i="126"/>
  <c r="U49" i="126"/>
  <c r="U50" i="126"/>
  <c r="T49" i="126"/>
  <c r="T50" i="126"/>
  <c r="S49" i="126"/>
  <c r="S50" i="126"/>
  <c r="R49" i="126"/>
  <c r="R50" i="126"/>
  <c r="O49" i="126"/>
  <c r="P49" i="126"/>
  <c r="P50" i="126"/>
  <c r="O50" i="126"/>
  <c r="N47" i="126"/>
  <c r="V47" i="126"/>
  <c r="V48" i="126"/>
  <c r="U47" i="126"/>
  <c r="U48" i="126"/>
  <c r="T47" i="126"/>
  <c r="T48" i="126"/>
  <c r="S47" i="126"/>
  <c r="S48" i="126"/>
  <c r="R47" i="126"/>
  <c r="R48" i="126"/>
  <c r="O47" i="126"/>
  <c r="P47" i="126"/>
  <c r="P48" i="126"/>
  <c r="O48" i="126"/>
  <c r="N45" i="126"/>
  <c r="V45" i="126"/>
  <c r="V46" i="126"/>
  <c r="U45" i="126"/>
  <c r="U46" i="126"/>
  <c r="T45" i="126"/>
  <c r="T46" i="126"/>
  <c r="S45" i="126"/>
  <c r="S46" i="126"/>
  <c r="R45" i="126"/>
  <c r="R46" i="126"/>
  <c r="O45" i="126"/>
  <c r="P45" i="126"/>
  <c r="P46" i="126"/>
  <c r="O46" i="126"/>
  <c r="N43" i="126"/>
  <c r="V43" i="126"/>
  <c r="V44" i="126"/>
  <c r="U43" i="126"/>
  <c r="U44" i="126"/>
  <c r="T43" i="126"/>
  <c r="T44" i="126"/>
  <c r="S43" i="126"/>
  <c r="S44" i="126"/>
  <c r="R43" i="126"/>
  <c r="R44" i="126"/>
  <c r="O43" i="126"/>
  <c r="P43" i="126"/>
  <c r="P44" i="126"/>
  <c r="O44" i="126"/>
  <c r="N41" i="126"/>
  <c r="V41" i="126"/>
  <c r="V42" i="126"/>
  <c r="U41" i="126"/>
  <c r="U42" i="126"/>
  <c r="T41" i="126"/>
  <c r="T42" i="126"/>
  <c r="S41" i="126"/>
  <c r="S42" i="126"/>
  <c r="R41" i="126"/>
  <c r="R42" i="126"/>
  <c r="O41" i="126"/>
  <c r="P41" i="126"/>
  <c r="P42" i="126"/>
  <c r="O42" i="126"/>
  <c r="N39" i="126"/>
  <c r="V39" i="126"/>
  <c r="V40" i="126"/>
  <c r="U39" i="126"/>
  <c r="U40" i="126"/>
  <c r="T39" i="126"/>
  <c r="T40" i="126"/>
  <c r="S39" i="126"/>
  <c r="S40" i="126"/>
  <c r="R39" i="126"/>
  <c r="R40" i="126"/>
  <c r="O39" i="126"/>
  <c r="P39" i="126"/>
  <c r="P40" i="126"/>
  <c r="O40" i="126"/>
  <c r="N37" i="126"/>
  <c r="V37" i="126"/>
  <c r="V38" i="126"/>
  <c r="U37" i="126"/>
  <c r="U38" i="126"/>
  <c r="T37" i="126"/>
  <c r="T38" i="126"/>
  <c r="S37" i="126"/>
  <c r="S38" i="126"/>
  <c r="R37" i="126"/>
  <c r="R38" i="126"/>
  <c r="O37" i="126"/>
  <c r="P37" i="126"/>
  <c r="P38" i="126"/>
  <c r="O38" i="126"/>
  <c r="N35" i="126"/>
  <c r="V35" i="126"/>
  <c r="V36" i="126"/>
  <c r="U35" i="126"/>
  <c r="U36" i="126"/>
  <c r="T35" i="126"/>
  <c r="T36" i="126"/>
  <c r="S35" i="126"/>
  <c r="S36" i="126"/>
  <c r="R35" i="126"/>
  <c r="R36" i="126"/>
  <c r="O35" i="126"/>
  <c r="P35" i="126"/>
  <c r="P36" i="126"/>
  <c r="O36" i="126"/>
  <c r="N33" i="126"/>
  <c r="V33" i="126"/>
  <c r="V34" i="126"/>
  <c r="U33" i="126"/>
  <c r="U34" i="126"/>
  <c r="T33" i="126"/>
  <c r="T34" i="126"/>
  <c r="S33" i="126"/>
  <c r="S34" i="126"/>
  <c r="R33" i="126"/>
  <c r="R34" i="126"/>
  <c r="O33" i="126"/>
  <c r="P33" i="126"/>
  <c r="P34" i="126"/>
  <c r="O34" i="126"/>
  <c r="N31" i="126"/>
  <c r="V31" i="126"/>
  <c r="V32" i="126"/>
  <c r="U31" i="126"/>
  <c r="U32" i="126"/>
  <c r="T31" i="126"/>
  <c r="T32" i="126"/>
  <c r="S31" i="126"/>
  <c r="S32" i="126"/>
  <c r="R31" i="126"/>
  <c r="R32" i="126"/>
  <c r="O31" i="126"/>
  <c r="P31" i="126"/>
  <c r="P32" i="126"/>
  <c r="O32" i="126"/>
  <c r="N29" i="126"/>
  <c r="V29" i="126"/>
  <c r="V30" i="126"/>
  <c r="U29" i="126"/>
  <c r="U30" i="126"/>
  <c r="T29" i="126"/>
  <c r="T30" i="126"/>
  <c r="S29" i="126"/>
  <c r="S30" i="126"/>
  <c r="R29" i="126"/>
  <c r="R30" i="126"/>
  <c r="O29" i="126"/>
  <c r="P29" i="126"/>
  <c r="P30" i="126"/>
  <c r="O30" i="126"/>
  <c r="N27" i="126"/>
  <c r="V27" i="126"/>
  <c r="V28" i="126"/>
  <c r="U27" i="126"/>
  <c r="U28" i="126"/>
  <c r="T27" i="126"/>
  <c r="T28" i="126"/>
  <c r="S27" i="126"/>
  <c r="S28" i="126"/>
  <c r="R27" i="126"/>
  <c r="R28" i="126"/>
  <c r="O27" i="126"/>
  <c r="P27" i="126"/>
  <c r="P28" i="126"/>
  <c r="O28" i="126"/>
  <c r="N25" i="126"/>
  <c r="V25" i="126"/>
  <c r="V26" i="126"/>
  <c r="U25" i="126"/>
  <c r="U26" i="126"/>
  <c r="T25" i="126"/>
  <c r="T26" i="126"/>
  <c r="S25" i="126"/>
  <c r="S26" i="126"/>
  <c r="R25" i="126"/>
  <c r="R26" i="126"/>
  <c r="O25" i="126"/>
  <c r="P25" i="126"/>
  <c r="P26" i="126"/>
  <c r="O26" i="126"/>
  <c r="N23" i="126"/>
  <c r="V23" i="126"/>
  <c r="V24" i="126"/>
  <c r="U23" i="126"/>
  <c r="U24" i="126"/>
  <c r="T23" i="126"/>
  <c r="T24" i="126"/>
  <c r="S23" i="126"/>
  <c r="S24" i="126"/>
  <c r="R23" i="126"/>
  <c r="R24" i="126"/>
  <c r="O23" i="126"/>
  <c r="P23" i="126"/>
  <c r="P24" i="126"/>
  <c r="O24" i="126"/>
  <c r="N21" i="126"/>
  <c r="V21" i="126"/>
  <c r="V22" i="126"/>
  <c r="U21" i="126"/>
  <c r="U22" i="126"/>
  <c r="T21" i="126"/>
  <c r="T22" i="126"/>
  <c r="S21" i="126"/>
  <c r="S22" i="126"/>
  <c r="R21" i="126"/>
  <c r="R22" i="126"/>
  <c r="O21" i="126"/>
  <c r="P21" i="126"/>
  <c r="P22" i="126"/>
  <c r="O22" i="126"/>
  <c r="N19" i="126"/>
  <c r="V19" i="126"/>
  <c r="V20" i="126"/>
  <c r="U19" i="126"/>
  <c r="U20" i="126"/>
  <c r="T19" i="126"/>
  <c r="T20" i="126"/>
  <c r="S19" i="126"/>
  <c r="S20" i="126"/>
  <c r="R19" i="126"/>
  <c r="R20" i="126"/>
  <c r="O19" i="126"/>
  <c r="P19" i="126"/>
  <c r="P20" i="126"/>
  <c r="O20" i="126"/>
  <c r="N17" i="126"/>
  <c r="V17" i="126"/>
  <c r="V18" i="126"/>
  <c r="U17" i="126"/>
  <c r="U18" i="126"/>
  <c r="T17" i="126"/>
  <c r="T18" i="126"/>
  <c r="S17" i="126"/>
  <c r="S18" i="126"/>
  <c r="R17" i="126"/>
  <c r="R18" i="126"/>
  <c r="O17" i="126"/>
  <c r="P17" i="126"/>
  <c r="P18" i="126"/>
  <c r="O18" i="126"/>
  <c r="N15" i="126"/>
  <c r="V15" i="126"/>
  <c r="V16" i="126"/>
  <c r="U15" i="126"/>
  <c r="U16" i="126"/>
  <c r="T15" i="126"/>
  <c r="T16" i="126"/>
  <c r="S15" i="126"/>
  <c r="S16" i="126"/>
  <c r="R15" i="126"/>
  <c r="R16" i="126"/>
  <c r="O15" i="126"/>
  <c r="P15" i="126"/>
  <c r="P16" i="126"/>
  <c r="O16" i="126"/>
  <c r="N13" i="126"/>
  <c r="V13" i="126"/>
  <c r="V14" i="126"/>
  <c r="U13" i="126"/>
  <c r="U14" i="126"/>
  <c r="T13" i="126"/>
  <c r="T14" i="126"/>
  <c r="S13" i="126"/>
  <c r="S14" i="126"/>
  <c r="R13" i="126"/>
  <c r="R14" i="126"/>
  <c r="O13" i="126"/>
  <c r="P13" i="126"/>
  <c r="P14" i="126"/>
  <c r="O14" i="126"/>
  <c r="M8" i="126"/>
  <c r="L12" i="125"/>
  <c r="G12" i="125"/>
  <c r="F12" i="125"/>
  <c r="I12" i="125"/>
  <c r="J12" i="125"/>
  <c r="K12" i="125"/>
  <c r="O12" i="125"/>
  <c r="P12" i="125"/>
  <c r="L17" i="125"/>
  <c r="G17" i="125"/>
  <c r="F17" i="125"/>
  <c r="I17" i="125"/>
  <c r="J17" i="125"/>
  <c r="O17" i="125"/>
  <c r="P17" i="125"/>
  <c r="L18" i="125"/>
  <c r="G18" i="125"/>
  <c r="F18" i="125"/>
  <c r="I18" i="125"/>
  <c r="J18" i="125"/>
  <c r="O18" i="125"/>
  <c r="P18" i="125"/>
  <c r="L19" i="125"/>
  <c r="G19" i="125"/>
  <c r="F19" i="125"/>
  <c r="I19" i="125"/>
  <c r="J19" i="125"/>
  <c r="O19" i="125"/>
  <c r="P19" i="125"/>
  <c r="L20" i="125"/>
  <c r="G20" i="125"/>
  <c r="F20" i="125"/>
  <c r="I20" i="125"/>
  <c r="J20" i="125"/>
  <c r="K20" i="125"/>
  <c r="O20" i="125"/>
  <c r="P20" i="125"/>
  <c r="L23" i="125"/>
  <c r="P23" i="125"/>
  <c r="P25" i="125"/>
  <c r="H39" i="125"/>
  <c r="G13" i="125"/>
  <c r="F13" i="125"/>
  <c r="I13" i="125"/>
  <c r="J13" i="125"/>
  <c r="G14" i="125"/>
  <c r="F14" i="125"/>
  <c r="I14" i="125"/>
  <c r="J14" i="125"/>
  <c r="G15" i="125"/>
  <c r="F15" i="125"/>
  <c r="I15" i="125"/>
  <c r="J15" i="125"/>
  <c r="G16" i="125"/>
  <c r="F16" i="125"/>
  <c r="I16" i="125"/>
  <c r="J16" i="125"/>
  <c r="G23" i="125"/>
  <c r="F23" i="125"/>
  <c r="I23" i="125"/>
  <c r="J23" i="125"/>
  <c r="J25" i="125"/>
  <c r="K39" i="125"/>
  <c r="O23" i="125"/>
  <c r="O25" i="125"/>
  <c r="H37" i="125"/>
  <c r="K37" i="125"/>
  <c r="K25" i="125"/>
  <c r="H35" i="125"/>
  <c r="K35" i="125"/>
  <c r="E25" i="125"/>
  <c r="H33" i="125"/>
  <c r="M7" i="125"/>
  <c r="H31" i="125"/>
  <c r="K33" i="125"/>
  <c r="E27" i="125"/>
  <c r="F27" i="125"/>
  <c r="K26" i="125"/>
  <c r="E26" i="125"/>
  <c r="V12" i="125"/>
  <c r="N13" i="125"/>
  <c r="V13" i="125"/>
  <c r="N14" i="125"/>
  <c r="V14" i="125"/>
  <c r="N15" i="125"/>
  <c r="V15" i="125"/>
  <c r="N16" i="125"/>
  <c r="V16" i="125"/>
  <c r="N17" i="125"/>
  <c r="V17" i="125"/>
  <c r="N18" i="125"/>
  <c r="V18" i="125"/>
  <c r="N19" i="125"/>
  <c r="V19" i="125"/>
  <c r="V20" i="125"/>
  <c r="N21" i="125"/>
  <c r="V21" i="125"/>
  <c r="N22" i="125"/>
  <c r="V22" i="125"/>
  <c r="N23" i="125"/>
  <c r="V23" i="125"/>
  <c r="V24" i="125"/>
  <c r="V25" i="125"/>
  <c r="U12" i="125"/>
  <c r="U13" i="125"/>
  <c r="U14" i="125"/>
  <c r="U15" i="125"/>
  <c r="U16" i="125"/>
  <c r="U17" i="125"/>
  <c r="U18" i="125"/>
  <c r="U19" i="125"/>
  <c r="U20" i="125"/>
  <c r="U21" i="125"/>
  <c r="U22" i="125"/>
  <c r="U23" i="125"/>
  <c r="U24" i="125"/>
  <c r="U25" i="125"/>
  <c r="T12" i="125"/>
  <c r="T13" i="125"/>
  <c r="T14" i="125"/>
  <c r="T15" i="125"/>
  <c r="T16" i="125"/>
  <c r="T17" i="125"/>
  <c r="T18" i="125"/>
  <c r="T19" i="125"/>
  <c r="T20" i="125"/>
  <c r="T21" i="125"/>
  <c r="T22" i="125"/>
  <c r="T23" i="125"/>
  <c r="T24" i="125"/>
  <c r="T25" i="125"/>
  <c r="S12" i="125"/>
  <c r="S13" i="125"/>
  <c r="S14" i="125"/>
  <c r="S15" i="125"/>
  <c r="S16" i="125"/>
  <c r="S17" i="125"/>
  <c r="S18" i="125"/>
  <c r="S19" i="125"/>
  <c r="S20" i="125"/>
  <c r="S21" i="125"/>
  <c r="S22" i="125"/>
  <c r="S23" i="125"/>
  <c r="S24" i="125"/>
  <c r="S25" i="125"/>
  <c r="R12" i="125"/>
  <c r="R13" i="125"/>
  <c r="R14" i="125"/>
  <c r="R15" i="125"/>
  <c r="R16" i="125"/>
  <c r="R17" i="125"/>
  <c r="R18" i="125"/>
  <c r="R19" i="125"/>
  <c r="R20" i="125"/>
  <c r="R21" i="125"/>
  <c r="R22" i="125"/>
  <c r="R23" i="125"/>
  <c r="R24" i="125"/>
  <c r="R25" i="125"/>
  <c r="I25" i="125"/>
  <c r="H25" i="125"/>
  <c r="G25" i="125"/>
  <c r="F25" i="125"/>
  <c r="M8" i="125"/>
  <c r="H12" i="124"/>
  <c r="I12" i="124"/>
  <c r="J12" i="124"/>
  <c r="K12" i="124"/>
  <c r="O12" i="124"/>
  <c r="P12" i="124"/>
  <c r="H13" i="124"/>
  <c r="I13" i="124"/>
  <c r="J13" i="124"/>
  <c r="K13" i="124"/>
  <c r="O13" i="124"/>
  <c r="P13" i="124"/>
  <c r="H14" i="124"/>
  <c r="I14" i="124"/>
  <c r="J14" i="124"/>
  <c r="K14" i="124"/>
  <c r="O14" i="124"/>
  <c r="P14" i="124"/>
  <c r="F15" i="124"/>
  <c r="H15" i="124"/>
  <c r="I15" i="124"/>
  <c r="J15" i="124"/>
  <c r="K15" i="124"/>
  <c r="O15" i="124"/>
  <c r="P15" i="124"/>
  <c r="F16" i="124"/>
  <c r="H16" i="124"/>
  <c r="I16" i="124"/>
  <c r="J16" i="124"/>
  <c r="K16" i="124"/>
  <c r="O16" i="124"/>
  <c r="P16" i="124"/>
  <c r="F17" i="124"/>
  <c r="H17" i="124"/>
  <c r="I17" i="124"/>
  <c r="J17" i="124"/>
  <c r="O17" i="124"/>
  <c r="P17" i="124"/>
  <c r="F18" i="124"/>
  <c r="H18" i="124"/>
  <c r="I18" i="124"/>
  <c r="J18" i="124"/>
  <c r="O18" i="124"/>
  <c r="P18" i="124"/>
  <c r="F19" i="124"/>
  <c r="H19" i="124"/>
  <c r="I19" i="124"/>
  <c r="J19" i="124"/>
  <c r="O19" i="124"/>
  <c r="P19" i="124"/>
  <c r="E20" i="124"/>
  <c r="F20" i="124"/>
  <c r="H20" i="124"/>
  <c r="I20" i="124"/>
  <c r="J20" i="124"/>
  <c r="O20" i="124"/>
  <c r="P20" i="124"/>
  <c r="E21" i="124"/>
  <c r="F21" i="124"/>
  <c r="H21" i="124"/>
  <c r="I21" i="124"/>
  <c r="J21" i="124"/>
  <c r="O21" i="124"/>
  <c r="P21" i="124"/>
  <c r="P22" i="124"/>
  <c r="P24" i="124"/>
  <c r="G38" i="124"/>
  <c r="E22" i="124"/>
  <c r="F22" i="124"/>
  <c r="H22" i="124"/>
  <c r="I22" i="124"/>
  <c r="I24" i="124"/>
  <c r="J38" i="124"/>
  <c r="J22" i="124"/>
  <c r="O22" i="124"/>
  <c r="O24" i="124"/>
  <c r="G36" i="124"/>
  <c r="J24" i="124"/>
  <c r="J36" i="124"/>
  <c r="K24" i="124"/>
  <c r="G34" i="124"/>
  <c r="J34" i="124"/>
  <c r="E24" i="124"/>
  <c r="G32" i="124"/>
  <c r="M7" i="124"/>
  <c r="G30" i="124"/>
  <c r="J32" i="124"/>
  <c r="E26" i="124"/>
  <c r="F26" i="124"/>
  <c r="K25" i="124"/>
  <c r="H24" i="124"/>
  <c r="H25" i="124"/>
  <c r="E25" i="124"/>
  <c r="N12" i="124"/>
  <c r="X12" i="124"/>
  <c r="N13" i="124"/>
  <c r="X13" i="124"/>
  <c r="N14" i="124"/>
  <c r="X14" i="124"/>
  <c r="N15" i="124"/>
  <c r="X15" i="124"/>
  <c r="N16" i="124"/>
  <c r="X16" i="124"/>
  <c r="X24" i="124"/>
  <c r="V12" i="124"/>
  <c r="V13" i="124"/>
  <c r="V14" i="124"/>
  <c r="V15" i="124"/>
  <c r="V16" i="124"/>
  <c r="N17" i="124"/>
  <c r="V17" i="124"/>
  <c r="N18" i="124"/>
  <c r="V18" i="124"/>
  <c r="N19" i="124"/>
  <c r="V19" i="124"/>
  <c r="N20" i="124"/>
  <c r="V20" i="124"/>
  <c r="N21" i="124"/>
  <c r="V21" i="124"/>
  <c r="N22" i="124"/>
  <c r="V22" i="124"/>
  <c r="V24" i="124"/>
  <c r="U12" i="124"/>
  <c r="U13" i="124"/>
  <c r="U14" i="124"/>
  <c r="U15" i="124"/>
  <c r="U16" i="124"/>
  <c r="U17" i="124"/>
  <c r="U18" i="124"/>
  <c r="U19" i="124"/>
  <c r="U20" i="124"/>
  <c r="U21" i="124"/>
  <c r="U22" i="124"/>
  <c r="U24" i="124"/>
  <c r="T12" i="124"/>
  <c r="T13" i="124"/>
  <c r="T14" i="124"/>
  <c r="T15" i="124"/>
  <c r="T16" i="124"/>
  <c r="T17" i="124"/>
  <c r="T18" i="124"/>
  <c r="T19" i="124"/>
  <c r="T20" i="124"/>
  <c r="T21" i="124"/>
  <c r="T22" i="124"/>
  <c r="T24" i="124"/>
  <c r="S12" i="124"/>
  <c r="S13" i="124"/>
  <c r="S14" i="124"/>
  <c r="S15" i="124"/>
  <c r="S16" i="124"/>
  <c r="S17" i="124"/>
  <c r="S18" i="124"/>
  <c r="S19" i="124"/>
  <c r="S20" i="124"/>
  <c r="S21" i="124"/>
  <c r="S22" i="124"/>
  <c r="S24" i="124"/>
  <c r="R12" i="124"/>
  <c r="R13" i="124"/>
  <c r="R14" i="124"/>
  <c r="R15" i="124"/>
  <c r="R16" i="124"/>
  <c r="R17" i="124"/>
  <c r="R18" i="124"/>
  <c r="R19" i="124"/>
  <c r="R20" i="124"/>
  <c r="R21" i="124"/>
  <c r="R22" i="124"/>
  <c r="R24" i="124"/>
  <c r="G24" i="124"/>
  <c r="F24" i="124"/>
  <c r="M8" i="124"/>
  <c r="G12" i="123"/>
  <c r="H12" i="123"/>
  <c r="I12" i="123"/>
  <c r="J12" i="123"/>
  <c r="K12" i="123"/>
  <c r="O12" i="123"/>
  <c r="P12" i="123"/>
  <c r="I6" i="123"/>
  <c r="F13" i="123"/>
  <c r="G13" i="123"/>
  <c r="H13" i="123"/>
  <c r="I13" i="123"/>
  <c r="J13" i="123"/>
  <c r="K13" i="123"/>
  <c r="O13" i="123"/>
  <c r="P13" i="123"/>
  <c r="F14" i="123"/>
  <c r="G14" i="123"/>
  <c r="H14" i="123"/>
  <c r="I14" i="123"/>
  <c r="J14" i="123"/>
  <c r="K14" i="123"/>
  <c r="O14" i="123"/>
  <c r="P14" i="123"/>
  <c r="F15" i="123"/>
  <c r="G15" i="123"/>
  <c r="H15" i="123"/>
  <c r="I15" i="123"/>
  <c r="J15" i="123"/>
  <c r="K15" i="123"/>
  <c r="O15" i="123"/>
  <c r="P15" i="123"/>
  <c r="F16" i="123"/>
  <c r="G16" i="123"/>
  <c r="H16" i="123"/>
  <c r="I16" i="123"/>
  <c r="J16" i="123"/>
  <c r="K16" i="123"/>
  <c r="O16" i="123"/>
  <c r="P16" i="123"/>
  <c r="F17" i="123"/>
  <c r="G17" i="123"/>
  <c r="H17" i="123"/>
  <c r="I17" i="123"/>
  <c r="J17" i="123"/>
  <c r="K17" i="123"/>
  <c r="O17" i="123"/>
  <c r="P17" i="123"/>
  <c r="F18" i="123"/>
  <c r="G18" i="123"/>
  <c r="H18" i="123"/>
  <c r="I18" i="123"/>
  <c r="J18" i="123"/>
  <c r="K18" i="123"/>
  <c r="O18" i="123"/>
  <c r="P18" i="123"/>
  <c r="G19" i="123"/>
  <c r="H19" i="123"/>
  <c r="I19" i="123"/>
  <c r="J19" i="123"/>
  <c r="K19" i="123"/>
  <c r="O19" i="123"/>
  <c r="P19" i="123"/>
  <c r="G20" i="123"/>
  <c r="H20" i="123"/>
  <c r="I20" i="123"/>
  <c r="J20" i="123"/>
  <c r="K20" i="123"/>
  <c r="O20" i="123"/>
  <c r="P20" i="123"/>
  <c r="F21" i="123"/>
  <c r="G21" i="123"/>
  <c r="H21" i="123"/>
  <c r="I21" i="123"/>
  <c r="J21" i="123"/>
  <c r="K21" i="123"/>
  <c r="O21" i="123"/>
  <c r="P21" i="123"/>
  <c r="E22" i="123"/>
  <c r="G22" i="123"/>
  <c r="H22" i="123"/>
  <c r="I22" i="123"/>
  <c r="J22" i="123"/>
  <c r="K22" i="123"/>
  <c r="O22" i="123"/>
  <c r="P22" i="123"/>
  <c r="G23" i="123"/>
  <c r="H23" i="123"/>
  <c r="I23" i="123"/>
  <c r="J23" i="123"/>
  <c r="K23" i="123"/>
  <c r="O23" i="123"/>
  <c r="P23" i="123"/>
  <c r="G24" i="123"/>
  <c r="H24" i="123"/>
  <c r="I24" i="123"/>
  <c r="J24" i="123"/>
  <c r="K24" i="123"/>
  <c r="O24" i="123"/>
  <c r="P24" i="123"/>
  <c r="G25" i="123"/>
  <c r="H25" i="123"/>
  <c r="I25" i="123"/>
  <c r="J25" i="123"/>
  <c r="O25" i="123"/>
  <c r="P25" i="123"/>
  <c r="E26" i="123"/>
  <c r="G26" i="123"/>
  <c r="H26" i="123"/>
  <c r="I26" i="123"/>
  <c r="J26" i="123"/>
  <c r="O26" i="123"/>
  <c r="P26" i="123"/>
  <c r="G27" i="123"/>
  <c r="H27" i="123"/>
  <c r="I27" i="123"/>
  <c r="J27" i="123"/>
  <c r="K27" i="123"/>
  <c r="O27" i="123"/>
  <c r="P27" i="123"/>
  <c r="G28" i="123"/>
  <c r="H28" i="123"/>
  <c r="I28" i="123"/>
  <c r="J28" i="123"/>
  <c r="K28" i="123"/>
  <c r="O28" i="123"/>
  <c r="P28" i="123"/>
  <c r="G29" i="123"/>
  <c r="H29" i="123"/>
  <c r="I29" i="123"/>
  <c r="J29" i="123"/>
  <c r="O29" i="123"/>
  <c r="P29" i="123"/>
  <c r="P30" i="123"/>
  <c r="F31" i="123"/>
  <c r="G31" i="123"/>
  <c r="H31" i="123"/>
  <c r="I31" i="123"/>
  <c r="J31" i="123"/>
  <c r="O31" i="123"/>
  <c r="P31" i="123"/>
  <c r="G32" i="123"/>
  <c r="H32" i="123"/>
  <c r="I32" i="123"/>
  <c r="J32" i="123"/>
  <c r="O32" i="123"/>
  <c r="P32" i="123"/>
  <c r="G33" i="123"/>
  <c r="H33" i="123"/>
  <c r="I33" i="123"/>
  <c r="J33" i="123"/>
  <c r="O33" i="123"/>
  <c r="P33" i="123"/>
  <c r="F34" i="123"/>
  <c r="G34" i="123"/>
  <c r="H34" i="123"/>
  <c r="I34" i="123"/>
  <c r="J34" i="123"/>
  <c r="O34" i="123"/>
  <c r="P34" i="123"/>
  <c r="F35" i="123"/>
  <c r="G35" i="123"/>
  <c r="H35" i="123"/>
  <c r="I35" i="123"/>
  <c r="J35" i="123"/>
  <c r="O35" i="123"/>
  <c r="P35" i="123"/>
  <c r="F36" i="123"/>
  <c r="G36" i="123"/>
  <c r="H36" i="123"/>
  <c r="I36" i="123"/>
  <c r="J36" i="123"/>
  <c r="O36" i="123"/>
  <c r="P36" i="123"/>
  <c r="P38" i="123"/>
  <c r="G52" i="123"/>
  <c r="I30" i="123"/>
  <c r="I38" i="123"/>
  <c r="J52" i="123"/>
  <c r="J30" i="123"/>
  <c r="O30" i="123"/>
  <c r="O38" i="123"/>
  <c r="G50" i="123"/>
  <c r="J38" i="123"/>
  <c r="J50" i="123"/>
  <c r="K38" i="123"/>
  <c r="G48" i="123"/>
  <c r="J48" i="123"/>
  <c r="E38" i="123"/>
  <c r="G46" i="123"/>
  <c r="M2" i="123"/>
  <c r="P5" i="123"/>
  <c r="P6" i="123"/>
  <c r="M7" i="123"/>
  <c r="G44" i="123"/>
  <c r="J46" i="123"/>
  <c r="E40" i="123"/>
  <c r="F40" i="123"/>
  <c r="K39" i="123"/>
  <c r="E39" i="123"/>
  <c r="N12" i="123"/>
  <c r="V12" i="123"/>
  <c r="N13" i="123"/>
  <c r="V13" i="123"/>
  <c r="N14" i="123"/>
  <c r="V14" i="123"/>
  <c r="N15" i="123"/>
  <c r="V15" i="123"/>
  <c r="N16" i="123"/>
  <c r="V16" i="123"/>
  <c r="N17" i="123"/>
  <c r="V17" i="123"/>
  <c r="N18" i="123"/>
  <c r="V18" i="123"/>
  <c r="N19" i="123"/>
  <c r="V19" i="123"/>
  <c r="N20" i="123"/>
  <c r="V20" i="123"/>
  <c r="N21" i="123"/>
  <c r="V21" i="123"/>
  <c r="N22" i="123"/>
  <c r="V22" i="123"/>
  <c r="N23" i="123"/>
  <c r="V23" i="123"/>
  <c r="N24" i="123"/>
  <c r="V24" i="123"/>
  <c r="N25" i="123"/>
  <c r="V25" i="123"/>
  <c r="N26" i="123"/>
  <c r="V26" i="123"/>
  <c r="N27" i="123"/>
  <c r="V27" i="123"/>
  <c r="N28" i="123"/>
  <c r="V28" i="123"/>
  <c r="N29" i="123"/>
  <c r="V29" i="123"/>
  <c r="N30" i="123"/>
  <c r="V30" i="123"/>
  <c r="N31" i="123"/>
  <c r="V31" i="123"/>
  <c r="N32" i="123"/>
  <c r="V32" i="123"/>
  <c r="N33" i="123"/>
  <c r="V33" i="123"/>
  <c r="N34" i="123"/>
  <c r="V34" i="123"/>
  <c r="N35" i="123"/>
  <c r="V35" i="123"/>
  <c r="N36" i="123"/>
  <c r="V36" i="123"/>
  <c r="V38" i="123"/>
  <c r="U12" i="123"/>
  <c r="U13" i="123"/>
  <c r="U14" i="123"/>
  <c r="U15" i="123"/>
  <c r="U16" i="123"/>
  <c r="U17" i="123"/>
  <c r="U18" i="123"/>
  <c r="U19" i="123"/>
  <c r="U20" i="123"/>
  <c r="U21" i="123"/>
  <c r="U22" i="123"/>
  <c r="U23" i="123"/>
  <c r="U24" i="123"/>
  <c r="U25" i="123"/>
  <c r="U26" i="123"/>
  <c r="U27" i="123"/>
  <c r="U28" i="123"/>
  <c r="U29" i="123"/>
  <c r="U30" i="123"/>
  <c r="U31" i="123"/>
  <c r="U32" i="123"/>
  <c r="U33" i="123"/>
  <c r="U34" i="123"/>
  <c r="U35" i="123"/>
  <c r="U36" i="123"/>
  <c r="U38" i="123"/>
  <c r="T12" i="123"/>
  <c r="T13" i="123"/>
  <c r="T14" i="123"/>
  <c r="T15" i="123"/>
  <c r="T16" i="123"/>
  <c r="T17" i="123"/>
  <c r="T18" i="123"/>
  <c r="T19" i="123"/>
  <c r="T20" i="123"/>
  <c r="T21" i="123"/>
  <c r="T22" i="123"/>
  <c r="T23" i="123"/>
  <c r="T24" i="123"/>
  <c r="T25" i="123"/>
  <c r="T26" i="123"/>
  <c r="T27" i="123"/>
  <c r="T28" i="123"/>
  <c r="T29" i="123"/>
  <c r="T30" i="123"/>
  <c r="T31" i="123"/>
  <c r="T32" i="123"/>
  <c r="T33" i="123"/>
  <c r="T34" i="123"/>
  <c r="T35" i="123"/>
  <c r="T36" i="123"/>
  <c r="T38" i="123"/>
  <c r="S12" i="123"/>
  <c r="S13" i="123"/>
  <c r="S14" i="123"/>
  <c r="S15" i="123"/>
  <c r="S16" i="123"/>
  <c r="S17" i="123"/>
  <c r="S18" i="123"/>
  <c r="S19" i="123"/>
  <c r="S20" i="123"/>
  <c r="S21" i="123"/>
  <c r="S22" i="123"/>
  <c r="S23" i="123"/>
  <c r="S24" i="123"/>
  <c r="S25" i="123"/>
  <c r="S26" i="123"/>
  <c r="S27" i="123"/>
  <c r="S28" i="123"/>
  <c r="S29" i="123"/>
  <c r="S30" i="123"/>
  <c r="S31" i="123"/>
  <c r="S32" i="123"/>
  <c r="S33" i="123"/>
  <c r="S34" i="123"/>
  <c r="S35" i="123"/>
  <c r="S36" i="123"/>
  <c r="S38" i="123"/>
  <c r="R12" i="123"/>
  <c r="R13" i="123"/>
  <c r="R14" i="123"/>
  <c r="R15" i="123"/>
  <c r="R16" i="123"/>
  <c r="R17" i="123"/>
  <c r="R18" i="123"/>
  <c r="R19" i="123"/>
  <c r="R20" i="123"/>
  <c r="R21" i="123"/>
  <c r="R22" i="123"/>
  <c r="R23" i="123"/>
  <c r="R24" i="123"/>
  <c r="R25" i="123"/>
  <c r="R26" i="123"/>
  <c r="R27" i="123"/>
  <c r="R28" i="123"/>
  <c r="R29" i="123"/>
  <c r="R30" i="123"/>
  <c r="R31" i="123"/>
  <c r="R32" i="123"/>
  <c r="R33" i="123"/>
  <c r="R34" i="123"/>
  <c r="R35" i="123"/>
  <c r="R36" i="123"/>
  <c r="R38" i="123"/>
  <c r="H38" i="123"/>
  <c r="G38" i="123"/>
  <c r="F38" i="123"/>
  <c r="M8" i="123"/>
  <c r="G12" i="122"/>
  <c r="I12" i="122"/>
  <c r="J12" i="122"/>
  <c r="O12" i="122"/>
  <c r="P12" i="122"/>
  <c r="L13" i="122"/>
  <c r="F13" i="122"/>
  <c r="G13" i="122"/>
  <c r="I13" i="122"/>
  <c r="J13" i="122"/>
  <c r="O13" i="122"/>
  <c r="P13" i="122"/>
  <c r="L14" i="122"/>
  <c r="F14" i="122"/>
  <c r="G14" i="122"/>
  <c r="I14" i="122"/>
  <c r="J14" i="122"/>
  <c r="O14" i="122"/>
  <c r="P14" i="122"/>
  <c r="L15" i="122"/>
  <c r="F15" i="122"/>
  <c r="G15" i="122"/>
  <c r="I15" i="122"/>
  <c r="J15" i="122"/>
  <c r="O15" i="122"/>
  <c r="P15" i="122"/>
  <c r="L16" i="122"/>
  <c r="F16" i="122"/>
  <c r="G16" i="122"/>
  <c r="I16" i="122"/>
  <c r="J16" i="122"/>
  <c r="O16" i="122"/>
  <c r="P16" i="122"/>
  <c r="L17" i="122"/>
  <c r="F17" i="122"/>
  <c r="G17" i="122"/>
  <c r="I17" i="122"/>
  <c r="J17" i="122"/>
  <c r="O17" i="122"/>
  <c r="P17" i="122"/>
  <c r="L18" i="122"/>
  <c r="E18" i="122"/>
  <c r="F18" i="122"/>
  <c r="G18" i="122"/>
  <c r="I18" i="122"/>
  <c r="J18" i="122"/>
  <c r="K18" i="122"/>
  <c r="O18" i="122"/>
  <c r="P18" i="122"/>
  <c r="L19" i="122"/>
  <c r="E19" i="122"/>
  <c r="F19" i="122"/>
  <c r="G19" i="122"/>
  <c r="I19" i="122"/>
  <c r="J19" i="122"/>
  <c r="O19" i="122"/>
  <c r="P19" i="122"/>
  <c r="L20" i="122"/>
  <c r="E20" i="122"/>
  <c r="F20" i="122"/>
  <c r="G20" i="122"/>
  <c r="I20" i="122"/>
  <c r="J20" i="122"/>
  <c r="K20" i="122"/>
  <c r="O20" i="122"/>
  <c r="P20" i="122"/>
  <c r="L21" i="122"/>
  <c r="G21" i="122"/>
  <c r="I21" i="122"/>
  <c r="J21" i="122"/>
  <c r="O21" i="122"/>
  <c r="P21" i="122"/>
  <c r="L22" i="122"/>
  <c r="G22" i="122"/>
  <c r="I22" i="122"/>
  <c r="J22" i="122"/>
  <c r="O22" i="122"/>
  <c r="P22" i="122"/>
  <c r="L23" i="122"/>
  <c r="E23" i="122"/>
  <c r="F23" i="122"/>
  <c r="G23" i="122"/>
  <c r="I23" i="122"/>
  <c r="J23" i="122"/>
  <c r="O23" i="122"/>
  <c r="P23" i="122"/>
  <c r="L24" i="122"/>
  <c r="E24" i="122"/>
  <c r="F24" i="122"/>
  <c r="G24" i="122"/>
  <c r="I24" i="122"/>
  <c r="J24" i="122"/>
  <c r="O24" i="122"/>
  <c r="P24" i="122"/>
  <c r="L25" i="122"/>
  <c r="E25" i="122"/>
  <c r="F25" i="122"/>
  <c r="G25" i="122"/>
  <c r="I25" i="122"/>
  <c r="J25" i="122"/>
  <c r="O25" i="122"/>
  <c r="P25" i="122"/>
  <c r="L26" i="122"/>
  <c r="E26" i="122"/>
  <c r="F26" i="122"/>
  <c r="G26" i="122"/>
  <c r="I26" i="122"/>
  <c r="J26" i="122"/>
  <c r="O26" i="122"/>
  <c r="P26" i="122"/>
  <c r="L27" i="122"/>
  <c r="G27" i="122"/>
  <c r="I27" i="122"/>
  <c r="J27" i="122"/>
  <c r="O27" i="122"/>
  <c r="P27" i="122"/>
  <c r="L28" i="122"/>
  <c r="G28" i="122"/>
  <c r="I28" i="122"/>
  <c r="J28" i="122"/>
  <c r="O28" i="122"/>
  <c r="P28" i="122"/>
  <c r="L29" i="122"/>
  <c r="E29" i="122"/>
  <c r="F29" i="122"/>
  <c r="G29" i="122"/>
  <c r="I29" i="122"/>
  <c r="J29" i="122"/>
  <c r="O29" i="122"/>
  <c r="P29" i="122"/>
  <c r="L30" i="122"/>
  <c r="F30" i="122"/>
  <c r="G30" i="122"/>
  <c r="I30" i="122"/>
  <c r="J30" i="122"/>
  <c r="O30" i="122"/>
  <c r="P30" i="122"/>
  <c r="L31" i="122"/>
  <c r="E31" i="122"/>
  <c r="F31" i="122"/>
  <c r="G31" i="122"/>
  <c r="I31" i="122"/>
  <c r="J31" i="122"/>
  <c r="O31" i="122"/>
  <c r="P31" i="122"/>
  <c r="L32" i="122"/>
  <c r="E32" i="122"/>
  <c r="F32" i="122"/>
  <c r="G32" i="122"/>
  <c r="I32" i="122"/>
  <c r="J32" i="122"/>
  <c r="O32" i="122"/>
  <c r="P32" i="122"/>
  <c r="L33" i="122"/>
  <c r="E33" i="122"/>
  <c r="F33" i="122"/>
  <c r="G33" i="122"/>
  <c r="I33" i="122"/>
  <c r="J33" i="122"/>
  <c r="O33" i="122"/>
  <c r="P33" i="122"/>
  <c r="L34" i="122"/>
  <c r="F34" i="122"/>
  <c r="G34" i="122"/>
  <c r="I34" i="122"/>
  <c r="J34" i="122"/>
  <c r="O34" i="122"/>
  <c r="P34" i="122"/>
  <c r="L35" i="122"/>
  <c r="E35" i="122"/>
  <c r="G35" i="122"/>
  <c r="I35" i="122"/>
  <c r="J35" i="122"/>
  <c r="O35" i="122"/>
  <c r="P35" i="122"/>
  <c r="L36" i="122"/>
  <c r="E36" i="122"/>
  <c r="F36" i="122"/>
  <c r="G36" i="122"/>
  <c r="I36" i="122"/>
  <c r="J36" i="122"/>
  <c r="O36" i="122"/>
  <c r="P36" i="122"/>
  <c r="L37" i="122"/>
  <c r="E37" i="122"/>
  <c r="G37" i="122"/>
  <c r="I37" i="122"/>
  <c r="J37" i="122"/>
  <c r="O37" i="122"/>
  <c r="P37" i="122"/>
  <c r="L38" i="122"/>
  <c r="E38" i="122"/>
  <c r="G38" i="122"/>
  <c r="I38" i="122"/>
  <c r="J38" i="122"/>
  <c r="O38" i="122"/>
  <c r="P38" i="122"/>
  <c r="L39" i="122"/>
  <c r="E39" i="122"/>
  <c r="G39" i="122"/>
  <c r="I39" i="122"/>
  <c r="J39" i="122"/>
  <c r="O39" i="122"/>
  <c r="P39" i="122"/>
  <c r="L40" i="122"/>
  <c r="I40" i="122"/>
  <c r="J40" i="122"/>
  <c r="K40" i="122"/>
  <c r="O40" i="122"/>
  <c r="P40" i="122"/>
  <c r="F41" i="122"/>
  <c r="G41" i="122"/>
  <c r="I41" i="122"/>
  <c r="J41" i="122"/>
  <c r="O41" i="122"/>
  <c r="P41" i="122"/>
  <c r="F42" i="122"/>
  <c r="G42" i="122"/>
  <c r="I42" i="122"/>
  <c r="J42" i="122"/>
  <c r="O42" i="122"/>
  <c r="P42" i="122"/>
  <c r="P44" i="122"/>
  <c r="G58" i="122"/>
  <c r="J44" i="122"/>
  <c r="J58" i="122"/>
  <c r="O44" i="122"/>
  <c r="G56" i="122"/>
  <c r="J56" i="122"/>
  <c r="K44" i="122"/>
  <c r="G54" i="122"/>
  <c r="J54" i="122"/>
  <c r="E44" i="122"/>
  <c r="G52" i="122"/>
  <c r="M7" i="122"/>
  <c r="G50" i="122"/>
  <c r="J52" i="122"/>
  <c r="E46" i="122"/>
  <c r="F46" i="122"/>
  <c r="K45" i="122"/>
  <c r="E45" i="122"/>
  <c r="N12" i="122"/>
  <c r="V12" i="122"/>
  <c r="N13" i="122"/>
  <c r="V13" i="122"/>
  <c r="N14" i="122"/>
  <c r="V14" i="122"/>
  <c r="N15" i="122"/>
  <c r="V15" i="122"/>
  <c r="N16" i="122"/>
  <c r="V16" i="122"/>
  <c r="N17" i="122"/>
  <c r="V17" i="122"/>
  <c r="N18" i="122"/>
  <c r="V18" i="122"/>
  <c r="N19" i="122"/>
  <c r="V19" i="122"/>
  <c r="N20" i="122"/>
  <c r="V20" i="122"/>
  <c r="N21" i="122"/>
  <c r="V21" i="122"/>
  <c r="N22" i="122"/>
  <c r="V22" i="122"/>
  <c r="N23" i="122"/>
  <c r="V23" i="122"/>
  <c r="N24" i="122"/>
  <c r="V24" i="122"/>
  <c r="N25" i="122"/>
  <c r="V25" i="122"/>
  <c r="N26" i="122"/>
  <c r="V26" i="122"/>
  <c r="N27" i="122"/>
  <c r="V27" i="122"/>
  <c r="N28" i="122"/>
  <c r="V28" i="122"/>
  <c r="N29" i="122"/>
  <c r="V29" i="122"/>
  <c r="N30" i="122"/>
  <c r="V30" i="122"/>
  <c r="N31" i="122"/>
  <c r="V31" i="122"/>
  <c r="N32" i="122"/>
  <c r="V32" i="122"/>
  <c r="N33" i="122"/>
  <c r="V33" i="122"/>
  <c r="N34" i="122"/>
  <c r="V34" i="122"/>
  <c r="N35" i="122"/>
  <c r="V35" i="122"/>
  <c r="N36" i="122"/>
  <c r="V36" i="122"/>
  <c r="N37" i="122"/>
  <c r="V37" i="122"/>
  <c r="N38" i="122"/>
  <c r="V38" i="122"/>
  <c r="N39" i="122"/>
  <c r="V39" i="122"/>
  <c r="N40" i="122"/>
  <c r="V40" i="122"/>
  <c r="N41" i="122"/>
  <c r="V41" i="122"/>
  <c r="N42" i="122"/>
  <c r="V42" i="122"/>
  <c r="V44" i="122"/>
  <c r="U12" i="122"/>
  <c r="U13" i="122"/>
  <c r="U14" i="122"/>
  <c r="U15" i="122"/>
  <c r="U16" i="122"/>
  <c r="U17" i="122"/>
  <c r="U18" i="122"/>
  <c r="U19" i="122"/>
  <c r="U20" i="122"/>
  <c r="U21" i="122"/>
  <c r="U22" i="122"/>
  <c r="U23" i="122"/>
  <c r="U24" i="122"/>
  <c r="U25" i="122"/>
  <c r="U26" i="122"/>
  <c r="U27" i="122"/>
  <c r="U28" i="122"/>
  <c r="U29" i="122"/>
  <c r="U30" i="122"/>
  <c r="U31" i="122"/>
  <c r="U32" i="122"/>
  <c r="U33" i="122"/>
  <c r="U34" i="122"/>
  <c r="U35" i="122"/>
  <c r="U36" i="122"/>
  <c r="U37" i="122"/>
  <c r="U38" i="122"/>
  <c r="U39" i="122"/>
  <c r="U40" i="122"/>
  <c r="U41" i="122"/>
  <c r="U42" i="122"/>
  <c r="U44" i="122"/>
  <c r="T12" i="122"/>
  <c r="T13" i="122"/>
  <c r="T14" i="122"/>
  <c r="T15" i="122"/>
  <c r="T16" i="122"/>
  <c r="T17" i="122"/>
  <c r="T18" i="122"/>
  <c r="T19" i="122"/>
  <c r="T20" i="122"/>
  <c r="T21" i="122"/>
  <c r="T22" i="122"/>
  <c r="T23" i="122"/>
  <c r="T24" i="122"/>
  <c r="T25" i="122"/>
  <c r="T26" i="122"/>
  <c r="T27" i="122"/>
  <c r="T28" i="122"/>
  <c r="T29" i="122"/>
  <c r="T30" i="122"/>
  <c r="T31" i="122"/>
  <c r="T32" i="122"/>
  <c r="T33" i="122"/>
  <c r="T34" i="122"/>
  <c r="T35" i="122"/>
  <c r="T36" i="122"/>
  <c r="T37" i="122"/>
  <c r="T38" i="122"/>
  <c r="T39" i="122"/>
  <c r="T40" i="122"/>
  <c r="T41" i="122"/>
  <c r="T42" i="122"/>
  <c r="T44" i="122"/>
  <c r="S12" i="122"/>
  <c r="S13" i="122"/>
  <c r="S14" i="122"/>
  <c r="S15" i="122"/>
  <c r="S16" i="122"/>
  <c r="S17" i="122"/>
  <c r="S18" i="122"/>
  <c r="S19" i="122"/>
  <c r="S20" i="122"/>
  <c r="S21" i="122"/>
  <c r="S22" i="122"/>
  <c r="S23" i="122"/>
  <c r="S24" i="122"/>
  <c r="S25" i="122"/>
  <c r="S26" i="122"/>
  <c r="S27" i="122"/>
  <c r="S28" i="122"/>
  <c r="S29" i="122"/>
  <c r="S30" i="122"/>
  <c r="S31" i="122"/>
  <c r="S32" i="122"/>
  <c r="S33" i="122"/>
  <c r="S34" i="122"/>
  <c r="S35" i="122"/>
  <c r="S36" i="122"/>
  <c r="S37" i="122"/>
  <c r="S38" i="122"/>
  <c r="S39" i="122"/>
  <c r="S40" i="122"/>
  <c r="S41" i="122"/>
  <c r="S42" i="122"/>
  <c r="S44" i="122"/>
  <c r="R12" i="122"/>
  <c r="R13" i="122"/>
  <c r="R14" i="122"/>
  <c r="R15" i="122"/>
  <c r="R16" i="122"/>
  <c r="R17" i="122"/>
  <c r="R18" i="122"/>
  <c r="R19" i="122"/>
  <c r="R20" i="122"/>
  <c r="R21" i="122"/>
  <c r="R22" i="122"/>
  <c r="R23" i="122"/>
  <c r="R24" i="122"/>
  <c r="R25" i="122"/>
  <c r="R26" i="122"/>
  <c r="R27" i="122"/>
  <c r="R28" i="122"/>
  <c r="R29" i="122"/>
  <c r="R30" i="122"/>
  <c r="R31" i="122"/>
  <c r="R32" i="122"/>
  <c r="R33" i="122"/>
  <c r="R34" i="122"/>
  <c r="R35" i="122"/>
  <c r="R36" i="122"/>
  <c r="R37" i="122"/>
  <c r="R38" i="122"/>
  <c r="R39" i="122"/>
  <c r="R40" i="122"/>
  <c r="R41" i="122"/>
  <c r="R42" i="122"/>
  <c r="R44" i="122"/>
  <c r="I44" i="122"/>
  <c r="H44" i="122"/>
  <c r="G44" i="122"/>
  <c r="F44" i="122"/>
  <c r="A25" i="122"/>
  <c r="A23" i="122"/>
  <c r="A24" i="122"/>
  <c r="M8" i="122"/>
  <c r="F12" i="121"/>
  <c r="G12" i="121"/>
  <c r="I12" i="121"/>
  <c r="J12" i="121"/>
  <c r="K12" i="121"/>
  <c r="O12" i="121"/>
  <c r="P12" i="121"/>
  <c r="L13" i="121"/>
  <c r="F13" i="121"/>
  <c r="G13" i="121"/>
  <c r="I13" i="121"/>
  <c r="J13" i="121"/>
  <c r="O13" i="121"/>
  <c r="P13" i="121"/>
  <c r="L14" i="121"/>
  <c r="F14" i="121"/>
  <c r="G14" i="121"/>
  <c r="I14" i="121"/>
  <c r="J14" i="121"/>
  <c r="O14" i="121"/>
  <c r="P14" i="121"/>
  <c r="L15" i="121"/>
  <c r="E15" i="121"/>
  <c r="F15" i="121"/>
  <c r="G15" i="121"/>
  <c r="I15" i="121"/>
  <c r="J15" i="121"/>
  <c r="O15" i="121"/>
  <c r="P15" i="121"/>
  <c r="L16" i="121"/>
  <c r="F16" i="121"/>
  <c r="G16" i="121"/>
  <c r="I16" i="121"/>
  <c r="J16" i="121"/>
  <c r="O16" i="121"/>
  <c r="P16" i="121"/>
  <c r="L17" i="121"/>
  <c r="F17" i="121"/>
  <c r="G17" i="121"/>
  <c r="I17" i="121"/>
  <c r="J17" i="121"/>
  <c r="O17" i="121"/>
  <c r="P17" i="121"/>
  <c r="L18" i="121"/>
  <c r="E18" i="121"/>
  <c r="F18" i="121"/>
  <c r="G18" i="121"/>
  <c r="I18" i="121"/>
  <c r="J18" i="121"/>
  <c r="O18" i="121"/>
  <c r="P18" i="121"/>
  <c r="L19" i="121"/>
  <c r="F19" i="121"/>
  <c r="G19" i="121"/>
  <c r="I19" i="121"/>
  <c r="J19" i="121"/>
  <c r="O19" i="121"/>
  <c r="P19" i="121"/>
  <c r="L20" i="121"/>
  <c r="E20" i="121"/>
  <c r="F20" i="121"/>
  <c r="G20" i="121"/>
  <c r="I20" i="121"/>
  <c r="J20" i="121"/>
  <c r="O20" i="121"/>
  <c r="P20" i="121"/>
  <c r="L21" i="121"/>
  <c r="E21" i="121"/>
  <c r="F21" i="121"/>
  <c r="G21" i="121"/>
  <c r="I21" i="121"/>
  <c r="J21" i="121"/>
  <c r="O21" i="121"/>
  <c r="P21" i="121"/>
  <c r="L22" i="121"/>
  <c r="F22" i="121"/>
  <c r="G22" i="121"/>
  <c r="I22" i="121"/>
  <c r="J22" i="121"/>
  <c r="O22" i="121"/>
  <c r="P22" i="121"/>
  <c r="L23" i="121"/>
  <c r="E23" i="121"/>
  <c r="F23" i="121"/>
  <c r="G23" i="121"/>
  <c r="I23" i="121"/>
  <c r="J23" i="121"/>
  <c r="K23" i="121"/>
  <c r="O23" i="121"/>
  <c r="P23" i="121"/>
  <c r="L24" i="121"/>
  <c r="E24" i="121"/>
  <c r="F24" i="121"/>
  <c r="G24" i="121"/>
  <c r="I24" i="121"/>
  <c r="J24" i="121"/>
  <c r="O24" i="121"/>
  <c r="P24" i="121"/>
  <c r="L25" i="121"/>
  <c r="E25" i="121"/>
  <c r="F25" i="121"/>
  <c r="G25" i="121"/>
  <c r="I25" i="121"/>
  <c r="J25" i="121"/>
  <c r="O25" i="121"/>
  <c r="P25" i="121"/>
  <c r="L26" i="121"/>
  <c r="G26" i="121"/>
  <c r="I26" i="121"/>
  <c r="J26" i="121"/>
  <c r="O26" i="121"/>
  <c r="P26" i="121"/>
  <c r="L27" i="121"/>
  <c r="G27" i="121"/>
  <c r="I27" i="121"/>
  <c r="J27" i="121"/>
  <c r="O27" i="121"/>
  <c r="P27" i="121"/>
  <c r="L28" i="121"/>
  <c r="E28" i="121"/>
  <c r="F28" i="121"/>
  <c r="G28" i="121"/>
  <c r="I28" i="121"/>
  <c r="J28" i="121"/>
  <c r="O28" i="121"/>
  <c r="P28" i="121"/>
  <c r="L29" i="121"/>
  <c r="E29" i="121"/>
  <c r="F29" i="121"/>
  <c r="G29" i="121"/>
  <c r="I29" i="121"/>
  <c r="J29" i="121"/>
  <c r="O29" i="121"/>
  <c r="P29" i="121"/>
  <c r="L30" i="121"/>
  <c r="E30" i="121"/>
  <c r="F30" i="121"/>
  <c r="G30" i="121"/>
  <c r="I30" i="121"/>
  <c r="J30" i="121"/>
  <c r="O30" i="121"/>
  <c r="P30" i="121"/>
  <c r="L31" i="121"/>
  <c r="F31" i="121"/>
  <c r="G31" i="121"/>
  <c r="I31" i="121"/>
  <c r="J31" i="121"/>
  <c r="O31" i="121"/>
  <c r="P31" i="121"/>
  <c r="L32" i="121"/>
  <c r="E32" i="121"/>
  <c r="F32" i="121"/>
  <c r="G32" i="121"/>
  <c r="I32" i="121"/>
  <c r="J32" i="121"/>
  <c r="O32" i="121"/>
  <c r="P32" i="121"/>
  <c r="L33" i="121"/>
  <c r="E33" i="121"/>
  <c r="F33" i="121"/>
  <c r="G33" i="121"/>
  <c r="I33" i="121"/>
  <c r="J33" i="121"/>
  <c r="K33" i="121"/>
  <c r="O33" i="121"/>
  <c r="P33" i="121"/>
  <c r="L34" i="121"/>
  <c r="F34" i="121"/>
  <c r="G34" i="121"/>
  <c r="I34" i="121"/>
  <c r="J34" i="121"/>
  <c r="O34" i="121"/>
  <c r="P34" i="121"/>
  <c r="L35" i="121"/>
  <c r="E35" i="121"/>
  <c r="G35" i="121"/>
  <c r="I35" i="121"/>
  <c r="J35" i="121"/>
  <c r="O35" i="121"/>
  <c r="P35" i="121"/>
  <c r="L36" i="121"/>
  <c r="E36" i="121"/>
  <c r="F36" i="121"/>
  <c r="G36" i="121"/>
  <c r="I36" i="121"/>
  <c r="J36" i="121"/>
  <c r="O36" i="121"/>
  <c r="P36" i="121"/>
  <c r="L37" i="121"/>
  <c r="F37" i="121"/>
  <c r="G37" i="121"/>
  <c r="I37" i="121"/>
  <c r="J37" i="121"/>
  <c r="O37" i="121"/>
  <c r="P37" i="121"/>
  <c r="L38" i="121"/>
  <c r="E38" i="121"/>
  <c r="G38" i="121"/>
  <c r="I38" i="121"/>
  <c r="J38" i="121"/>
  <c r="O38" i="121"/>
  <c r="P38" i="121"/>
  <c r="L39" i="121"/>
  <c r="E39" i="121"/>
  <c r="F39" i="121"/>
  <c r="G39" i="121"/>
  <c r="I39" i="121"/>
  <c r="J39" i="121"/>
  <c r="O39" i="121"/>
  <c r="P39" i="121"/>
  <c r="L40" i="121"/>
  <c r="E40" i="121"/>
  <c r="F40" i="121"/>
  <c r="G40" i="121"/>
  <c r="I40" i="121"/>
  <c r="J40" i="121"/>
  <c r="O40" i="121"/>
  <c r="P40" i="121"/>
  <c r="L41" i="121"/>
  <c r="E41" i="121"/>
  <c r="G41" i="121"/>
  <c r="I41" i="121"/>
  <c r="J41" i="121"/>
  <c r="O41" i="121"/>
  <c r="P41" i="121"/>
  <c r="L42" i="121"/>
  <c r="F42" i="121"/>
  <c r="G42" i="121"/>
  <c r="I42" i="121"/>
  <c r="J42" i="121"/>
  <c r="O42" i="121"/>
  <c r="P42" i="121"/>
  <c r="L43" i="121"/>
  <c r="E43" i="121"/>
  <c r="F43" i="121"/>
  <c r="G43" i="121"/>
  <c r="I43" i="121"/>
  <c r="J43" i="121"/>
  <c r="K43" i="121"/>
  <c r="O43" i="121"/>
  <c r="P43" i="121"/>
  <c r="L44" i="121"/>
  <c r="G44" i="121"/>
  <c r="I44" i="121"/>
  <c r="J44" i="121"/>
  <c r="K44" i="121"/>
  <c r="O44" i="121"/>
  <c r="P44" i="121"/>
  <c r="L45" i="121"/>
  <c r="E45" i="121"/>
  <c r="I45" i="121"/>
  <c r="J45" i="121"/>
  <c r="O45" i="121"/>
  <c r="P45" i="121"/>
  <c r="L46" i="121"/>
  <c r="P46" i="121"/>
  <c r="F47" i="121"/>
  <c r="I47" i="121"/>
  <c r="J47" i="121"/>
  <c r="O47" i="121"/>
  <c r="P47" i="121"/>
  <c r="P49" i="121"/>
  <c r="G63" i="121"/>
  <c r="E46" i="121"/>
  <c r="F46" i="121"/>
  <c r="I46" i="121"/>
  <c r="J46" i="121"/>
  <c r="J49" i="121"/>
  <c r="J63" i="121"/>
  <c r="O46" i="121"/>
  <c r="O49" i="121"/>
  <c r="G61" i="121"/>
  <c r="J61" i="121"/>
  <c r="K49" i="121"/>
  <c r="G59" i="121"/>
  <c r="J59" i="121"/>
  <c r="E49" i="121"/>
  <c r="G57" i="121"/>
  <c r="M7" i="121"/>
  <c r="G55" i="121"/>
  <c r="J57" i="121"/>
  <c r="E51" i="121"/>
  <c r="F51" i="121"/>
  <c r="K50" i="121"/>
  <c r="E50" i="121"/>
  <c r="N12" i="121"/>
  <c r="V12" i="121"/>
  <c r="N13" i="121"/>
  <c r="V13" i="121"/>
  <c r="N14" i="121"/>
  <c r="V14" i="121"/>
  <c r="N15" i="121"/>
  <c r="V15" i="121"/>
  <c r="N16" i="121"/>
  <c r="V16" i="121"/>
  <c r="N17" i="121"/>
  <c r="V17" i="121"/>
  <c r="N18" i="121"/>
  <c r="V18" i="121"/>
  <c r="N19" i="121"/>
  <c r="V19" i="121"/>
  <c r="N20" i="121"/>
  <c r="V20" i="121"/>
  <c r="N21" i="121"/>
  <c r="V21" i="121"/>
  <c r="N22" i="121"/>
  <c r="V22" i="121"/>
  <c r="N23" i="121"/>
  <c r="V23" i="121"/>
  <c r="N24" i="121"/>
  <c r="V24" i="121"/>
  <c r="N25" i="121"/>
  <c r="V25" i="121"/>
  <c r="N26" i="121"/>
  <c r="V26" i="121"/>
  <c r="N27" i="121"/>
  <c r="V27" i="121"/>
  <c r="N28" i="121"/>
  <c r="V28" i="121"/>
  <c r="N29" i="121"/>
  <c r="V29" i="121"/>
  <c r="N30" i="121"/>
  <c r="V30" i="121"/>
  <c r="N31" i="121"/>
  <c r="V31" i="121"/>
  <c r="N32" i="121"/>
  <c r="V32" i="121"/>
  <c r="N33" i="121"/>
  <c r="V33" i="121"/>
  <c r="N34" i="121"/>
  <c r="V34" i="121"/>
  <c r="N35" i="121"/>
  <c r="V35" i="121"/>
  <c r="N36" i="121"/>
  <c r="V36" i="121"/>
  <c r="N37" i="121"/>
  <c r="V37" i="121"/>
  <c r="N38" i="121"/>
  <c r="V38" i="121"/>
  <c r="N39" i="121"/>
  <c r="V39" i="121"/>
  <c r="N40" i="121"/>
  <c r="V40" i="121"/>
  <c r="N41" i="121"/>
  <c r="V41" i="121"/>
  <c r="N42" i="121"/>
  <c r="V42" i="121"/>
  <c r="N43" i="121"/>
  <c r="V43" i="121"/>
  <c r="N44" i="121"/>
  <c r="V44" i="121"/>
  <c r="N45" i="121"/>
  <c r="V45" i="121"/>
  <c r="N46" i="121"/>
  <c r="V46" i="121"/>
  <c r="N47" i="121"/>
  <c r="V47" i="121"/>
  <c r="V49" i="121"/>
  <c r="U12" i="121"/>
  <c r="U13" i="121"/>
  <c r="U14" i="121"/>
  <c r="U15" i="121"/>
  <c r="U16" i="121"/>
  <c r="U17" i="121"/>
  <c r="U18" i="121"/>
  <c r="U19" i="121"/>
  <c r="U20" i="121"/>
  <c r="U21" i="121"/>
  <c r="U22" i="121"/>
  <c r="U23" i="121"/>
  <c r="U24" i="121"/>
  <c r="U25" i="121"/>
  <c r="U26" i="121"/>
  <c r="U27" i="121"/>
  <c r="U28" i="121"/>
  <c r="U29" i="121"/>
  <c r="U30" i="121"/>
  <c r="U31" i="121"/>
  <c r="U32" i="121"/>
  <c r="U33" i="121"/>
  <c r="U34" i="121"/>
  <c r="U35" i="121"/>
  <c r="U36" i="121"/>
  <c r="U37" i="121"/>
  <c r="U38" i="121"/>
  <c r="U39" i="121"/>
  <c r="U40" i="121"/>
  <c r="U41" i="121"/>
  <c r="U42" i="121"/>
  <c r="U43" i="121"/>
  <c r="U44" i="121"/>
  <c r="U45" i="121"/>
  <c r="U46" i="121"/>
  <c r="U47" i="121"/>
  <c r="U49" i="121"/>
  <c r="T12" i="121"/>
  <c r="T13" i="121"/>
  <c r="T14" i="121"/>
  <c r="T15" i="121"/>
  <c r="T16" i="121"/>
  <c r="T17" i="121"/>
  <c r="T18" i="121"/>
  <c r="T19" i="121"/>
  <c r="T20" i="121"/>
  <c r="T21" i="121"/>
  <c r="T22" i="121"/>
  <c r="T23" i="121"/>
  <c r="T24" i="121"/>
  <c r="T25" i="121"/>
  <c r="T26" i="121"/>
  <c r="T27" i="121"/>
  <c r="T28" i="121"/>
  <c r="T29" i="121"/>
  <c r="T30" i="121"/>
  <c r="T31" i="121"/>
  <c r="T32" i="121"/>
  <c r="T33" i="121"/>
  <c r="T34" i="121"/>
  <c r="T35" i="121"/>
  <c r="T36" i="121"/>
  <c r="T37" i="121"/>
  <c r="T38" i="121"/>
  <c r="T39" i="121"/>
  <c r="T40" i="121"/>
  <c r="T41" i="121"/>
  <c r="T42" i="121"/>
  <c r="T43" i="121"/>
  <c r="T44" i="121"/>
  <c r="T45" i="121"/>
  <c r="T46" i="121"/>
  <c r="T47" i="121"/>
  <c r="T49" i="121"/>
  <c r="S12" i="121"/>
  <c r="S13" i="121"/>
  <c r="S14" i="121"/>
  <c r="S15" i="121"/>
  <c r="S16" i="121"/>
  <c r="S17" i="121"/>
  <c r="S18" i="121"/>
  <c r="S19" i="121"/>
  <c r="S20" i="121"/>
  <c r="S21" i="121"/>
  <c r="S22" i="121"/>
  <c r="S23" i="121"/>
  <c r="S24" i="121"/>
  <c r="S25" i="121"/>
  <c r="S26" i="121"/>
  <c r="S27" i="121"/>
  <c r="S28" i="121"/>
  <c r="S29" i="121"/>
  <c r="S30" i="121"/>
  <c r="S31" i="121"/>
  <c r="S32" i="121"/>
  <c r="S33" i="121"/>
  <c r="S34" i="121"/>
  <c r="S35" i="121"/>
  <c r="S36" i="121"/>
  <c r="S37" i="121"/>
  <c r="S38" i="121"/>
  <c r="S39" i="121"/>
  <c r="S40" i="121"/>
  <c r="S41" i="121"/>
  <c r="S42" i="121"/>
  <c r="S43" i="121"/>
  <c r="S44" i="121"/>
  <c r="S45" i="121"/>
  <c r="S46" i="121"/>
  <c r="S47" i="121"/>
  <c r="S49" i="121"/>
  <c r="R12" i="121"/>
  <c r="R13" i="121"/>
  <c r="R14" i="121"/>
  <c r="R15" i="121"/>
  <c r="R16" i="121"/>
  <c r="R17" i="121"/>
  <c r="R18" i="121"/>
  <c r="R19" i="121"/>
  <c r="R20" i="121"/>
  <c r="R21" i="121"/>
  <c r="R22" i="121"/>
  <c r="R23" i="121"/>
  <c r="R24" i="121"/>
  <c r="R25" i="121"/>
  <c r="R26" i="121"/>
  <c r="R27" i="121"/>
  <c r="R28" i="121"/>
  <c r="R29" i="121"/>
  <c r="R30" i="121"/>
  <c r="R31" i="121"/>
  <c r="R32" i="121"/>
  <c r="R33" i="121"/>
  <c r="R34" i="121"/>
  <c r="R35" i="121"/>
  <c r="R36" i="121"/>
  <c r="R37" i="121"/>
  <c r="R38" i="121"/>
  <c r="R39" i="121"/>
  <c r="R40" i="121"/>
  <c r="R41" i="121"/>
  <c r="R42" i="121"/>
  <c r="R43" i="121"/>
  <c r="R44" i="121"/>
  <c r="R45" i="121"/>
  <c r="R46" i="121"/>
  <c r="R47" i="121"/>
  <c r="R49" i="121"/>
  <c r="I49" i="121"/>
  <c r="H49" i="121"/>
  <c r="G49" i="121"/>
  <c r="F49" i="121"/>
  <c r="M8" i="121"/>
  <c r="L12" i="120"/>
  <c r="G12" i="120"/>
  <c r="F12" i="120"/>
  <c r="I12" i="120"/>
  <c r="J12" i="120"/>
  <c r="K12" i="120"/>
  <c r="O12" i="120"/>
  <c r="P12" i="120"/>
  <c r="L17" i="120"/>
  <c r="G17" i="120"/>
  <c r="F17" i="120"/>
  <c r="I17" i="120"/>
  <c r="J17" i="120"/>
  <c r="O17" i="120"/>
  <c r="P17" i="120"/>
  <c r="L18" i="120"/>
  <c r="G18" i="120"/>
  <c r="F18" i="120"/>
  <c r="I18" i="120"/>
  <c r="J18" i="120"/>
  <c r="O18" i="120"/>
  <c r="P18" i="120"/>
  <c r="L19" i="120"/>
  <c r="G19" i="120"/>
  <c r="F19" i="120"/>
  <c r="I19" i="120"/>
  <c r="J19" i="120"/>
  <c r="O19" i="120"/>
  <c r="P19" i="120"/>
  <c r="L20" i="120"/>
  <c r="G20" i="120"/>
  <c r="F20" i="120"/>
  <c r="I20" i="120"/>
  <c r="J20" i="120"/>
  <c r="K20" i="120"/>
  <c r="O20" i="120"/>
  <c r="P20" i="120"/>
  <c r="L23" i="120"/>
  <c r="P23" i="120"/>
  <c r="P25" i="120"/>
  <c r="H39" i="120"/>
  <c r="G13" i="120"/>
  <c r="F13" i="120"/>
  <c r="I13" i="120"/>
  <c r="J13" i="120"/>
  <c r="G14" i="120"/>
  <c r="F14" i="120"/>
  <c r="I14" i="120"/>
  <c r="J14" i="120"/>
  <c r="G15" i="120"/>
  <c r="F15" i="120"/>
  <c r="I15" i="120"/>
  <c r="J15" i="120"/>
  <c r="G16" i="120"/>
  <c r="F16" i="120"/>
  <c r="I16" i="120"/>
  <c r="J16" i="120"/>
  <c r="G23" i="120"/>
  <c r="F23" i="120"/>
  <c r="I23" i="120"/>
  <c r="J23" i="120"/>
  <c r="J25" i="120"/>
  <c r="K39" i="120"/>
  <c r="O23" i="120"/>
  <c r="O25" i="120"/>
  <c r="H37" i="120"/>
  <c r="K37" i="120"/>
  <c r="K25" i="120"/>
  <c r="H35" i="120"/>
  <c r="K35" i="120"/>
  <c r="E25" i="120"/>
  <c r="H33" i="120"/>
  <c r="M7" i="120"/>
  <c r="H31" i="120"/>
  <c r="K33" i="120"/>
  <c r="E27" i="120"/>
  <c r="F27" i="120"/>
  <c r="K26" i="120"/>
  <c r="E26" i="120"/>
  <c r="V12" i="120"/>
  <c r="N13" i="120"/>
  <c r="V13" i="120"/>
  <c r="N14" i="120"/>
  <c r="V14" i="120"/>
  <c r="N15" i="120"/>
  <c r="V15" i="120"/>
  <c r="N16" i="120"/>
  <c r="V16" i="120"/>
  <c r="N17" i="120"/>
  <c r="V17" i="120"/>
  <c r="N18" i="120"/>
  <c r="V18" i="120"/>
  <c r="N19" i="120"/>
  <c r="V19" i="120"/>
  <c r="V20" i="120"/>
  <c r="N21" i="120"/>
  <c r="V21" i="120"/>
  <c r="N22" i="120"/>
  <c r="V22" i="120"/>
  <c r="N23" i="120"/>
  <c r="V23" i="120"/>
  <c r="V24" i="120"/>
  <c r="V25" i="120"/>
  <c r="U12" i="120"/>
  <c r="U13" i="120"/>
  <c r="U14" i="120"/>
  <c r="U15" i="120"/>
  <c r="U16" i="120"/>
  <c r="U17" i="120"/>
  <c r="U18" i="120"/>
  <c r="U19" i="120"/>
  <c r="U20" i="120"/>
  <c r="U21" i="120"/>
  <c r="U22" i="120"/>
  <c r="U23" i="120"/>
  <c r="U24" i="120"/>
  <c r="U25" i="120"/>
  <c r="T12" i="120"/>
  <c r="T13" i="120"/>
  <c r="T14" i="120"/>
  <c r="T15" i="120"/>
  <c r="T16" i="120"/>
  <c r="T17" i="120"/>
  <c r="T18" i="120"/>
  <c r="T19" i="120"/>
  <c r="T20" i="120"/>
  <c r="T21" i="120"/>
  <c r="T22" i="120"/>
  <c r="T23" i="120"/>
  <c r="T24" i="120"/>
  <c r="T25" i="120"/>
  <c r="S12" i="120"/>
  <c r="S13" i="120"/>
  <c r="S14" i="120"/>
  <c r="S15" i="120"/>
  <c r="S16" i="120"/>
  <c r="S17" i="120"/>
  <c r="S18" i="120"/>
  <c r="S19" i="120"/>
  <c r="S20" i="120"/>
  <c r="S21" i="120"/>
  <c r="S22" i="120"/>
  <c r="S23" i="120"/>
  <c r="S24" i="120"/>
  <c r="S25" i="120"/>
  <c r="R12" i="120"/>
  <c r="R13" i="120"/>
  <c r="R14" i="120"/>
  <c r="R15" i="120"/>
  <c r="R16" i="120"/>
  <c r="R17" i="120"/>
  <c r="R18" i="120"/>
  <c r="R19" i="120"/>
  <c r="R20" i="120"/>
  <c r="R21" i="120"/>
  <c r="R22" i="120"/>
  <c r="R23" i="120"/>
  <c r="R24" i="120"/>
  <c r="R25" i="120"/>
  <c r="I25" i="120"/>
  <c r="H25" i="120"/>
  <c r="G25" i="120"/>
  <c r="F25" i="120"/>
  <c r="M8" i="120"/>
  <c r="L12" i="119"/>
  <c r="G12" i="119"/>
  <c r="F12" i="119"/>
  <c r="I12" i="119"/>
  <c r="J12" i="119"/>
  <c r="K14" i="119"/>
  <c r="K12" i="119"/>
  <c r="O12" i="119"/>
  <c r="P12" i="119"/>
  <c r="L15" i="119"/>
  <c r="G15" i="119"/>
  <c r="F15" i="119"/>
  <c r="I15" i="119"/>
  <c r="J15" i="119"/>
  <c r="O15" i="119"/>
  <c r="P15" i="119"/>
  <c r="L16" i="119"/>
  <c r="G16" i="119"/>
  <c r="F16" i="119"/>
  <c r="I16" i="119"/>
  <c r="J16" i="119"/>
  <c r="O16" i="119"/>
  <c r="P16" i="119"/>
  <c r="L17" i="119"/>
  <c r="G17" i="119"/>
  <c r="F17" i="119"/>
  <c r="I17" i="119"/>
  <c r="J17" i="119"/>
  <c r="O17" i="119"/>
  <c r="P17" i="119"/>
  <c r="L18" i="119"/>
  <c r="G18" i="119"/>
  <c r="F18" i="119"/>
  <c r="I18" i="119"/>
  <c r="J18" i="119"/>
  <c r="K18" i="119"/>
  <c r="O18" i="119"/>
  <c r="P18" i="119"/>
  <c r="L21" i="119"/>
  <c r="P21" i="119"/>
  <c r="P23" i="119"/>
  <c r="H37" i="119"/>
  <c r="G14" i="119"/>
  <c r="F14" i="119"/>
  <c r="I14" i="119"/>
  <c r="J14" i="119"/>
  <c r="G21" i="119"/>
  <c r="F21" i="119"/>
  <c r="I21" i="119"/>
  <c r="J21" i="119"/>
  <c r="J23" i="119"/>
  <c r="K37" i="119"/>
  <c r="O21" i="119"/>
  <c r="O23" i="119"/>
  <c r="H35" i="119"/>
  <c r="K35" i="119"/>
  <c r="K23" i="119"/>
  <c r="H33" i="119"/>
  <c r="K33" i="119"/>
  <c r="E23" i="119"/>
  <c r="H31" i="119"/>
  <c r="M7" i="119"/>
  <c r="H29" i="119"/>
  <c r="K31" i="119"/>
  <c r="E25" i="119"/>
  <c r="F25" i="119"/>
  <c r="K24" i="119"/>
  <c r="E24" i="119"/>
  <c r="V12" i="119"/>
  <c r="N13" i="119"/>
  <c r="V13" i="119"/>
  <c r="N14" i="119"/>
  <c r="V14" i="119"/>
  <c r="N15" i="119"/>
  <c r="V15" i="119"/>
  <c r="N16" i="119"/>
  <c r="V16" i="119"/>
  <c r="N17" i="119"/>
  <c r="V17" i="119"/>
  <c r="V18" i="119"/>
  <c r="N19" i="119"/>
  <c r="V19" i="119"/>
  <c r="N20" i="119"/>
  <c r="V20" i="119"/>
  <c r="N21" i="119"/>
  <c r="V21" i="119"/>
  <c r="V22" i="119"/>
  <c r="V23" i="119"/>
  <c r="U12" i="119"/>
  <c r="U13" i="119"/>
  <c r="U14" i="119"/>
  <c r="U15" i="119"/>
  <c r="U16" i="119"/>
  <c r="U17" i="119"/>
  <c r="U18" i="119"/>
  <c r="U19" i="119"/>
  <c r="U20" i="119"/>
  <c r="U21" i="119"/>
  <c r="U22" i="119"/>
  <c r="U23" i="119"/>
  <c r="T12" i="119"/>
  <c r="T13" i="119"/>
  <c r="T14" i="119"/>
  <c r="T15" i="119"/>
  <c r="T16" i="119"/>
  <c r="T17" i="119"/>
  <c r="T18" i="119"/>
  <c r="T19" i="119"/>
  <c r="T20" i="119"/>
  <c r="T21" i="119"/>
  <c r="T22" i="119"/>
  <c r="T23" i="119"/>
  <c r="S12" i="119"/>
  <c r="S13" i="119"/>
  <c r="S14" i="119"/>
  <c r="S15" i="119"/>
  <c r="S16" i="119"/>
  <c r="S17" i="119"/>
  <c r="S18" i="119"/>
  <c r="S19" i="119"/>
  <c r="S20" i="119"/>
  <c r="S21" i="119"/>
  <c r="S22" i="119"/>
  <c r="S23" i="119"/>
  <c r="R12" i="119"/>
  <c r="R13" i="119"/>
  <c r="R14" i="119"/>
  <c r="R15" i="119"/>
  <c r="R16" i="119"/>
  <c r="R17" i="119"/>
  <c r="R18" i="119"/>
  <c r="R19" i="119"/>
  <c r="R20" i="119"/>
  <c r="R21" i="119"/>
  <c r="R22" i="119"/>
  <c r="R23" i="119"/>
  <c r="G13" i="119"/>
  <c r="F13" i="119"/>
  <c r="I13" i="119"/>
  <c r="I23" i="119"/>
  <c r="H23" i="119"/>
  <c r="G23" i="119"/>
  <c r="F23" i="119"/>
  <c r="M8" i="119"/>
  <c r="H12" i="118"/>
  <c r="I12" i="118"/>
  <c r="J12" i="118"/>
  <c r="K12" i="118"/>
  <c r="O12" i="118"/>
  <c r="P12" i="118"/>
  <c r="H13" i="118"/>
  <c r="I13" i="118"/>
  <c r="J13" i="118"/>
  <c r="K13" i="118"/>
  <c r="O13" i="118"/>
  <c r="P13" i="118"/>
  <c r="H14" i="118"/>
  <c r="I14" i="118"/>
  <c r="J14" i="118"/>
  <c r="K14" i="118"/>
  <c r="O14" i="118"/>
  <c r="P14" i="118"/>
  <c r="F15" i="118"/>
  <c r="H15" i="118"/>
  <c r="I15" i="118"/>
  <c r="J15" i="118"/>
  <c r="K15" i="118"/>
  <c r="O15" i="118"/>
  <c r="P15" i="118"/>
  <c r="F16" i="118"/>
  <c r="H16" i="118"/>
  <c r="I16" i="118"/>
  <c r="J16" i="118"/>
  <c r="K16" i="118"/>
  <c r="O16" i="118"/>
  <c r="P16" i="118"/>
  <c r="F17" i="118"/>
  <c r="H17" i="118"/>
  <c r="I17" i="118"/>
  <c r="J17" i="118"/>
  <c r="O17" i="118"/>
  <c r="P17" i="118"/>
  <c r="F18" i="118"/>
  <c r="H18" i="118"/>
  <c r="I18" i="118"/>
  <c r="J18" i="118"/>
  <c r="O18" i="118"/>
  <c r="P18" i="118"/>
  <c r="F19" i="118"/>
  <c r="H19" i="118"/>
  <c r="I19" i="118"/>
  <c r="J19" i="118"/>
  <c r="O19" i="118"/>
  <c r="P19" i="118"/>
  <c r="E20" i="118"/>
  <c r="F20" i="118"/>
  <c r="H20" i="118"/>
  <c r="I20" i="118"/>
  <c r="J20" i="118"/>
  <c r="O20" i="118"/>
  <c r="P20" i="118"/>
  <c r="E21" i="118"/>
  <c r="F21" i="118"/>
  <c r="H21" i="118"/>
  <c r="I21" i="118"/>
  <c r="J21" i="118"/>
  <c r="O21" i="118"/>
  <c r="P21" i="118"/>
  <c r="P22" i="118"/>
  <c r="P24" i="118"/>
  <c r="G38" i="118"/>
  <c r="E22" i="118"/>
  <c r="F22" i="118"/>
  <c r="H22" i="118"/>
  <c r="I22" i="118"/>
  <c r="I24" i="118"/>
  <c r="J38" i="118"/>
  <c r="J22" i="118"/>
  <c r="O22" i="118"/>
  <c r="O24" i="118"/>
  <c r="G36" i="118"/>
  <c r="J24" i="118"/>
  <c r="J36" i="118"/>
  <c r="K24" i="118"/>
  <c r="G34" i="118"/>
  <c r="J34" i="118"/>
  <c r="E24" i="118"/>
  <c r="G32" i="118"/>
  <c r="M7" i="118"/>
  <c r="G30" i="118"/>
  <c r="J32" i="118"/>
  <c r="E26" i="118"/>
  <c r="F26" i="118"/>
  <c r="K25" i="118"/>
  <c r="H24" i="118"/>
  <c r="H25" i="118"/>
  <c r="E25" i="118"/>
  <c r="N12" i="118"/>
  <c r="X12" i="118"/>
  <c r="N13" i="118"/>
  <c r="X13" i="118"/>
  <c r="N14" i="118"/>
  <c r="X14" i="118"/>
  <c r="N15" i="118"/>
  <c r="X15" i="118"/>
  <c r="N16" i="118"/>
  <c r="X16" i="118"/>
  <c r="X24" i="118"/>
  <c r="V12" i="118"/>
  <c r="V13" i="118"/>
  <c r="V14" i="118"/>
  <c r="V15" i="118"/>
  <c r="V16" i="118"/>
  <c r="N17" i="118"/>
  <c r="V17" i="118"/>
  <c r="N18" i="118"/>
  <c r="V18" i="118"/>
  <c r="N19" i="118"/>
  <c r="V19" i="118"/>
  <c r="N20" i="118"/>
  <c r="V20" i="118"/>
  <c r="N21" i="118"/>
  <c r="V21" i="118"/>
  <c r="N22" i="118"/>
  <c r="V22" i="118"/>
  <c r="V24" i="118"/>
  <c r="U12" i="118"/>
  <c r="U13" i="118"/>
  <c r="U14" i="118"/>
  <c r="U15" i="118"/>
  <c r="U16" i="118"/>
  <c r="U17" i="118"/>
  <c r="U18" i="118"/>
  <c r="U19" i="118"/>
  <c r="U20" i="118"/>
  <c r="U21" i="118"/>
  <c r="U22" i="118"/>
  <c r="U24" i="118"/>
  <c r="T12" i="118"/>
  <c r="T13" i="118"/>
  <c r="T14" i="118"/>
  <c r="T15" i="118"/>
  <c r="T16" i="118"/>
  <c r="T17" i="118"/>
  <c r="T18" i="118"/>
  <c r="T19" i="118"/>
  <c r="T20" i="118"/>
  <c r="T21" i="118"/>
  <c r="T22" i="118"/>
  <c r="T24" i="118"/>
  <c r="S12" i="118"/>
  <c r="S13" i="118"/>
  <c r="S14" i="118"/>
  <c r="S15" i="118"/>
  <c r="S16" i="118"/>
  <c r="S17" i="118"/>
  <c r="S18" i="118"/>
  <c r="S19" i="118"/>
  <c r="S20" i="118"/>
  <c r="S21" i="118"/>
  <c r="S22" i="118"/>
  <c r="S24" i="118"/>
  <c r="R12" i="118"/>
  <c r="R13" i="118"/>
  <c r="R14" i="118"/>
  <c r="R15" i="118"/>
  <c r="R16" i="118"/>
  <c r="R17" i="118"/>
  <c r="R18" i="118"/>
  <c r="R19" i="118"/>
  <c r="R20" i="118"/>
  <c r="R21" i="118"/>
  <c r="R22" i="118"/>
  <c r="R24" i="118"/>
  <c r="G24" i="118"/>
  <c r="F24" i="118"/>
  <c r="M8" i="118"/>
  <c r="H17" i="50"/>
  <c r="I17" i="50"/>
  <c r="J17" i="50"/>
  <c r="K17" i="50"/>
  <c r="G17" i="50"/>
  <c r="M17" i="50"/>
  <c r="F17" i="50"/>
  <c r="E17" i="50"/>
  <c r="O17" i="50"/>
</calcChain>
</file>

<file path=xl/comments1.xml><?xml version="1.0" encoding="utf-8"?>
<comments xmlns="http://schemas.openxmlformats.org/spreadsheetml/2006/main">
  <authors>
    <author>k.lamnouar</author>
  </authors>
  <commentList>
    <comment ref="G105" authorId="0">
      <text>
        <r>
          <rPr>
            <b/>
            <sz val="9"/>
            <color indexed="81"/>
            <rFont val="Tahoma"/>
            <family val="2"/>
          </rPr>
          <t>k.lamnouar:</t>
        </r>
        <r>
          <rPr>
            <sz val="9"/>
            <color indexed="81"/>
            <rFont val="Tahoma"/>
            <family val="2"/>
          </rPr>
          <t xml:space="preserve">
TRATER</t>
        </r>
      </text>
    </comment>
  </commentList>
</comments>
</file>

<file path=xl/comments2.xml><?xml version="1.0" encoding="utf-8"?>
<comments xmlns="http://schemas.openxmlformats.org/spreadsheetml/2006/main">
  <authors>
    <author>k.lamnouar</author>
  </authors>
  <commentList>
    <comment ref="G97" authorId="0">
      <text>
        <r>
          <rPr>
            <b/>
            <sz val="9"/>
            <color indexed="81"/>
            <rFont val="Tahoma"/>
            <family val="2"/>
          </rPr>
          <t>k.lamnouar:</t>
        </r>
        <r>
          <rPr>
            <sz val="9"/>
            <color indexed="81"/>
            <rFont val="Tahoma"/>
            <family val="2"/>
          </rPr>
          <t xml:space="preserve">
TRATER</t>
        </r>
      </text>
    </comment>
  </commentList>
</comments>
</file>

<file path=xl/sharedStrings.xml><?xml version="1.0" encoding="utf-8"?>
<sst xmlns="http://schemas.openxmlformats.org/spreadsheetml/2006/main" count="1165" uniqueCount="283">
  <si>
    <t>PROJET</t>
  </si>
  <si>
    <t>Montant Marché + Avenants
H.T</t>
  </si>
  <si>
    <t>Montant
Situations
T.T.C</t>
  </si>
  <si>
    <t>Date de
Paiement
Contractuelle</t>
  </si>
  <si>
    <t>DU
T.T.C</t>
  </si>
  <si>
    <t>EXIGIBLE
T.T.C</t>
  </si>
  <si>
    <t>Retard
en jours</t>
  </si>
  <si>
    <t>Retard
&lt;30 J</t>
  </si>
  <si>
    <t>Retard
&gt;30 J &amp; &lt;180 J</t>
  </si>
  <si>
    <t>Retard
&gt;180 J &amp; &lt;360 J</t>
  </si>
  <si>
    <t>Retard
&gt;360 J</t>
  </si>
  <si>
    <t>Nom du Projet :</t>
  </si>
  <si>
    <t>GESTION CLIENT</t>
  </si>
  <si>
    <t xml:space="preserve">  -  MARCHE DE BASE</t>
  </si>
  <si>
    <t>N° SAP</t>
  </si>
  <si>
    <t>ECHEANCE  :</t>
  </si>
  <si>
    <t xml:space="preserve">  -  BORDEREAU</t>
  </si>
  <si>
    <t>Maître d'Ouvrage :</t>
  </si>
  <si>
    <t>FONCIERE CFC</t>
  </si>
  <si>
    <t>MONNAIE  :</t>
  </si>
  <si>
    <t>MAD</t>
  </si>
  <si>
    <t xml:space="preserve">  -  AVENANT N°1</t>
  </si>
  <si>
    <t>TVA  :</t>
  </si>
  <si>
    <t xml:space="preserve">  -  AVENANT N°2</t>
  </si>
  <si>
    <t>Maître d'Œuvre :</t>
  </si>
  <si>
    <t>RETENUES</t>
  </si>
  <si>
    <t>CAUTIONS</t>
  </si>
  <si>
    <t xml:space="preserve">  -  AVENANT N°3</t>
  </si>
  <si>
    <t>AD</t>
  </si>
  <si>
    <t>OUI</t>
  </si>
  <si>
    <t>RG</t>
  </si>
  <si>
    <t xml:space="preserve">  -  TOTAL C.A. H.T.</t>
  </si>
  <si>
    <t>BF</t>
  </si>
  <si>
    <t xml:space="preserve">  -  TOTAL C.A. TTC</t>
  </si>
  <si>
    <t>m.a.j</t>
  </si>
  <si>
    <t>SOLDE A PAYER</t>
  </si>
  <si>
    <t>N°</t>
  </si>
  <si>
    <t>N° Facture</t>
  </si>
  <si>
    <t>Date Emission</t>
  </si>
  <si>
    <t>Période</t>
  </si>
  <si>
    <t>Montant SIT° TRVX</t>
  </si>
  <si>
    <t>Avance de Démarrage</t>
  </si>
  <si>
    <t>Retenue de Garantie</t>
  </si>
  <si>
    <t>Diverses Retenues</t>
  </si>
  <si>
    <t>Montant Situation H.T.</t>
  </si>
  <si>
    <t>Montant Situation TTC</t>
  </si>
  <si>
    <t>Montant Payé TTC</t>
  </si>
  <si>
    <t>Date de paiement contractuelle</t>
  </si>
  <si>
    <t>Date de paiement effective</t>
  </si>
  <si>
    <t>deltas</t>
  </si>
  <si>
    <t>DU TTC</t>
  </si>
  <si>
    <t>EXIGIBLE TTC</t>
  </si>
  <si>
    <t>Retard &lt;60J</t>
  </si>
  <si>
    <t>Retard &gt;60J</t>
  </si>
  <si>
    <t>Retard &gt;120J</t>
  </si>
  <si>
    <t>Retard &gt;180J</t>
  </si>
  <si>
    <t>Retard &gt;365J</t>
  </si>
  <si>
    <t xml:space="preserve">Intérêts moratoires </t>
  </si>
  <si>
    <t>TOTAL . . .</t>
  </si>
  <si>
    <t>% facturation</t>
  </si>
  <si>
    <t>% réglé / émis</t>
  </si>
  <si>
    <t>Solde à facturer</t>
  </si>
  <si>
    <t xml:space="preserve">RECAPITULATIF COMPTE CLIENT </t>
  </si>
  <si>
    <t>MARCHE CLIENT</t>
  </si>
  <si>
    <t>HT</t>
  </si>
  <si>
    <t xml:space="preserve"> FACTURE  AU STADE hors A.D.</t>
  </si>
  <si>
    <t>% présenté / marché total</t>
  </si>
  <si>
    <t>REGLE AU STADE</t>
  </si>
  <si>
    <t>TTC</t>
  </si>
  <si>
    <t>% réglé / situations</t>
  </si>
  <si>
    <t>ECHEANCE A VENIR</t>
  </si>
  <si>
    <t>DONT EXIGIBLE</t>
  </si>
  <si>
    <t>MAJ</t>
  </si>
  <si>
    <t>HOTEL PATI</t>
  </si>
  <si>
    <t>BAX.210</t>
  </si>
  <si>
    <t>VAN BUETEN</t>
  </si>
  <si>
    <t>Signature:</t>
  </si>
  <si>
    <t>Date contractuelle</t>
  </si>
  <si>
    <t>Date prévisionnelle</t>
  </si>
  <si>
    <t>12/10/2013</t>
  </si>
  <si>
    <t>22/08/2018</t>
  </si>
  <si>
    <t>13/06/2018</t>
  </si>
  <si>
    <t>SUIVI DES PAIEMENTS CLIENTS EN RETARD</t>
  </si>
  <si>
    <t>HOTEL ANDOU</t>
  </si>
  <si>
    <t>Club House Bouskoura</t>
  </si>
  <si>
    <t>karifsnki</t>
  </si>
  <si>
    <t>Signature OS :</t>
  </si>
  <si>
    <t>Date contractuelle livraison :</t>
  </si>
  <si>
    <t>Date prévisionnelle FDC :</t>
  </si>
  <si>
    <t>NON</t>
  </si>
  <si>
    <t>Deltas</t>
  </si>
  <si>
    <t>REGLE AU STADE y/c  A.D.</t>
  </si>
  <si>
    <t>EXIGIBLE</t>
  </si>
  <si>
    <t>BAX.230</t>
  </si>
  <si>
    <t>BAX.240</t>
  </si>
  <si>
    <t>Clients Account Follow - up / Suivi des Créances Clients</t>
  </si>
  <si>
    <t>Clients Accounts / Créances Clients</t>
  </si>
  <si>
    <t>Not yet Due / Non Echues</t>
  </si>
  <si>
    <t xml:space="preserve">Late Due / Echues </t>
  </si>
  <si>
    <t xml:space="preserve"> &lt; 30 days - jours</t>
  </si>
  <si>
    <t>&gt; 30 days et &lt; 180 days</t>
  </si>
  <si>
    <t>&gt; 180 days et &lt; 360 days</t>
  </si>
  <si>
    <t>&gt; 360 days</t>
  </si>
  <si>
    <t>Including provision for doubtful debts /                                 Dont provisionnées pour créances douteuses</t>
  </si>
  <si>
    <t>Client invoices to be issued /                        Clients factures à établir</t>
  </si>
  <si>
    <t>Comments / Commentaires</t>
  </si>
  <si>
    <t>TOTAL MAD</t>
  </si>
  <si>
    <t>at end / Décembre 2017</t>
  </si>
  <si>
    <t>Carrière Bir Khalifa</t>
  </si>
  <si>
    <t xml:space="preserve">  -  AVENANT N°</t>
  </si>
  <si>
    <t xml:space="preserve">  -  R+1</t>
  </si>
  <si>
    <t>31/12/2003</t>
  </si>
  <si>
    <t>Clients</t>
  </si>
  <si>
    <t>ANNEE 2000</t>
  </si>
  <si>
    <t>ACHARIKA AL MOTTAHIDA</t>
  </si>
  <si>
    <t>STE AL MANCHA</t>
  </si>
  <si>
    <t>ASMENT TEMARA</t>
  </si>
  <si>
    <t>BELKADI HADDOU</t>
  </si>
  <si>
    <t>BENCOTRA</t>
  </si>
  <si>
    <t>C. EL MOUTIA</t>
  </si>
  <si>
    <t>COMPLEXE SCOL. MED KHALIL</t>
  </si>
  <si>
    <t>COMAREV</t>
  </si>
  <si>
    <t>DIRECTION REG EQUIPEMENT</t>
  </si>
  <si>
    <t>COMMUNE RURALE AIN ATTIG</t>
  </si>
  <si>
    <t>EMT</t>
  </si>
  <si>
    <t>GEMATRAC</t>
  </si>
  <si>
    <t>GHANDOUR  (GTP)</t>
  </si>
  <si>
    <t>GTR</t>
  </si>
  <si>
    <t>ITALCAVE</t>
  </si>
  <si>
    <t>KIRA CAMION</t>
  </si>
  <si>
    <t>KOMELEC</t>
  </si>
  <si>
    <t>LAFARGE</t>
  </si>
  <si>
    <t>LOUBARIS</t>
  </si>
  <si>
    <t>MANDOLA</t>
  </si>
  <si>
    <t>MAROC. TRASP.MECAN (MTM)</t>
  </si>
  <si>
    <t>MERYAS</t>
  </si>
  <si>
    <t>MEHDYA MATERIEL</t>
  </si>
  <si>
    <t>MTRT</t>
  </si>
  <si>
    <t>MATCOMAR</t>
  </si>
  <si>
    <t>NELGYNE</t>
  </si>
  <si>
    <t>PARAMEN GROUPE</t>
  </si>
  <si>
    <t>PERMASOL</t>
  </si>
  <si>
    <t>PREFECTURE SKHIRAT TEMARA</t>
  </si>
  <si>
    <t>PROVAC</t>
  </si>
  <si>
    <t>REV- SOL</t>
  </si>
  <si>
    <t>SCADIA</t>
  </si>
  <si>
    <t>SILFA</t>
  </si>
  <si>
    <t>SOCA</t>
  </si>
  <si>
    <t>SOGEA</t>
  </si>
  <si>
    <t>SOMAGEC</t>
  </si>
  <si>
    <t>SOTRAVO</t>
  </si>
  <si>
    <t>STE ASSKHOR</t>
  </si>
  <si>
    <t>STE FAZOUATA</t>
  </si>
  <si>
    <t>STE AIT OUSSA</t>
  </si>
  <si>
    <t>STE BUILDER</t>
  </si>
  <si>
    <t>STE LEBRINI</t>
  </si>
  <si>
    <t>STE LEMSETRI</t>
  </si>
  <si>
    <t>STE ZAER</t>
  </si>
  <si>
    <t>SOCIETE LADID</t>
  </si>
  <si>
    <t>SOCIETE INTER TRACT</t>
  </si>
  <si>
    <t>STE EL MAKKAOUI DE CONST</t>
  </si>
  <si>
    <t>STE COTREX</t>
  </si>
  <si>
    <t>TRANSHIL</t>
  </si>
  <si>
    <t>TRANS-SABLE</t>
  </si>
  <si>
    <t>TRANS-IFTIKHAR</t>
  </si>
  <si>
    <t>TRACTOP</t>
  </si>
  <si>
    <t>WAFA LILACHGHAL</t>
  </si>
  <si>
    <t>TOTAL ANNEE 2000</t>
  </si>
  <si>
    <t>ANNEE 2001</t>
  </si>
  <si>
    <t>HRIZI CONSTRUCTION</t>
  </si>
  <si>
    <t>LEBRINI</t>
  </si>
  <si>
    <t>MAZGOUR AISSA</t>
  </si>
  <si>
    <t>DUMEZ MAROC</t>
  </si>
  <si>
    <t>OMAIT</t>
  </si>
  <si>
    <t>QUALIBAT</t>
  </si>
  <si>
    <t>REV-SOL</t>
  </si>
  <si>
    <t>STE FEZOUATA</t>
  </si>
  <si>
    <t>STE DRISSAT DRISS</t>
  </si>
  <si>
    <t>SOGECTRAD</t>
  </si>
  <si>
    <t>STE IBNOU ZAHIR</t>
  </si>
  <si>
    <t>TRP</t>
  </si>
  <si>
    <t>S.G.T.M</t>
  </si>
  <si>
    <t>SBABOU FRERES</t>
  </si>
  <si>
    <t>LAMSETRI</t>
  </si>
  <si>
    <t>LADID</t>
  </si>
  <si>
    <t>DIVERS CLIENTS</t>
  </si>
  <si>
    <t>TOTAL ANNEE 2001</t>
  </si>
  <si>
    <t>ANNEE 2002</t>
  </si>
  <si>
    <t>ENCT</t>
  </si>
  <si>
    <t>SAMAC</t>
  </si>
  <si>
    <t>ZAER</t>
  </si>
  <si>
    <t>TOTAL ANNEE 2002</t>
  </si>
  <si>
    <t>ANNEE 2003</t>
  </si>
  <si>
    <t>MARRAKECH(ENT MASROUBI)</t>
  </si>
  <si>
    <t>NICE TRAVAUX</t>
  </si>
  <si>
    <t>OTHMA</t>
  </si>
  <si>
    <t>OULAD MIMOUN</t>
  </si>
  <si>
    <t>OULD HLAL</t>
  </si>
  <si>
    <t>PREFAB DU GHARB</t>
  </si>
  <si>
    <t>REVEROC</t>
  </si>
  <si>
    <t>SAMLALE Med</t>
  </si>
  <si>
    <t>S.B.R.C</t>
  </si>
  <si>
    <t>SENOMAR</t>
  </si>
  <si>
    <t>TGCC</t>
  </si>
  <si>
    <t>TOTAL ANNEE 2003</t>
  </si>
  <si>
    <t>7000--&gt;7003 / Projet Carrière</t>
  </si>
  <si>
    <t>31/12/2005</t>
  </si>
  <si>
    <t>ACHCHARIKA AL MOTTAHIDA</t>
  </si>
  <si>
    <t>Protocole de 29/12/2014</t>
  </si>
  <si>
    <t>ARCOBETON</t>
  </si>
  <si>
    <t>ASDEC</t>
  </si>
  <si>
    <t>ASSKHOR</t>
  </si>
  <si>
    <t>BATI DU SUD</t>
  </si>
  <si>
    <t>BELMRI</t>
  </si>
  <si>
    <t>BETOCIM</t>
  </si>
  <si>
    <t>COMET</t>
  </si>
  <si>
    <t>COTER</t>
  </si>
  <si>
    <t>CHRONOBAT</t>
  </si>
  <si>
    <t>EL YAMANI</t>
  </si>
  <si>
    <t>EMACOTRA</t>
  </si>
  <si>
    <t>EMB</t>
  </si>
  <si>
    <t>INJAZ SAKANE</t>
  </si>
  <si>
    <t>LRM</t>
  </si>
  <si>
    <t>LA GENERALE DES RESEAUX</t>
  </si>
  <si>
    <t>MOBADEGH</t>
  </si>
  <si>
    <t>SOCAYOUR</t>
  </si>
  <si>
    <t>STAM</t>
  </si>
  <si>
    <t>STAIPREFA</t>
  </si>
  <si>
    <t>TRATER</t>
  </si>
  <si>
    <t>TRAVEET</t>
  </si>
  <si>
    <t>URI</t>
  </si>
  <si>
    <t>PROD A RECEVOIR</t>
  </si>
  <si>
    <t>MATX.007005/ Projet Carrière</t>
  </si>
  <si>
    <t>31/12/2006</t>
  </si>
  <si>
    <t>ALMANCHAE</t>
  </si>
  <si>
    <t>CHARIKAT ALYASSIN</t>
  </si>
  <si>
    <t>MAROC ROCK DRILING</t>
  </si>
  <si>
    <t>NIVE TRAVAUX</t>
  </si>
  <si>
    <t>MATX.007006 / Projet Carrière</t>
  </si>
  <si>
    <t>SNCE</t>
  </si>
  <si>
    <t>HOTEL FCB</t>
  </si>
  <si>
    <t>BAX.211</t>
  </si>
  <si>
    <t>SIPP SAFI</t>
  </si>
  <si>
    <t>MATX.400210</t>
  </si>
  <si>
    <t>SAFIEC</t>
  </si>
  <si>
    <t>TRACTRBEL</t>
  </si>
  <si>
    <t>31/1/18</t>
  </si>
  <si>
    <t>5000 KDH</t>
  </si>
  <si>
    <t>ACC</t>
  </si>
  <si>
    <t>MATX.400210/ Projet Centrale Thermique de SAFI</t>
  </si>
  <si>
    <t>16TS</t>
  </si>
  <si>
    <t>23TS</t>
  </si>
  <si>
    <t>USINE VALEO</t>
  </si>
  <si>
    <t>MATX.400221</t>
  </si>
  <si>
    <t xml:space="preserve">  -  AVENANT 01 à 05</t>
  </si>
  <si>
    <t>AVENANT 10</t>
  </si>
  <si>
    <t xml:space="preserve">  -  AVENANT 06</t>
  </si>
  <si>
    <t>AVENANT 11</t>
  </si>
  <si>
    <t xml:space="preserve">  -  AVENANT 07</t>
  </si>
  <si>
    <t>AVENANT 12</t>
  </si>
  <si>
    <t xml:space="preserve">  -  AVENANT 08</t>
  </si>
  <si>
    <t>AVENANT 13 -16</t>
  </si>
  <si>
    <t>04/10/2016</t>
  </si>
  <si>
    <t xml:space="preserve">  -  AVENANT 09</t>
  </si>
  <si>
    <t>AVENANT 17</t>
  </si>
  <si>
    <t>07/07/2017</t>
  </si>
  <si>
    <t xml:space="preserve">NON </t>
  </si>
  <si>
    <t>8 TS 01 ET 02</t>
  </si>
  <si>
    <t>9 TS 03</t>
  </si>
  <si>
    <t>RD</t>
  </si>
  <si>
    <t>MATX.400207 / Projet Marina Shopping Center</t>
  </si>
  <si>
    <t>31/12/2004</t>
  </si>
  <si>
    <t>AIT OUSSA</t>
  </si>
  <si>
    <t>COMETE</t>
  </si>
  <si>
    <t>DOMAINE SIDI BERNI</t>
  </si>
  <si>
    <t>FAZOUATA</t>
  </si>
  <si>
    <t>HAJ OMAR</t>
  </si>
  <si>
    <t>LUMAFRIC</t>
  </si>
  <si>
    <t>MADMAD FARID</t>
  </si>
  <si>
    <t>MAJIHAR</t>
  </si>
  <si>
    <t>MEGEC</t>
  </si>
  <si>
    <t>ROUTE SAHEL</t>
  </si>
  <si>
    <t>MATX.007004 / Projet Carrière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</si>
</sst>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43" formatCode="_-* #,##0.00\ _€_-;\-* #,##0.00\ _€_-;_-* &quot;-&quot;??\ _€_-;_-@_-"/>
    <numFmt numFmtId="164" formatCode="0&quot; Jours&quot;"/>
    <numFmt numFmtId="165" formatCode="_-* #,##0\ _F_-;\-* #,##0\ _F_-;_-* &quot;-&quot;??\ _F_-;_-@_-"/>
    <numFmt numFmtId="166" formatCode="0.0%"/>
    <numFmt numFmtId="167" formatCode="d/m/yy;@"/>
    <numFmt numFmtId="168" formatCode="[$-40C]mmm\-yy;@"/>
    <numFmt numFmtId="169" formatCode="dd/mm/yy;@"/>
    <numFmt numFmtId="170" formatCode="_-* #,##0.00\ [$€-1]_-;\-* #,##0.00\ [$€-1]_-;_-* &quot;-&quot;??\ [$€-1]_-"/>
    <numFmt numFmtId="171" formatCode="[$-40C]d\-mmm\-yy;@"/>
    <numFmt numFmtId="172" formatCode="#,##0.0_);\(#,##0.0\);&quot;-&quot;_)"/>
    <numFmt numFmtId="173" formatCode="#,##0.0"/>
    <numFmt numFmtId="174" formatCode="[$-40C]mmmm\-yy;@"/>
    <numFmt numFmtId="175" formatCode="#,##0.00;[Red]\-#,##0.00"/>
  </numFmts>
  <fonts count="52">
    <font>
      <sz val="11"/>
      <color theme="1"/>
      <name val="Calibri"/>
      <family val="2"/>
      <scheme val="minor"/>
    </font>
    <font>
      <b/>
      <sz val="10"/>
      <color theme="1"/>
      <name val="Book Antiqua"/>
      <family val="1"/>
    </font>
    <font>
      <b/>
      <i/>
      <sz val="20"/>
      <color theme="1"/>
      <name val="Book Antiqua"/>
      <family val="1"/>
    </font>
    <font>
      <sz val="11"/>
      <color theme="1"/>
      <name val="Calibri"/>
      <family val="2"/>
      <scheme val="minor"/>
    </font>
    <font>
      <sz val="10"/>
      <name val="Book Antiqua"/>
      <family val="1"/>
    </font>
    <font>
      <b/>
      <sz val="12"/>
      <name val="Book Antiqua"/>
      <family val="1"/>
    </font>
    <font>
      <b/>
      <sz val="8"/>
      <name val="Book Antiqua"/>
      <family val="1"/>
    </font>
    <font>
      <u/>
      <sz val="16"/>
      <color theme="1"/>
      <name val="Book Antiqua"/>
      <family val="1"/>
    </font>
    <font>
      <sz val="11"/>
      <color theme="1"/>
      <name val="Book Antiqua"/>
      <family val="1"/>
    </font>
    <font>
      <u/>
      <sz val="11"/>
      <color theme="1"/>
      <name val="Book Antiqua"/>
      <family val="1"/>
    </font>
    <font>
      <b/>
      <sz val="12"/>
      <color rgb="FF0070C0"/>
      <name val="Book Antiqua"/>
      <family val="1"/>
    </font>
    <font>
      <b/>
      <u/>
      <sz val="10"/>
      <name val="Book Antiqua"/>
      <family val="1"/>
    </font>
    <font>
      <b/>
      <sz val="10"/>
      <name val="Book Antiqua"/>
      <family val="1"/>
    </font>
    <font>
      <sz val="11"/>
      <name val="Book Antiqua"/>
      <family val="1"/>
    </font>
    <font>
      <b/>
      <sz val="11"/>
      <color theme="1"/>
      <name val="Book Antiqua"/>
      <family val="1"/>
    </font>
    <font>
      <sz val="11"/>
      <color rgb="FFFF0000"/>
      <name val="Book Antiqua"/>
      <family val="1"/>
    </font>
    <font>
      <b/>
      <sz val="9"/>
      <color indexed="10"/>
      <name val="Arial"/>
      <family val="2"/>
    </font>
    <font>
      <sz val="11"/>
      <name val="SWISS"/>
    </font>
    <font>
      <sz val="10"/>
      <color theme="1"/>
      <name val="Book Antiqua"/>
      <family val="1"/>
    </font>
    <font>
      <sz val="9"/>
      <name val="Book Antiqua"/>
      <family val="1"/>
    </font>
    <font>
      <sz val="9"/>
      <color theme="1"/>
      <name val="Book Antiqua"/>
      <family val="1"/>
    </font>
    <font>
      <sz val="8"/>
      <color theme="1"/>
      <name val="Book Antiqua"/>
      <family val="1"/>
    </font>
    <font>
      <sz val="11"/>
      <name val="Arial"/>
      <family val="2"/>
    </font>
    <font>
      <b/>
      <sz val="11"/>
      <name val="Book Antiqua"/>
      <family val="1"/>
    </font>
    <font>
      <sz val="10"/>
      <color rgb="FFFF0000"/>
      <name val="Book Antiqua"/>
      <family val="1"/>
    </font>
    <font>
      <b/>
      <u/>
      <sz val="11"/>
      <color theme="1"/>
      <name val="Book Antiqua"/>
      <family val="1"/>
    </font>
    <font>
      <sz val="1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0"/>
      <color indexed="16"/>
      <name val="Arial"/>
      <family val="2"/>
    </font>
    <font>
      <sz val="16"/>
      <color indexed="18"/>
      <name val="Arial"/>
      <family val="2"/>
    </font>
    <font>
      <b/>
      <sz val="16"/>
      <name val="Arial"/>
      <family val="2"/>
    </font>
    <font>
      <b/>
      <sz val="24"/>
      <color indexed="62"/>
      <name val="Arial"/>
      <family val="2"/>
    </font>
    <font>
      <b/>
      <sz val="28"/>
      <name val="Arial"/>
      <family val="2"/>
    </font>
    <font>
      <b/>
      <sz val="22"/>
      <color indexed="16"/>
      <name val="Arial"/>
      <family val="2"/>
    </font>
    <font>
      <b/>
      <sz val="16"/>
      <color indexed="16"/>
      <name val="Arial"/>
      <family val="2"/>
    </font>
    <font>
      <b/>
      <sz val="16"/>
      <color indexed="18"/>
      <name val="Arial"/>
      <family val="2"/>
    </font>
    <font>
      <sz val="10"/>
      <color indexed="18"/>
      <name val="Arial"/>
      <family val="2"/>
    </font>
    <font>
      <b/>
      <i/>
      <sz val="16"/>
      <color indexed="18"/>
      <name val="Arial"/>
      <family val="2"/>
    </font>
    <font>
      <i/>
      <sz val="16"/>
      <color indexed="12"/>
      <name val="Arial"/>
      <family val="2"/>
    </font>
    <font>
      <b/>
      <sz val="7"/>
      <color indexed="16"/>
      <name val="Arial"/>
      <family val="2"/>
    </font>
    <font>
      <sz val="9"/>
      <color indexed="16"/>
      <name val="Arial"/>
      <family val="2"/>
    </font>
    <font>
      <sz val="9"/>
      <color indexed="18"/>
      <name val="Arial"/>
      <family val="2"/>
    </font>
    <font>
      <sz val="9"/>
      <color indexed="12"/>
      <name val="Arial"/>
      <family val="2"/>
    </font>
    <font>
      <i/>
      <sz val="16"/>
      <color indexed="18"/>
      <name val="Arial"/>
      <family val="2"/>
    </font>
    <font>
      <sz val="14"/>
      <color indexed="18"/>
      <name val="Arial"/>
      <family val="2"/>
    </font>
    <font>
      <b/>
      <i/>
      <sz val="16"/>
      <color indexed="12"/>
      <name val="Arial"/>
      <family val="2"/>
    </font>
    <font>
      <b/>
      <sz val="13"/>
      <color indexed="16"/>
      <name val="Arial"/>
      <family val="2"/>
    </font>
    <font>
      <b/>
      <sz val="9"/>
      <name val="Book Antiqua"/>
      <family val="1"/>
    </font>
    <font>
      <b/>
      <sz val="9"/>
      <color theme="1"/>
      <name val="Book Antiqua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9" tint="0.59999389629810485"/>
        <bgColor auto="1"/>
      </patternFill>
    </fill>
    <fill>
      <patternFill patternType="solid">
        <fgColor indexed="22"/>
        <bgColor indexed="64"/>
      </patternFill>
    </fill>
    <fill>
      <patternFill patternType="mediumGray">
        <fgColor indexed="9"/>
        <bgColor indexed="22"/>
      </patternFill>
    </fill>
    <fill>
      <patternFill patternType="mediumGray">
        <fgColor indexed="22"/>
        <bgColor indexed="22"/>
      </patternFill>
    </fill>
    <fill>
      <patternFill patternType="solid">
        <fgColor indexed="65"/>
        <bgColor indexed="64"/>
      </patternFill>
    </fill>
    <fill>
      <patternFill patternType="solid">
        <fgColor indexed="9"/>
        <bgColor indexed="22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5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hair">
        <color indexed="55"/>
      </right>
      <top style="thin">
        <color auto="1"/>
      </top>
      <bottom style="thin">
        <color auto="1"/>
      </bottom>
      <diagonal/>
    </border>
    <border>
      <left style="hair">
        <color indexed="55"/>
      </left>
      <right style="hair">
        <color indexed="55"/>
      </right>
      <top style="thin">
        <color auto="1"/>
      </top>
      <bottom style="thin">
        <color auto="1"/>
      </bottom>
      <diagonal/>
    </border>
    <border>
      <left style="hair">
        <color indexed="55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9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hair">
        <color indexed="55"/>
      </right>
      <top style="medium">
        <color auto="1"/>
      </top>
      <bottom style="medium">
        <color auto="1"/>
      </bottom>
      <diagonal/>
    </border>
    <border>
      <left style="hair">
        <color indexed="55"/>
      </left>
      <right style="hair">
        <color indexed="55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indexed="8"/>
      </bottom>
      <diagonal/>
    </border>
    <border>
      <left style="thin">
        <color auto="1"/>
      </left>
      <right style="thin">
        <color auto="1"/>
      </right>
      <top style="hair">
        <color indexed="8"/>
      </top>
      <bottom style="hair">
        <color indexed="8"/>
      </bottom>
      <diagonal/>
    </border>
    <border>
      <left style="thin">
        <color auto="1"/>
      </left>
      <right style="thin">
        <color auto="1"/>
      </right>
      <top style="hair">
        <color indexed="8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indexed="8"/>
      </bottom>
      <diagonal/>
    </border>
    <border>
      <left style="thin">
        <color auto="1"/>
      </left>
      <right/>
      <top style="hair">
        <color indexed="8"/>
      </top>
      <bottom style="hair">
        <color indexed="8"/>
      </bottom>
      <diagonal/>
    </border>
    <border>
      <left style="thin">
        <color auto="1"/>
      </left>
      <right/>
      <top style="hair">
        <color indexed="8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indexed="8"/>
      </bottom>
      <diagonal/>
    </border>
    <border>
      <left/>
      <right style="thin">
        <color auto="1"/>
      </right>
      <top style="hair">
        <color indexed="8"/>
      </top>
      <bottom style="hair">
        <color indexed="8"/>
      </bottom>
      <diagonal/>
    </border>
    <border>
      <left/>
      <right style="thin">
        <color auto="1"/>
      </right>
      <top style="hair">
        <color indexed="8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indexed="8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indexed="8"/>
      </bottom>
      <diagonal/>
    </border>
    <border>
      <left style="thin">
        <color auto="1"/>
      </left>
      <right style="hair">
        <color auto="1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thin">
        <color auto="1"/>
      </right>
      <top style="hair">
        <color indexed="8"/>
      </top>
      <bottom style="hair">
        <color indexed="8"/>
      </bottom>
      <diagonal/>
    </border>
    <border>
      <left style="thin">
        <color auto="1"/>
      </left>
      <right style="hair">
        <color auto="1"/>
      </right>
      <top style="hair">
        <color indexed="8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indexed="8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indexed="8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</borders>
  <cellStyleXfs count="8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170" fontId="17" fillId="0" borderId="0"/>
    <xf numFmtId="0" fontId="26" fillId="0" borderId="0" applyFill="0" applyBorder="0" applyAlignment="0" applyProtection="0"/>
    <xf numFmtId="0" fontId="40" fillId="19" borderId="32">
      <alignment horizontal="center" vertical="center"/>
    </xf>
    <xf numFmtId="40" fontId="17" fillId="0" borderId="0"/>
    <xf numFmtId="175" fontId="17" fillId="0" borderId="0"/>
  </cellStyleXfs>
  <cellXfs count="401">
    <xf numFmtId="0" fontId="0" fillId="0" borderId="0" xfId="0"/>
    <xf numFmtId="0" fontId="8" fillId="5" borderId="3" xfId="0" quotePrefix="1" applyFont="1" applyFill="1" applyBorder="1" applyAlignment="1">
      <alignment vertical="center"/>
    </xf>
    <xf numFmtId="0" fontId="8" fillId="5" borderId="4" xfId="0" applyFont="1" applyFill="1" applyBorder="1" applyAlignment="1">
      <alignment vertical="center"/>
    </xf>
    <xf numFmtId="0" fontId="8" fillId="5" borderId="4" xfId="0" applyFont="1" applyFill="1" applyBorder="1" applyAlignment="1">
      <alignment horizontal="right" vertical="center"/>
    </xf>
    <xf numFmtId="0" fontId="9" fillId="5" borderId="5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8" fillId="4" borderId="6" xfId="0" applyFont="1" applyFill="1" applyBorder="1" applyAlignment="1">
      <alignment vertical="center"/>
    </xf>
    <xf numFmtId="0" fontId="8" fillId="4" borderId="0" xfId="0" applyFont="1" applyFill="1" applyBorder="1" applyAlignment="1">
      <alignment vertical="center"/>
    </xf>
    <xf numFmtId="164" fontId="10" fillId="4" borderId="0" xfId="0" applyNumberFormat="1" applyFont="1" applyFill="1" applyBorder="1" applyAlignment="1">
      <alignment horizontal="left" vertical="center"/>
    </xf>
    <xf numFmtId="0" fontId="7" fillId="4" borderId="7" xfId="0" applyFont="1" applyFill="1" applyBorder="1" applyAlignment="1">
      <alignment vertical="center"/>
    </xf>
    <xf numFmtId="0" fontId="8" fillId="5" borderId="6" xfId="0" quotePrefix="1" applyFont="1" applyFill="1" applyBorder="1" applyAlignment="1">
      <alignment vertical="center"/>
    </xf>
    <xf numFmtId="0" fontId="8" fillId="5" borderId="0" xfId="0" applyFont="1" applyFill="1" applyBorder="1" applyAlignment="1">
      <alignment vertical="center"/>
    </xf>
    <xf numFmtId="0" fontId="8" fillId="5" borderId="7" xfId="0" applyFont="1" applyFill="1" applyBorder="1" applyAlignment="1">
      <alignment vertical="center"/>
    </xf>
    <xf numFmtId="49" fontId="11" fillId="3" borderId="7" xfId="1" applyNumberFormat="1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>
      <alignment vertical="center"/>
    </xf>
    <xf numFmtId="0" fontId="8" fillId="4" borderId="7" xfId="0" applyFont="1" applyFill="1" applyBorder="1" applyAlignment="1">
      <alignment vertical="center"/>
    </xf>
    <xf numFmtId="49" fontId="5" fillId="3" borderId="7" xfId="1" applyNumberFormat="1" applyFont="1" applyFill="1" applyBorder="1" applyAlignment="1" applyProtection="1">
      <alignment vertical="center"/>
      <protection locked="0"/>
    </xf>
    <xf numFmtId="9" fontId="10" fillId="4" borderId="0" xfId="2" applyNumberFormat="1" applyFont="1" applyFill="1" applyBorder="1" applyAlignment="1">
      <alignment horizontal="left" vertical="center"/>
    </xf>
    <xf numFmtId="165" fontId="4" fillId="3" borderId="0" xfId="1" applyNumberFormat="1" applyFont="1" applyFill="1" applyBorder="1" applyAlignment="1" applyProtection="1">
      <alignment horizontal="left" vertical="center"/>
    </xf>
    <xf numFmtId="49" fontId="12" fillId="3" borderId="0" xfId="1" applyNumberFormat="1" applyFont="1" applyFill="1" applyBorder="1" applyAlignment="1" applyProtection="1">
      <alignment horizontal="left" vertical="center"/>
      <protection locked="0"/>
    </xf>
    <xf numFmtId="165" fontId="4" fillId="3" borderId="0" xfId="1" applyNumberFormat="1" applyFont="1" applyFill="1" applyBorder="1" applyAlignment="1" applyProtection="1">
      <alignment horizontal="left" vertical="center"/>
      <protection locked="0"/>
    </xf>
    <xf numFmtId="165" fontId="4" fillId="3" borderId="7" xfId="1" applyNumberFormat="1" applyFont="1" applyFill="1" applyBorder="1" applyAlignment="1" applyProtection="1">
      <alignment horizontal="left" vertical="center"/>
      <protection locked="0"/>
    </xf>
    <xf numFmtId="49" fontId="13" fillId="3" borderId="0" xfId="1" applyNumberFormat="1" applyFont="1" applyFill="1" applyBorder="1" applyAlignment="1" applyProtection="1">
      <alignment vertical="center"/>
      <protection locked="0"/>
    </xf>
    <xf numFmtId="49" fontId="4" fillId="3" borderId="0" xfId="1" applyNumberFormat="1" applyFont="1" applyFill="1" applyBorder="1" applyAlignment="1" applyProtection="1">
      <alignment vertical="center"/>
      <protection locked="0"/>
    </xf>
    <xf numFmtId="49" fontId="4" fillId="3" borderId="7" xfId="1" applyNumberFormat="1" applyFont="1" applyFill="1" applyBorder="1" applyAlignment="1" applyProtection="1">
      <alignment vertical="center"/>
      <protection locked="0"/>
    </xf>
    <xf numFmtId="166" fontId="10" fillId="4" borderId="0" xfId="0" applyNumberFormat="1" applyFont="1" applyFill="1" applyBorder="1" applyAlignment="1">
      <alignment horizontal="center" vertical="center"/>
    </xf>
    <xf numFmtId="0" fontId="8" fillId="5" borderId="6" xfId="0" applyFont="1" applyFill="1" applyBorder="1" applyAlignment="1">
      <alignment vertical="center"/>
    </xf>
    <xf numFmtId="9" fontId="10" fillId="4" borderId="0" xfId="0" applyNumberFormat="1" applyFont="1" applyFill="1" applyBorder="1" applyAlignment="1">
      <alignment horizontal="center" vertical="center"/>
    </xf>
    <xf numFmtId="0" fontId="14" fillId="5" borderId="6" xfId="0" quotePrefix="1" applyFont="1" applyFill="1" applyBorder="1" applyAlignment="1">
      <alignment vertical="center"/>
    </xf>
    <xf numFmtId="0" fontId="14" fillId="5" borderId="0" xfId="0" applyFont="1" applyFill="1" applyBorder="1" applyAlignment="1">
      <alignment vertical="center"/>
    </xf>
    <xf numFmtId="49" fontId="4" fillId="3" borderId="8" xfId="1" applyNumberFormat="1" applyFont="1" applyFill="1" applyBorder="1" applyAlignment="1" applyProtection="1">
      <alignment horizontal="left" vertical="center"/>
    </xf>
    <xf numFmtId="165" fontId="4" fillId="3" borderId="9" xfId="1" applyNumberFormat="1" applyFont="1" applyFill="1" applyBorder="1" applyAlignment="1" applyProtection="1">
      <alignment horizontal="left" vertical="center"/>
    </xf>
    <xf numFmtId="49" fontId="15" fillId="3" borderId="9" xfId="1" applyNumberFormat="1" applyFont="1" applyFill="1" applyBorder="1" applyAlignment="1" applyProtection="1">
      <alignment vertical="center"/>
      <protection locked="0"/>
    </xf>
    <xf numFmtId="49" fontId="4" fillId="3" borderId="9" xfId="1" applyNumberFormat="1" applyFont="1" applyFill="1" applyBorder="1" applyAlignment="1" applyProtection="1">
      <alignment vertical="center"/>
      <protection locked="0"/>
    </xf>
    <xf numFmtId="49" fontId="4" fillId="3" borderId="10" xfId="1" applyNumberFormat="1" applyFont="1" applyFill="1" applyBorder="1" applyAlignment="1" applyProtection="1">
      <alignment vertical="center"/>
      <protection locked="0"/>
    </xf>
    <xf numFmtId="0" fontId="8" fillId="4" borderId="8" xfId="0" applyFont="1" applyFill="1" applyBorder="1" applyAlignment="1">
      <alignment vertical="center"/>
    </xf>
    <xf numFmtId="0" fontId="10" fillId="4" borderId="9" xfId="0" applyFont="1" applyFill="1" applyBorder="1" applyAlignment="1">
      <alignment vertical="center"/>
    </xf>
    <xf numFmtId="9" fontId="10" fillId="4" borderId="9" xfId="0" applyNumberFormat="1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vertical="center"/>
    </xf>
    <xf numFmtId="0" fontId="14" fillId="5" borderId="8" xfId="0" quotePrefix="1" applyFont="1" applyFill="1" applyBorder="1" applyAlignment="1">
      <alignment vertical="center"/>
    </xf>
    <xf numFmtId="0" fontId="14" fillId="5" borderId="9" xfId="0" applyFont="1" applyFill="1" applyBorder="1" applyAlignment="1">
      <alignment vertical="center"/>
    </xf>
    <xf numFmtId="0" fontId="8" fillId="5" borderId="9" xfId="0" applyFont="1" applyFill="1" applyBorder="1" applyAlignment="1">
      <alignment vertical="center"/>
    </xf>
    <xf numFmtId="0" fontId="8" fillId="5" borderId="10" xfId="0" applyFont="1" applyFill="1" applyBorder="1" applyAlignment="1">
      <alignment vertical="center"/>
    </xf>
    <xf numFmtId="14" fontId="16" fillId="0" borderId="0" xfId="0" applyNumberFormat="1" applyFont="1"/>
    <xf numFmtId="0" fontId="8" fillId="0" borderId="0" xfId="0" applyFont="1" applyAlignment="1">
      <alignment horizontal="right" vertical="center"/>
    </xf>
    <xf numFmtId="9" fontId="8" fillId="0" borderId="0" xfId="0" applyNumberFormat="1" applyFont="1" applyAlignment="1">
      <alignment horizontal="center" vertical="center"/>
    </xf>
    <xf numFmtId="10" fontId="8" fillId="0" borderId="0" xfId="0" applyNumberFormat="1" applyFont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 wrapText="1"/>
    </xf>
    <xf numFmtId="4" fontId="18" fillId="0" borderId="2" xfId="0" applyNumberFormat="1" applyFont="1" applyBorder="1" applyAlignment="1">
      <alignment vertical="center"/>
    </xf>
    <xf numFmtId="167" fontId="18" fillId="0" borderId="2" xfId="0" applyNumberFormat="1" applyFont="1" applyBorder="1" applyAlignment="1">
      <alignment horizontal="center" vertical="center"/>
    </xf>
    <xf numFmtId="1" fontId="18" fillId="0" borderId="2" xfId="0" quotePrefix="1" applyNumberFormat="1" applyFont="1" applyBorder="1" applyAlignment="1">
      <alignment horizontal="center" vertical="center"/>
    </xf>
    <xf numFmtId="0" fontId="18" fillId="0" borderId="0" xfId="0" applyFont="1" applyAlignment="1">
      <alignment vertical="center"/>
    </xf>
    <xf numFmtId="0" fontId="18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vertical="center"/>
    </xf>
    <xf numFmtId="167" fontId="18" fillId="0" borderId="2" xfId="0" applyNumberFormat="1" applyFont="1" applyBorder="1" applyAlignment="1">
      <alignment vertical="center"/>
    </xf>
    <xf numFmtId="168" fontId="18" fillId="0" borderId="2" xfId="0" applyNumberFormat="1" applyFont="1" applyBorder="1" applyAlignment="1">
      <alignment horizontal="center" vertical="center"/>
    </xf>
    <xf numFmtId="167" fontId="18" fillId="0" borderId="2" xfId="0" quotePrefix="1" applyNumberFormat="1" applyFont="1" applyBorder="1" applyAlignment="1">
      <alignment horizontal="center" vertical="center"/>
    </xf>
    <xf numFmtId="1" fontId="18" fillId="0" borderId="2" xfId="0" applyNumberFormat="1" applyFont="1" applyBorder="1" applyAlignment="1">
      <alignment horizontal="center" vertical="center"/>
    </xf>
    <xf numFmtId="0" fontId="18" fillId="2" borderId="13" xfId="0" applyFont="1" applyFill="1" applyBorder="1" applyAlignment="1">
      <alignment vertical="center"/>
    </xf>
    <xf numFmtId="0" fontId="18" fillId="2" borderId="14" xfId="0" applyFont="1" applyFill="1" applyBorder="1" applyAlignment="1">
      <alignment vertical="center"/>
    </xf>
    <xf numFmtId="4" fontId="18" fillId="2" borderId="15" xfId="0" applyNumberFormat="1" applyFont="1" applyFill="1" applyBorder="1" applyAlignment="1">
      <alignment vertical="center"/>
    </xf>
    <xf numFmtId="0" fontId="18" fillId="2" borderId="15" xfId="0" applyFont="1" applyFill="1" applyBorder="1" applyAlignment="1">
      <alignment vertical="center"/>
    </xf>
    <xf numFmtId="4" fontId="18" fillId="2" borderId="16" xfId="0" applyNumberFormat="1" applyFont="1" applyFill="1" applyBorder="1" applyAlignment="1">
      <alignment vertical="center"/>
    </xf>
    <xf numFmtId="3" fontId="20" fillId="0" borderId="1" xfId="0" applyNumberFormat="1" applyFont="1" applyBorder="1" applyAlignment="1">
      <alignment vertical="center"/>
    </xf>
    <xf numFmtId="0" fontId="18" fillId="0" borderId="17" xfId="0" applyFont="1" applyBorder="1" applyAlignment="1">
      <alignment vertical="center"/>
    </xf>
    <xf numFmtId="0" fontId="18" fillId="0" borderId="18" xfId="0" applyFont="1" applyBorder="1" applyAlignment="1">
      <alignment vertical="center"/>
    </xf>
    <xf numFmtId="0" fontId="8" fillId="0" borderId="18" xfId="0" applyFont="1" applyBorder="1" applyAlignment="1">
      <alignment horizontal="right" vertical="center"/>
    </xf>
    <xf numFmtId="10" fontId="18" fillId="6" borderId="18" xfId="2" applyNumberFormat="1" applyFont="1" applyFill="1" applyBorder="1" applyAlignment="1">
      <alignment horizontal="center" vertical="center"/>
    </xf>
    <xf numFmtId="0" fontId="18" fillId="0" borderId="19" xfId="0" applyFont="1" applyBorder="1" applyAlignment="1">
      <alignment vertical="center"/>
    </xf>
    <xf numFmtId="0" fontId="18" fillId="0" borderId="20" xfId="0" applyFont="1" applyBorder="1" applyAlignment="1">
      <alignment vertical="center"/>
    </xf>
    <xf numFmtId="0" fontId="18" fillId="0" borderId="21" xfId="0" applyFont="1" applyBorder="1" applyAlignment="1">
      <alignment vertical="center"/>
    </xf>
    <xf numFmtId="0" fontId="8" fillId="0" borderId="21" xfId="0" applyFont="1" applyBorder="1" applyAlignment="1">
      <alignment horizontal="right" vertical="center"/>
    </xf>
    <xf numFmtId="4" fontId="18" fillId="6" borderId="21" xfId="0" applyNumberFormat="1" applyFont="1" applyFill="1" applyBorder="1" applyAlignment="1">
      <alignment vertical="center"/>
    </xf>
    <xf numFmtId="10" fontId="18" fillId="6" borderId="21" xfId="2" applyNumberFormat="1" applyFont="1" applyFill="1" applyBorder="1" applyAlignment="1">
      <alignment horizontal="center" vertical="center"/>
    </xf>
    <xf numFmtId="0" fontId="18" fillId="0" borderId="22" xfId="0" applyFont="1" applyBorder="1" applyAlignment="1">
      <alignment vertical="center"/>
    </xf>
    <xf numFmtId="0" fontId="18" fillId="0" borderId="17" xfId="0" applyFont="1" applyFill="1" applyBorder="1" applyAlignment="1">
      <alignment vertical="center"/>
    </xf>
    <xf numFmtId="0" fontId="18" fillId="0" borderId="18" xfId="0" applyFont="1" applyFill="1" applyBorder="1" applyAlignment="1">
      <alignment vertical="center"/>
    </xf>
    <xf numFmtId="0" fontId="18" fillId="0" borderId="19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18" fillId="0" borderId="0" xfId="0" applyFont="1" applyFill="1" applyBorder="1" applyAlignment="1">
      <alignment vertical="center"/>
    </xf>
    <xf numFmtId="0" fontId="18" fillId="0" borderId="24" xfId="0" applyFont="1" applyFill="1" applyBorder="1" applyAlignment="1">
      <alignment vertical="center"/>
    </xf>
    <xf numFmtId="4" fontId="18" fillId="0" borderId="0" xfId="0" applyNumberFormat="1" applyFont="1" applyAlignment="1">
      <alignment vertical="center"/>
    </xf>
    <xf numFmtId="0" fontId="21" fillId="0" borderId="0" xfId="0" applyFont="1" applyFill="1" applyBorder="1" applyAlignment="1">
      <alignment horizontal="right"/>
    </xf>
    <xf numFmtId="0" fontId="4" fillId="0" borderId="0" xfId="0" applyFont="1" applyFill="1" applyBorder="1"/>
    <xf numFmtId="3" fontId="12" fillId="7" borderId="26" xfId="0" applyNumberFormat="1" applyFont="1" applyFill="1" applyBorder="1" applyAlignment="1">
      <alignment horizontal="center" vertical="center"/>
    </xf>
    <xf numFmtId="3" fontId="4" fillId="0" borderId="0" xfId="0" applyNumberFormat="1" applyFont="1" applyFill="1" applyBorder="1"/>
    <xf numFmtId="0" fontId="13" fillId="0" borderId="0" xfId="0" applyFont="1" applyFill="1" applyBorder="1"/>
    <xf numFmtId="0" fontId="22" fillId="0" borderId="24" xfId="0" applyFont="1" applyFill="1" applyBorder="1"/>
    <xf numFmtId="3" fontId="12" fillId="6" borderId="26" xfId="0" applyNumberFormat="1" applyFont="1" applyFill="1" applyBorder="1" applyAlignment="1">
      <alignment horizontal="center" vertical="center"/>
    </xf>
    <xf numFmtId="10" fontId="12" fillId="8" borderId="26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 indent="1"/>
    </xf>
    <xf numFmtId="0" fontId="12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left" indent="1"/>
    </xf>
    <xf numFmtId="3" fontId="12" fillId="9" borderId="26" xfId="0" applyNumberFormat="1" applyFont="1" applyFill="1" applyBorder="1" applyAlignment="1">
      <alignment horizontal="center" vertical="center"/>
    </xf>
    <xf numFmtId="10" fontId="12" fillId="9" borderId="26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3" fontId="12" fillId="10" borderId="26" xfId="0" applyNumberFormat="1" applyFont="1" applyFill="1" applyBorder="1" applyAlignment="1">
      <alignment horizontal="center" vertical="center"/>
    </xf>
    <xf numFmtId="10" fontId="12" fillId="10" borderId="26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vertical="center" wrapText="1"/>
    </xf>
    <xf numFmtId="0" fontId="23" fillId="0" borderId="0" xfId="0" applyFont="1" applyFill="1" applyBorder="1" applyAlignment="1">
      <alignment vertical="center" wrapText="1"/>
    </xf>
    <xf numFmtId="3" fontId="12" fillId="11" borderId="26" xfId="0" applyNumberFormat="1" applyFont="1" applyFill="1" applyBorder="1" applyAlignment="1">
      <alignment horizontal="center" vertical="center"/>
    </xf>
    <xf numFmtId="10" fontId="12" fillId="11" borderId="26" xfId="0" applyNumberFormat="1" applyFont="1" applyFill="1" applyBorder="1" applyAlignment="1">
      <alignment horizontal="center" vertical="center"/>
    </xf>
    <xf numFmtId="0" fontId="8" fillId="0" borderId="20" xfId="0" applyFont="1" applyFill="1" applyBorder="1" applyAlignment="1">
      <alignment vertical="center"/>
    </xf>
    <xf numFmtId="0" fontId="22" fillId="0" borderId="21" xfId="0" applyFont="1" applyFill="1" applyBorder="1"/>
    <xf numFmtId="0" fontId="22" fillId="0" borderId="22" xfId="0" applyFont="1" applyFill="1" applyBorder="1"/>
    <xf numFmtId="0" fontId="21" fillId="0" borderId="0" xfId="0" applyFont="1" applyAlignment="1">
      <alignment vertical="center"/>
    </xf>
    <xf numFmtId="4" fontId="21" fillId="0" borderId="0" xfId="0" applyNumberFormat="1" applyFont="1" applyAlignment="1">
      <alignment vertical="center"/>
    </xf>
    <xf numFmtId="169" fontId="24" fillId="0" borderId="0" xfId="0" applyNumberFormat="1" applyFont="1" applyAlignment="1">
      <alignment horizontal="center" vertical="center"/>
    </xf>
    <xf numFmtId="0" fontId="8" fillId="13" borderId="3" xfId="0" quotePrefix="1" applyFont="1" applyFill="1" applyBorder="1" applyAlignment="1">
      <alignment vertical="center"/>
    </xf>
    <xf numFmtId="0" fontId="8" fillId="13" borderId="4" xfId="0" applyFont="1" applyFill="1" applyBorder="1" applyAlignment="1">
      <alignment vertical="center"/>
    </xf>
    <xf numFmtId="0" fontId="8" fillId="13" borderId="4" xfId="0" applyFont="1" applyFill="1" applyBorder="1" applyAlignment="1">
      <alignment horizontal="right" vertical="center"/>
    </xf>
    <xf numFmtId="0" fontId="9" fillId="13" borderId="5" xfId="0" applyFont="1" applyFill="1" applyBorder="1" applyAlignment="1">
      <alignment vertical="center"/>
    </xf>
    <xf numFmtId="0" fontId="8" fillId="13" borderId="6" xfId="0" quotePrefix="1" applyFont="1" applyFill="1" applyBorder="1" applyAlignment="1">
      <alignment vertical="center"/>
    </xf>
    <xf numFmtId="0" fontId="8" fillId="13" borderId="0" xfId="0" applyFont="1" applyFill="1" applyBorder="1" applyAlignment="1">
      <alignment vertical="center"/>
    </xf>
    <xf numFmtId="0" fontId="8" fillId="13" borderId="7" xfId="0" applyFont="1" applyFill="1" applyBorder="1" applyAlignment="1">
      <alignment vertical="center"/>
    </xf>
    <xf numFmtId="49" fontId="11" fillId="12" borderId="7" xfId="1" applyNumberFormat="1" applyFont="1" applyFill="1" applyBorder="1" applyAlignment="1" applyProtection="1">
      <alignment horizontal="center" vertical="center"/>
      <protection locked="0"/>
    </xf>
    <xf numFmtId="49" fontId="5" fillId="12" borderId="7" xfId="1" applyNumberFormat="1" applyFont="1" applyFill="1" applyBorder="1" applyAlignment="1" applyProtection="1">
      <alignment vertical="center"/>
      <protection locked="0"/>
    </xf>
    <xf numFmtId="165" fontId="4" fillId="12" borderId="0" xfId="1" applyNumberFormat="1" applyFont="1" applyFill="1" applyBorder="1" applyAlignment="1" applyProtection="1">
      <alignment horizontal="left" vertical="center"/>
    </xf>
    <xf numFmtId="49" fontId="23" fillId="12" borderId="0" xfId="1" applyNumberFormat="1" applyFont="1" applyFill="1" applyBorder="1" applyAlignment="1" applyProtection="1">
      <alignment horizontal="left" vertical="center"/>
      <protection locked="0"/>
    </xf>
    <xf numFmtId="165" fontId="4" fillId="12" borderId="0" xfId="1" applyNumberFormat="1" applyFont="1" applyFill="1" applyBorder="1" applyAlignment="1" applyProtection="1">
      <alignment horizontal="left" vertical="center"/>
      <protection locked="0"/>
    </xf>
    <xf numFmtId="165" fontId="4" fillId="12" borderId="7" xfId="1" applyNumberFormat="1" applyFont="1" applyFill="1" applyBorder="1" applyAlignment="1" applyProtection="1">
      <alignment horizontal="left" vertical="center"/>
      <protection locked="0"/>
    </xf>
    <xf numFmtId="49" fontId="4" fillId="12" borderId="0" xfId="1" applyNumberFormat="1" applyFont="1" applyFill="1" applyBorder="1" applyAlignment="1" applyProtection="1">
      <alignment vertical="center"/>
      <protection locked="0"/>
    </xf>
    <xf numFmtId="49" fontId="4" fillId="12" borderId="7" xfId="1" applyNumberFormat="1" applyFont="1" applyFill="1" applyBorder="1" applyAlignment="1" applyProtection="1">
      <alignment vertical="center"/>
      <protection locked="0"/>
    </xf>
    <xf numFmtId="0" fontId="14" fillId="13" borderId="6" xfId="0" quotePrefix="1" applyFont="1" applyFill="1" applyBorder="1" applyAlignment="1">
      <alignment vertical="center"/>
    </xf>
    <xf numFmtId="0" fontId="14" fillId="13" borderId="0" xfId="0" applyFont="1" applyFill="1" applyBorder="1" applyAlignment="1">
      <alignment vertical="center"/>
    </xf>
    <xf numFmtId="49" fontId="4" fillId="12" borderId="8" xfId="1" applyNumberFormat="1" applyFont="1" applyFill="1" applyBorder="1" applyAlignment="1" applyProtection="1">
      <alignment horizontal="left" vertical="center"/>
    </xf>
    <xf numFmtId="165" fontId="4" fillId="12" borderId="9" xfId="1" applyNumberFormat="1" applyFont="1" applyFill="1" applyBorder="1" applyAlignment="1" applyProtection="1">
      <alignment horizontal="left" vertical="center"/>
    </xf>
    <xf numFmtId="49" fontId="4" fillId="12" borderId="9" xfId="1" applyNumberFormat="1" applyFont="1" applyFill="1" applyBorder="1" applyAlignment="1" applyProtection="1">
      <alignment vertical="center"/>
      <protection locked="0"/>
    </xf>
    <xf numFmtId="49" fontId="4" fillId="12" borderId="10" xfId="1" applyNumberFormat="1" applyFont="1" applyFill="1" applyBorder="1" applyAlignment="1" applyProtection="1">
      <alignment vertical="center"/>
      <protection locked="0"/>
    </xf>
    <xf numFmtId="0" fontId="14" fillId="13" borderId="8" xfId="0" quotePrefix="1" applyFont="1" applyFill="1" applyBorder="1" applyAlignment="1">
      <alignment vertical="center"/>
    </xf>
    <xf numFmtId="0" fontId="14" fillId="13" borderId="9" xfId="0" applyFont="1" applyFill="1" applyBorder="1" applyAlignment="1">
      <alignment vertical="center"/>
    </xf>
    <xf numFmtId="0" fontId="8" fillId="13" borderId="9" xfId="0" applyFont="1" applyFill="1" applyBorder="1" applyAlignment="1">
      <alignment vertical="center"/>
    </xf>
    <xf numFmtId="0" fontId="8" fillId="13" borderId="10" xfId="0" applyFont="1" applyFill="1" applyBorder="1" applyAlignment="1">
      <alignment vertical="center"/>
    </xf>
    <xf numFmtId="167" fontId="24" fillId="0" borderId="0" xfId="0" applyNumberFormat="1" applyFont="1" applyAlignment="1">
      <alignment vertical="center"/>
    </xf>
    <xf numFmtId="0" fontId="1" fillId="0" borderId="2" xfId="0" applyFont="1" applyBorder="1" applyAlignment="1">
      <alignment horizontal="center" vertical="center"/>
    </xf>
    <xf numFmtId="167" fontId="1" fillId="0" borderId="2" xfId="0" applyNumberFormat="1" applyFont="1" applyBorder="1" applyAlignment="1">
      <alignment horizontal="center" vertical="center"/>
    </xf>
    <xf numFmtId="168" fontId="1" fillId="0" borderId="2" xfId="0" applyNumberFormat="1" applyFont="1" applyBorder="1" applyAlignment="1">
      <alignment horizontal="center" vertical="center"/>
    </xf>
    <xf numFmtId="4" fontId="1" fillId="0" borderId="2" xfId="0" applyNumberFormat="1" applyFont="1" applyBorder="1" applyAlignment="1">
      <alignment vertical="center"/>
    </xf>
    <xf numFmtId="1" fontId="1" fillId="0" borderId="2" xfId="0" quotePrefix="1" applyNumberFormat="1" applyFont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7" fillId="4" borderId="0" xfId="0" applyFont="1" applyFill="1" applyBorder="1" applyAlignment="1">
      <alignment vertical="center"/>
    </xf>
    <xf numFmtId="0" fontId="18" fillId="0" borderId="0" xfId="0" applyFont="1" applyBorder="1" applyAlignment="1">
      <alignment vertical="center"/>
    </xf>
    <xf numFmtId="0" fontId="18" fillId="0" borderId="24" xfId="0" applyFont="1" applyBorder="1" applyAlignment="1">
      <alignment vertical="center"/>
    </xf>
    <xf numFmtId="0" fontId="21" fillId="0" borderId="0" xfId="0" applyFont="1" applyBorder="1" applyAlignment="1">
      <alignment horizontal="right"/>
    </xf>
    <xf numFmtId="0" fontId="4" fillId="14" borderId="0" xfId="0" applyFont="1" applyFill="1" applyBorder="1"/>
    <xf numFmtId="3" fontId="12" fillId="8" borderId="26" xfId="0" applyNumberFormat="1" applyFont="1" applyFill="1" applyBorder="1" applyAlignment="1">
      <alignment horizontal="center" vertical="center"/>
    </xf>
    <xf numFmtId="0" fontId="13" fillId="14" borderId="0" xfId="0" applyFont="1" applyFill="1" applyBorder="1"/>
    <xf numFmtId="3" fontId="13" fillId="14" borderId="0" xfId="0" applyNumberFormat="1" applyFont="1" applyFill="1" applyBorder="1"/>
    <xf numFmtId="0" fontId="22" fillId="14" borderId="24" xfId="0" applyFont="1" applyFill="1" applyBorder="1"/>
    <xf numFmtId="167" fontId="18" fillId="0" borderId="0" xfId="0" applyNumberFormat="1" applyFont="1" applyAlignment="1">
      <alignment vertical="center"/>
    </xf>
    <xf numFmtId="3" fontId="12" fillId="15" borderId="26" xfId="0" applyNumberFormat="1" applyFont="1" applyFill="1" applyBorder="1" applyAlignment="1">
      <alignment horizontal="center" vertical="center"/>
    </xf>
    <xf numFmtId="0" fontId="12" fillId="14" borderId="0" xfId="0" applyFont="1" applyFill="1" applyBorder="1" applyAlignment="1">
      <alignment horizontal="left" vertical="center" indent="1"/>
    </xf>
    <xf numFmtId="0" fontId="23" fillId="14" borderId="0" xfId="0" applyFont="1" applyFill="1" applyBorder="1" applyAlignment="1">
      <alignment vertical="center"/>
    </xf>
    <xf numFmtId="0" fontId="4" fillId="14" borderId="0" xfId="0" applyFont="1" applyFill="1" applyBorder="1" applyAlignment="1">
      <alignment horizontal="left" indent="1"/>
    </xf>
    <xf numFmtId="0" fontId="13" fillId="14" borderId="0" xfId="0" applyFont="1" applyFill="1" applyBorder="1" applyAlignment="1">
      <alignment vertical="center"/>
    </xf>
    <xf numFmtId="0" fontId="23" fillId="14" borderId="0" xfId="0" applyFont="1" applyFill="1" applyBorder="1" applyAlignment="1">
      <alignment vertical="center" wrapText="1"/>
    </xf>
    <xf numFmtId="0" fontId="8" fillId="0" borderId="20" xfId="0" applyFont="1" applyBorder="1" applyAlignment="1">
      <alignment vertical="center"/>
    </xf>
    <xf numFmtId="0" fontId="22" fillId="14" borderId="21" xfId="0" applyFont="1" applyFill="1" applyBorder="1"/>
    <xf numFmtId="0" fontId="22" fillId="14" borderId="22" xfId="0" applyFont="1" applyFill="1" applyBorder="1"/>
    <xf numFmtId="4" fontId="13" fillId="0" borderId="1" xfId="3" applyNumberFormat="1" applyFont="1" applyBorder="1" applyAlignment="1">
      <alignment horizontal="center" vertical="center" wrapText="1"/>
    </xf>
    <xf numFmtId="3" fontId="19" fillId="0" borderId="0" xfId="3" applyNumberFormat="1" applyFont="1" applyAlignment="1">
      <alignment vertical="center"/>
    </xf>
    <xf numFmtId="165" fontId="4" fillId="12" borderId="4" xfId="1" applyNumberFormat="1" applyFont="1" applyFill="1" applyBorder="1" applyAlignment="1" applyProtection="1">
      <alignment horizontal="left" vertical="center"/>
    </xf>
    <xf numFmtId="0" fontId="8" fillId="16" borderId="6" xfId="0" applyFont="1" applyFill="1" applyBorder="1" applyAlignment="1">
      <alignment vertical="center"/>
    </xf>
    <xf numFmtId="0" fontId="8" fillId="16" borderId="0" xfId="0" applyFont="1" applyFill="1" applyBorder="1" applyAlignment="1">
      <alignment vertical="center"/>
    </xf>
    <xf numFmtId="164" fontId="10" fillId="16" borderId="0" xfId="0" applyNumberFormat="1" applyFont="1" applyFill="1" applyBorder="1" applyAlignment="1">
      <alignment horizontal="left" vertical="center"/>
    </xf>
    <xf numFmtId="0" fontId="7" fillId="16" borderId="7" xfId="0" applyFont="1" applyFill="1" applyBorder="1" applyAlignment="1">
      <alignment vertical="center"/>
    </xf>
    <xf numFmtId="0" fontId="10" fillId="16" borderId="0" xfId="0" applyFont="1" applyFill="1" applyBorder="1" applyAlignment="1">
      <alignment vertical="center"/>
    </xf>
    <xf numFmtId="0" fontId="8" fillId="16" borderId="7" xfId="0" applyFont="1" applyFill="1" applyBorder="1" applyAlignment="1">
      <alignment vertical="center"/>
    </xf>
    <xf numFmtId="9" fontId="10" fillId="16" borderId="0" xfId="2" applyNumberFormat="1" applyFont="1" applyFill="1" applyBorder="1" applyAlignment="1">
      <alignment horizontal="left" vertical="center"/>
    </xf>
    <xf numFmtId="9" fontId="10" fillId="16" borderId="0" xfId="0" applyNumberFormat="1" applyFont="1" applyFill="1" applyBorder="1" applyAlignment="1">
      <alignment horizontal="center" vertical="center"/>
    </xf>
    <xf numFmtId="49" fontId="13" fillId="12" borderId="0" xfId="1" applyNumberFormat="1" applyFont="1" applyFill="1" applyBorder="1" applyAlignment="1" applyProtection="1">
      <alignment vertical="center"/>
      <protection locked="0"/>
    </xf>
    <xf numFmtId="49" fontId="13" fillId="12" borderId="9" xfId="1" applyNumberFormat="1" applyFont="1" applyFill="1" applyBorder="1" applyAlignment="1" applyProtection="1">
      <alignment vertical="center"/>
      <protection locked="0"/>
    </xf>
    <xf numFmtId="0" fontId="8" fillId="16" borderId="8" xfId="0" applyFont="1" applyFill="1" applyBorder="1" applyAlignment="1">
      <alignment vertical="center"/>
    </xf>
    <xf numFmtId="0" fontId="10" fillId="16" borderId="9" xfId="0" applyFont="1" applyFill="1" applyBorder="1" applyAlignment="1">
      <alignment vertical="center"/>
    </xf>
    <xf numFmtId="9" fontId="10" fillId="16" borderId="9" xfId="0" applyNumberFormat="1" applyFont="1" applyFill="1" applyBorder="1" applyAlignment="1">
      <alignment horizontal="center" vertical="center"/>
    </xf>
    <xf numFmtId="0" fontId="8" fillId="16" borderId="10" xfId="0" applyFont="1" applyFill="1" applyBorder="1" applyAlignment="1">
      <alignment vertical="center"/>
    </xf>
    <xf numFmtId="0" fontId="14" fillId="17" borderId="1" xfId="0" applyFont="1" applyFill="1" applyBorder="1" applyAlignment="1">
      <alignment horizontal="center" vertical="center"/>
    </xf>
    <xf numFmtId="0" fontId="14" fillId="17" borderId="1" xfId="0" applyFont="1" applyFill="1" applyBorder="1" applyAlignment="1">
      <alignment horizontal="center" vertical="center" wrapText="1"/>
    </xf>
    <xf numFmtId="0" fontId="7" fillId="16" borderId="0" xfId="0" applyFont="1" applyFill="1" applyBorder="1" applyAlignment="1">
      <alignment vertical="center"/>
    </xf>
    <xf numFmtId="4" fontId="8" fillId="0" borderId="0" xfId="0" applyNumberFormat="1" applyFont="1" applyAlignment="1">
      <alignment vertical="center"/>
    </xf>
    <xf numFmtId="0" fontId="26" fillId="0" borderId="0" xfId="4" applyFont="1" applyProtection="1"/>
    <xf numFmtId="0" fontId="26" fillId="0" borderId="3" xfId="4" applyFont="1" applyBorder="1" applyProtection="1"/>
    <xf numFmtId="0" fontId="27" fillId="0" borderId="4" xfId="4" applyFont="1" applyBorder="1" applyProtection="1">
      <protection locked="0"/>
    </xf>
    <xf numFmtId="0" fontId="28" fillId="0" borderId="4" xfId="4" applyFont="1" applyBorder="1" applyProtection="1"/>
    <xf numFmtId="0" fontId="30" fillId="0" borderId="4" xfId="4" applyFont="1" applyBorder="1" applyProtection="1"/>
    <xf numFmtId="0" fontId="28" fillId="0" borderId="5" xfId="4" applyFont="1" applyBorder="1" applyProtection="1"/>
    <xf numFmtId="0" fontId="31" fillId="0" borderId="0" xfId="4" applyFont="1" applyProtection="1"/>
    <xf numFmtId="0" fontId="31" fillId="0" borderId="0" xfId="4" applyFont="1" applyFill="1" applyProtection="1"/>
    <xf numFmtId="0" fontId="31" fillId="0" borderId="6" xfId="4" applyFont="1" applyFill="1" applyBorder="1" applyProtection="1"/>
    <xf numFmtId="0" fontId="31" fillId="0" borderId="0" xfId="4" applyFont="1" applyFill="1" applyBorder="1" applyAlignment="1" applyProtection="1">
      <alignment horizontal="centerContinuous" vertical="center"/>
    </xf>
    <xf numFmtId="0" fontId="35" fillId="0" borderId="0" xfId="4" applyFont="1" applyFill="1" applyBorder="1" applyAlignment="1" applyProtection="1">
      <alignment horizontal="centerContinuous" vertical="center"/>
    </xf>
    <xf numFmtId="0" fontId="36" fillId="0" borderId="0" xfId="4" applyFont="1" applyFill="1" applyBorder="1" applyAlignment="1" applyProtection="1">
      <alignment horizontal="centerContinuous" vertical="center"/>
    </xf>
    <xf numFmtId="0" fontId="31" fillId="0" borderId="7" xfId="4" applyFont="1" applyFill="1" applyBorder="1" applyAlignment="1" applyProtection="1">
      <alignment horizontal="centerContinuous" vertical="center"/>
    </xf>
    <xf numFmtId="0" fontId="26" fillId="0" borderId="6" xfId="4" applyFont="1" applyBorder="1" applyProtection="1"/>
    <xf numFmtId="171" fontId="28" fillId="0" borderId="0" xfId="4" applyNumberFormat="1" applyFont="1" applyBorder="1" applyProtection="1"/>
    <xf numFmtId="0" fontId="26" fillId="0" borderId="0" xfId="4" applyFont="1" applyBorder="1" applyProtection="1"/>
    <xf numFmtId="0" fontId="29" fillId="0" borderId="0" xfId="4" applyFont="1" applyBorder="1" applyProtection="1"/>
    <xf numFmtId="0" fontId="37" fillId="0" borderId="0" xfId="4" applyFont="1" applyBorder="1" applyProtection="1"/>
    <xf numFmtId="0" fontId="30" fillId="0" borderId="0" xfId="4" applyFont="1" applyBorder="1" applyProtection="1"/>
    <xf numFmtId="0" fontId="26" fillId="0" borderId="7" xfId="4" applyFont="1" applyBorder="1" applyProtection="1"/>
    <xf numFmtId="0" fontId="38" fillId="0" borderId="0" xfId="4" applyFont="1" applyBorder="1" applyAlignment="1" applyProtection="1">
      <alignment horizontal="center" vertical="center"/>
    </xf>
    <xf numFmtId="0" fontId="28" fillId="14" borderId="0" xfId="4" applyFont="1" applyFill="1" applyBorder="1" applyProtection="1"/>
    <xf numFmtId="1" fontId="35" fillId="18" borderId="1" xfId="4" applyNumberFormat="1" applyFont="1" applyFill="1" applyBorder="1" applyAlignment="1" applyProtection="1">
      <alignment horizontal="center" vertical="center" textRotation="90" wrapText="1"/>
    </xf>
    <xf numFmtId="1" fontId="38" fillId="0" borderId="29" xfId="4" applyNumberFormat="1" applyFont="1" applyFill="1" applyBorder="1" applyAlignment="1" applyProtection="1">
      <alignment horizontal="center" vertical="center" textRotation="90"/>
    </xf>
    <xf numFmtId="1" fontId="39" fillId="0" borderId="30" xfId="4" applyNumberFormat="1" applyFont="1" applyFill="1" applyBorder="1" applyAlignment="1" applyProtection="1">
      <alignment horizontal="center" vertical="center" textRotation="90"/>
    </xf>
    <xf numFmtId="1" fontId="39" fillId="0" borderId="31" xfId="4" applyNumberFormat="1" applyFont="1" applyFill="1" applyBorder="1" applyAlignment="1" applyProtection="1">
      <alignment horizontal="center" vertical="center" textRotation="90" wrapText="1"/>
    </xf>
    <xf numFmtId="0" fontId="26" fillId="0" borderId="2" xfId="4" applyFont="1" applyBorder="1" applyProtection="1"/>
    <xf numFmtId="1" fontId="35" fillId="18" borderId="12" xfId="4" applyNumberFormat="1" applyFont="1" applyFill="1" applyBorder="1" applyAlignment="1" applyProtection="1">
      <alignment horizontal="center" vertical="center" textRotation="90" wrapText="1"/>
    </xf>
    <xf numFmtId="1" fontId="36" fillId="18" borderId="1" xfId="4" applyNumberFormat="1" applyFont="1" applyFill="1" applyBorder="1" applyAlignment="1" applyProtection="1">
      <alignment horizontal="center" vertical="center" textRotation="90" wrapText="1"/>
    </xf>
    <xf numFmtId="1" fontId="41" fillId="0" borderId="0" xfId="4" applyNumberFormat="1" applyFont="1" applyBorder="1" applyAlignment="1" applyProtection="1">
      <alignment horizontal="left" vertical="center"/>
    </xf>
    <xf numFmtId="1" fontId="42" fillId="0" borderId="0" xfId="4" applyNumberFormat="1" applyFont="1" applyBorder="1" applyAlignment="1" applyProtection="1">
      <alignment horizontal="left" vertical="center"/>
    </xf>
    <xf numFmtId="1" fontId="43" fillId="0" borderId="0" xfId="4" applyNumberFormat="1" applyFont="1" applyBorder="1" applyAlignment="1" applyProtection="1">
      <alignment horizontal="left" vertical="center"/>
    </xf>
    <xf numFmtId="0" fontId="26" fillId="0" borderId="0" xfId="4" applyBorder="1"/>
    <xf numFmtId="1" fontId="44" fillId="0" borderId="0" xfId="4" applyNumberFormat="1" applyFont="1" applyBorder="1" applyAlignment="1" applyProtection="1">
      <alignment horizontal="left" vertical="center"/>
    </xf>
    <xf numFmtId="0" fontId="26" fillId="0" borderId="0" xfId="4" applyFont="1" applyAlignment="1" applyProtection="1">
      <alignment vertical="center"/>
    </xf>
    <xf numFmtId="0" fontId="26" fillId="0" borderId="6" xfId="4" applyFont="1" applyBorder="1" applyAlignment="1" applyProtection="1">
      <alignment vertical="center"/>
    </xf>
    <xf numFmtId="0" fontId="26" fillId="0" borderId="7" xfId="4" applyFont="1" applyBorder="1" applyAlignment="1" applyProtection="1">
      <alignment vertical="center"/>
    </xf>
    <xf numFmtId="0" fontId="29" fillId="0" borderId="0" xfId="4" applyFont="1" applyBorder="1"/>
    <xf numFmtId="0" fontId="37" fillId="0" borderId="0" xfId="4" applyFont="1" applyBorder="1"/>
    <xf numFmtId="0" fontId="30" fillId="0" borderId="0" xfId="4" applyFont="1" applyBorder="1"/>
    <xf numFmtId="0" fontId="26" fillId="0" borderId="7" xfId="4" applyBorder="1"/>
    <xf numFmtId="0" fontId="26" fillId="0" borderId="2" xfId="4" applyFont="1" applyBorder="1" applyAlignment="1" applyProtection="1">
      <alignment horizontal="left" vertical="center"/>
    </xf>
    <xf numFmtId="173" fontId="38" fillId="21" borderId="25" xfId="4" applyNumberFormat="1" applyFont="1" applyFill="1" applyBorder="1" applyAlignment="1" applyProtection="1">
      <alignment horizontal="center" vertical="center"/>
    </xf>
    <xf numFmtId="0" fontId="26" fillId="0" borderId="8" xfId="4" applyFont="1" applyBorder="1" applyProtection="1"/>
    <xf numFmtId="0" fontId="28" fillId="0" borderId="35" xfId="4" applyFont="1" applyBorder="1" applyProtection="1"/>
    <xf numFmtId="0" fontId="47" fillId="22" borderId="9" xfId="5" applyFont="1" applyFill="1" applyBorder="1">
      <alignment horizontal="center" vertical="center"/>
    </xf>
    <xf numFmtId="0" fontId="29" fillId="0" borderId="9" xfId="4" applyFont="1" applyBorder="1" applyProtection="1"/>
    <xf numFmtId="0" fontId="37" fillId="0" borderId="9" xfId="4" applyFont="1" applyBorder="1" applyProtection="1"/>
    <xf numFmtId="0" fontId="26" fillId="0" borderId="9" xfId="4" applyFont="1" applyBorder="1" applyProtection="1"/>
    <xf numFmtId="0" fontId="30" fillId="0" borderId="9" xfId="4" applyFont="1" applyBorder="1" applyProtection="1"/>
    <xf numFmtId="0" fontId="28" fillId="0" borderId="10" xfId="4" applyFont="1" applyBorder="1" applyProtection="1"/>
    <xf numFmtId="0" fontId="26" fillId="0" borderId="0" xfId="4"/>
    <xf numFmtId="3" fontId="36" fillId="0" borderId="34" xfId="4" applyNumberFormat="1" applyFont="1" applyFill="1" applyBorder="1" applyAlignment="1" applyProtection="1">
      <alignment horizontal="center" vertical="center"/>
    </xf>
    <xf numFmtId="0" fontId="35" fillId="20" borderId="26" xfId="5" applyFont="1" applyFill="1" applyBorder="1" applyAlignment="1">
      <alignment horizontal="center" vertical="center" wrapText="1"/>
    </xf>
    <xf numFmtId="3" fontId="35" fillId="0" borderId="33" xfId="4" applyNumberFormat="1" applyFont="1" applyFill="1" applyBorder="1" applyAlignment="1" applyProtection="1">
      <alignment horizontal="center" vertical="center"/>
    </xf>
    <xf numFmtId="3" fontId="36" fillId="0" borderId="36" xfId="4" applyNumberFormat="1" applyFont="1" applyFill="1" applyBorder="1" applyAlignment="1" applyProtection="1">
      <alignment horizontal="center" vertical="center"/>
    </xf>
    <xf numFmtId="3" fontId="46" fillId="0" borderId="37" xfId="4" applyNumberFormat="1" applyFont="1" applyFill="1" applyBorder="1" applyAlignment="1" applyProtection="1">
      <alignment horizontal="center" vertical="center"/>
    </xf>
    <xf numFmtId="0" fontId="26" fillId="0" borderId="0" xfId="4" applyFont="1" applyBorder="1" applyAlignment="1" applyProtection="1">
      <alignment horizontal="left" vertical="center"/>
    </xf>
    <xf numFmtId="0" fontId="35" fillId="20" borderId="27" xfId="5" applyFont="1" applyFill="1" applyBorder="1" applyAlignment="1">
      <alignment horizontal="center" vertical="center" wrapText="1"/>
    </xf>
    <xf numFmtId="0" fontId="35" fillId="20" borderId="38" xfId="5" applyFont="1" applyFill="1" applyBorder="1" applyAlignment="1">
      <alignment horizontal="left" vertical="center" wrapText="1" indent="1"/>
    </xf>
    <xf numFmtId="0" fontId="35" fillId="20" borderId="39" xfId="5" applyFont="1" applyFill="1" applyBorder="1" applyAlignment="1">
      <alignment horizontal="left" vertical="center" wrapText="1" indent="1"/>
    </xf>
    <xf numFmtId="0" fontId="35" fillId="20" borderId="40" xfId="5" applyFont="1" applyFill="1" applyBorder="1" applyAlignment="1">
      <alignment horizontal="left" vertical="center" wrapText="1" indent="1"/>
    </xf>
    <xf numFmtId="0" fontId="35" fillId="0" borderId="41" xfId="4" applyFont="1" applyFill="1" applyBorder="1" applyAlignment="1" applyProtection="1">
      <alignment horizontal="center" vertical="center"/>
    </xf>
    <xf numFmtId="0" fontId="35" fillId="0" borderId="38" xfId="4" applyFont="1" applyFill="1" applyBorder="1" applyAlignment="1" applyProtection="1">
      <alignment horizontal="center" vertical="center"/>
    </xf>
    <xf numFmtId="0" fontId="35" fillId="0" borderId="39" xfId="4" applyFont="1" applyFill="1" applyBorder="1" applyAlignment="1" applyProtection="1">
      <alignment horizontal="center" vertical="center"/>
    </xf>
    <xf numFmtId="0" fontId="35" fillId="0" borderId="40" xfId="4" applyFont="1" applyFill="1" applyBorder="1" applyAlignment="1" applyProtection="1">
      <alignment horizontal="center" vertical="center"/>
    </xf>
    <xf numFmtId="172" fontId="45" fillId="0" borderId="44" xfId="4" applyNumberFormat="1" applyFont="1" applyBorder="1" applyAlignment="1" applyProtection="1">
      <alignment horizontal="left" vertical="center" wrapText="1" indent="1"/>
    </xf>
    <xf numFmtId="172" fontId="45" fillId="0" borderId="45" xfId="4" applyNumberFormat="1" applyFont="1" applyBorder="1" applyAlignment="1" applyProtection="1">
      <alignment horizontal="left" vertical="center" wrapText="1" indent="1"/>
    </xf>
    <xf numFmtId="172" fontId="45" fillId="0" borderId="46" xfId="4" applyNumberFormat="1" applyFont="1" applyBorder="1" applyAlignment="1" applyProtection="1">
      <alignment horizontal="left" vertical="center" wrapText="1" indent="1"/>
    </xf>
    <xf numFmtId="0" fontId="26" fillId="0" borderId="21" xfId="4" applyBorder="1"/>
    <xf numFmtId="0" fontId="36" fillId="0" borderId="41" xfId="4" applyFont="1" applyFill="1" applyBorder="1" applyAlignment="1" applyProtection="1">
      <alignment horizontal="center" vertical="center"/>
    </xf>
    <xf numFmtId="0" fontId="36" fillId="0" borderId="47" xfId="4" applyFont="1" applyFill="1" applyBorder="1" applyAlignment="1" applyProtection="1">
      <alignment horizontal="center" vertical="center"/>
    </xf>
    <xf numFmtId="0" fontId="39" fillId="0" borderId="48" xfId="4" applyFont="1" applyFill="1" applyBorder="1" applyAlignment="1" applyProtection="1">
      <alignment horizontal="center" vertical="center"/>
    </xf>
    <xf numFmtId="0" fontId="39" fillId="0" borderId="49" xfId="4" applyFont="1" applyFill="1" applyBorder="1" applyAlignment="1" applyProtection="1">
      <alignment horizontal="center" vertical="center"/>
    </xf>
    <xf numFmtId="0" fontId="39" fillId="0" borderId="52" xfId="4" applyFont="1" applyFill="1" applyBorder="1" applyAlignment="1" applyProtection="1">
      <alignment horizontal="center" vertical="center"/>
    </xf>
    <xf numFmtId="0" fontId="39" fillId="0" borderId="55" xfId="4" applyFont="1" applyFill="1" applyBorder="1" applyAlignment="1" applyProtection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 wrapText="1"/>
    </xf>
    <xf numFmtId="1" fontId="39" fillId="0" borderId="51" xfId="4" applyNumberFormat="1" applyFont="1" applyFill="1" applyBorder="1" applyAlignment="1" applyProtection="1">
      <alignment horizontal="center" vertical="center"/>
    </xf>
    <xf numFmtId="1" fontId="35" fillId="0" borderId="42" xfId="4" applyNumberFormat="1" applyFont="1" applyFill="1" applyBorder="1" applyAlignment="1" applyProtection="1">
      <alignment horizontal="center" vertical="center"/>
    </xf>
    <xf numFmtId="1" fontId="35" fillId="0" borderId="43" xfId="4" applyNumberFormat="1" applyFont="1" applyFill="1" applyBorder="1" applyAlignment="1" applyProtection="1">
      <alignment horizontal="center" vertical="center"/>
    </xf>
    <xf numFmtId="1" fontId="36" fillId="0" borderId="42" xfId="4" applyNumberFormat="1" applyFont="1" applyFill="1" applyBorder="1" applyAlignment="1" applyProtection="1">
      <alignment horizontal="center" vertical="center"/>
    </xf>
    <xf numFmtId="1" fontId="36" fillId="0" borderId="50" xfId="4" applyNumberFormat="1" applyFont="1" applyFill="1" applyBorder="1" applyAlignment="1" applyProtection="1">
      <alignment horizontal="center" vertical="center"/>
    </xf>
    <xf numFmtId="1" fontId="36" fillId="0" borderId="43" xfId="4" applyNumberFormat="1" applyFont="1" applyFill="1" applyBorder="1" applyAlignment="1" applyProtection="1">
      <alignment horizontal="center" vertical="center"/>
    </xf>
    <xf numFmtId="1" fontId="36" fillId="0" borderId="53" xfId="4" applyNumberFormat="1" applyFont="1" applyFill="1" applyBorder="1" applyAlignment="1" applyProtection="1">
      <alignment horizontal="center" vertical="center"/>
    </xf>
    <xf numFmtId="1" fontId="39" fillId="0" borderId="54" xfId="4" applyNumberFormat="1" applyFont="1" applyFill="1" applyBorder="1" applyAlignment="1" applyProtection="1">
      <alignment horizontal="center" vertical="center"/>
    </xf>
    <xf numFmtId="49" fontId="4" fillId="12" borderId="3" xfId="1" applyNumberFormat="1" applyFont="1" applyFill="1" applyBorder="1" applyAlignment="1" applyProtection="1">
      <alignment horizontal="left" vertical="center"/>
    </xf>
    <xf numFmtId="49" fontId="4" fillId="12" borderId="6" xfId="1" applyNumberFormat="1" applyFont="1" applyFill="1" applyBorder="1" applyAlignment="1" applyProtection="1">
      <alignment horizontal="left" vertical="center"/>
    </xf>
    <xf numFmtId="0" fontId="18" fillId="0" borderId="56" xfId="0" applyFont="1" applyFill="1" applyBorder="1" applyAlignment="1">
      <alignment vertical="center"/>
    </xf>
    <xf numFmtId="0" fontId="8" fillId="0" borderId="56" xfId="0" applyFont="1" applyFill="1" applyBorder="1" applyAlignment="1">
      <alignment vertical="center"/>
    </xf>
    <xf numFmtId="0" fontId="12" fillId="0" borderId="56" xfId="0" applyFont="1" applyFill="1" applyBorder="1" applyAlignment="1">
      <alignment horizontal="left" vertical="center" indent="1"/>
    </xf>
    <xf numFmtId="0" fontId="18" fillId="0" borderId="56" xfId="0" applyFont="1" applyBorder="1" applyAlignment="1">
      <alignment vertical="center"/>
    </xf>
    <xf numFmtId="0" fontId="8" fillId="0" borderId="56" xfId="0" applyFont="1" applyBorder="1" applyAlignment="1">
      <alignment vertical="center"/>
    </xf>
    <xf numFmtId="0" fontId="12" fillId="14" borderId="56" xfId="0" applyFont="1" applyFill="1" applyBorder="1" applyAlignment="1">
      <alignment horizontal="left" vertical="center" indent="1"/>
    </xf>
    <xf numFmtId="4" fontId="13" fillId="0" borderId="1" xfId="6" applyNumberFormat="1" applyFont="1" applyBorder="1" applyAlignment="1">
      <alignment horizontal="center" vertical="center" wrapText="1"/>
    </xf>
    <xf numFmtId="0" fontId="25" fillId="24" borderId="2" xfId="0" applyFont="1" applyFill="1" applyBorder="1" applyAlignment="1">
      <alignment horizontal="center" vertical="center"/>
    </xf>
    <xf numFmtId="0" fontId="14" fillId="24" borderId="2" xfId="0" applyFont="1" applyFill="1" applyBorder="1" applyAlignment="1">
      <alignment horizontal="center" vertical="center" wrapText="1"/>
    </xf>
    <xf numFmtId="0" fontId="14" fillId="24" borderId="2" xfId="0" applyFont="1" applyFill="1" applyBorder="1" applyAlignment="1">
      <alignment horizontal="center" vertical="center"/>
    </xf>
    <xf numFmtId="0" fontId="8" fillId="24" borderId="0" xfId="0" applyFont="1" applyFill="1" applyAlignment="1">
      <alignment vertical="center"/>
    </xf>
    <xf numFmtId="4" fontId="13" fillId="24" borderId="0" xfId="6" applyNumberFormat="1" applyFont="1" applyFill="1" applyBorder="1" applyAlignment="1">
      <alignment horizontal="center" vertical="center" wrapText="1"/>
    </xf>
    <xf numFmtId="169" fontId="18" fillId="0" borderId="2" xfId="0" applyNumberFormat="1" applyFont="1" applyBorder="1" applyAlignment="1">
      <alignment vertical="center"/>
    </xf>
    <xf numFmtId="3" fontId="19" fillId="0" borderId="0" xfId="6" applyNumberFormat="1" applyFont="1" applyAlignment="1">
      <alignment vertical="center"/>
    </xf>
    <xf numFmtId="167" fontId="1" fillId="0" borderId="2" xfId="0" applyNumberFormat="1" applyFont="1" applyBorder="1" applyAlignment="1">
      <alignment vertical="center"/>
    </xf>
    <xf numFmtId="4" fontId="1" fillId="23" borderId="2" xfId="0" applyNumberFormat="1" applyFont="1" applyFill="1" applyBorder="1" applyAlignment="1">
      <alignment vertical="center"/>
    </xf>
    <xf numFmtId="4" fontId="1" fillId="0" borderId="6" xfId="0" applyNumberFormat="1" applyFont="1" applyBorder="1" applyAlignment="1">
      <alignment vertical="center"/>
    </xf>
    <xf numFmtId="4" fontId="1" fillId="0" borderId="0" xfId="0" applyNumberFormat="1" applyFont="1" applyBorder="1" applyAlignment="1">
      <alignment vertical="center"/>
    </xf>
    <xf numFmtId="0" fontId="14" fillId="0" borderId="0" xfId="0" applyFont="1" applyAlignment="1">
      <alignment vertical="center"/>
    </xf>
    <xf numFmtId="174" fontId="18" fillId="0" borderId="2" xfId="0" applyNumberFormat="1" applyFont="1" applyBorder="1" applyAlignment="1">
      <alignment vertical="center"/>
    </xf>
    <xf numFmtId="0" fontId="1" fillId="0" borderId="0" xfId="0" applyFont="1" applyAlignment="1">
      <alignment vertical="center"/>
    </xf>
    <xf numFmtId="167" fontId="18" fillId="24" borderId="2" xfId="0" applyNumberFormat="1" applyFont="1" applyFill="1" applyBorder="1" applyAlignment="1">
      <alignment horizontal="center" vertical="center"/>
    </xf>
    <xf numFmtId="167" fontId="1" fillId="24" borderId="2" xfId="0" applyNumberFormat="1" applyFont="1" applyFill="1" applyBorder="1" applyAlignment="1">
      <alignment horizontal="center" vertical="center"/>
    </xf>
    <xf numFmtId="4" fontId="1" fillId="25" borderId="2" xfId="0" applyNumberFormat="1" applyFont="1" applyFill="1" applyBorder="1" applyAlignment="1">
      <alignment vertical="center"/>
    </xf>
    <xf numFmtId="3" fontId="14" fillId="0" borderId="0" xfId="0" applyNumberFormat="1" applyFont="1" applyAlignment="1">
      <alignment vertical="center"/>
    </xf>
    <xf numFmtId="0" fontId="1" fillId="17" borderId="13" xfId="0" applyFont="1" applyFill="1" applyBorder="1" applyAlignment="1">
      <alignment vertical="center"/>
    </xf>
    <xf numFmtId="0" fontId="1" fillId="17" borderId="14" xfId="0" applyFont="1" applyFill="1" applyBorder="1" applyAlignment="1">
      <alignment vertical="center"/>
    </xf>
    <xf numFmtId="4" fontId="1" fillId="17" borderId="15" xfId="0" applyNumberFormat="1" applyFont="1" applyFill="1" applyBorder="1" applyAlignment="1">
      <alignment vertical="center"/>
    </xf>
    <xf numFmtId="0" fontId="1" fillId="17" borderId="15" xfId="0" applyFont="1" applyFill="1" applyBorder="1" applyAlignment="1">
      <alignment vertical="center"/>
    </xf>
    <xf numFmtId="3" fontId="49" fillId="0" borderId="1" xfId="0" applyNumberFormat="1" applyFont="1" applyBorder="1" applyAlignment="1">
      <alignment vertical="center"/>
    </xf>
    <xf numFmtId="4" fontId="18" fillId="0" borderId="18" xfId="0" applyNumberFormat="1" applyFont="1" applyBorder="1" applyAlignment="1">
      <alignment vertical="center"/>
    </xf>
    <xf numFmtId="4" fontId="18" fillId="0" borderId="21" xfId="0" applyNumberFormat="1" applyFont="1" applyBorder="1" applyAlignment="1">
      <alignment vertical="center"/>
    </xf>
    <xf numFmtId="49" fontId="4" fillId="3" borderId="6" xfId="1" applyNumberFormat="1" applyFont="1" applyFill="1" applyBorder="1" applyAlignment="1" applyProtection="1">
      <alignment horizontal="left" vertical="center"/>
    </xf>
    <xf numFmtId="4" fontId="13" fillId="0" borderId="1" xfId="7" applyNumberFormat="1" applyFont="1" applyBorder="1" applyAlignment="1">
      <alignment horizontal="center" vertical="center" wrapText="1"/>
    </xf>
    <xf numFmtId="0" fontId="18" fillId="3" borderId="2" xfId="0" applyFont="1" applyFill="1" applyBorder="1" applyAlignment="1">
      <alignment horizontal="center" vertical="center"/>
    </xf>
    <xf numFmtId="4" fontId="4" fillId="0" borderId="2" xfId="0" applyNumberFormat="1" applyFont="1" applyBorder="1" applyAlignment="1">
      <alignment vertical="center"/>
    </xf>
    <xf numFmtId="167" fontId="4" fillId="0" borderId="2" xfId="0" applyNumberFormat="1" applyFont="1" applyBorder="1" applyAlignment="1">
      <alignment horizontal="center" vertical="center"/>
    </xf>
    <xf numFmtId="167" fontId="24" fillId="0" borderId="2" xfId="0" applyNumberFormat="1" applyFont="1" applyBorder="1" applyAlignment="1">
      <alignment horizontal="center" vertical="center"/>
    </xf>
    <xf numFmtId="167" fontId="1" fillId="0" borderId="2" xfId="0" applyNumberFormat="1" applyFont="1" applyFill="1" applyBorder="1" applyAlignment="1">
      <alignment horizontal="center" vertical="center"/>
    </xf>
    <xf numFmtId="0" fontId="18" fillId="0" borderId="27" xfId="0" applyFont="1" applyBorder="1" applyAlignment="1">
      <alignment horizontal="center" vertical="center"/>
    </xf>
    <xf numFmtId="0" fontId="1" fillId="0" borderId="27" xfId="0" applyFont="1" applyBorder="1" applyAlignment="1">
      <alignment vertical="center"/>
    </xf>
    <xf numFmtId="167" fontId="18" fillId="0" borderId="27" xfId="0" applyNumberFormat="1" applyFont="1" applyBorder="1" applyAlignment="1">
      <alignment vertical="center"/>
    </xf>
    <xf numFmtId="168" fontId="18" fillId="0" borderId="27" xfId="0" applyNumberFormat="1" applyFont="1" applyBorder="1" applyAlignment="1">
      <alignment horizontal="center" vertical="center"/>
    </xf>
    <xf numFmtId="4" fontId="18" fillId="0" borderId="27" xfId="0" applyNumberFormat="1" applyFont="1" applyBorder="1" applyAlignment="1">
      <alignment vertical="center"/>
    </xf>
    <xf numFmtId="3" fontId="19" fillId="0" borderId="0" xfId="7" applyNumberFormat="1" applyFont="1" applyAlignment="1">
      <alignment vertical="center"/>
    </xf>
    <xf numFmtId="0" fontId="4" fillId="0" borderId="2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167" fontId="4" fillId="0" borderId="2" xfId="0" applyNumberFormat="1" applyFont="1" applyBorder="1" applyAlignment="1">
      <alignment vertical="center"/>
    </xf>
    <xf numFmtId="168" fontId="4" fillId="0" borderId="2" xfId="0" applyNumberFormat="1" applyFont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167" fontId="4" fillId="0" borderId="2" xfId="0" applyNumberFormat="1" applyFont="1" applyFill="1" applyBorder="1" applyAlignment="1">
      <alignment vertical="center"/>
    </xf>
    <xf numFmtId="168" fontId="4" fillId="0" borderId="2" xfId="0" applyNumberFormat="1" applyFont="1" applyFill="1" applyBorder="1" applyAlignment="1">
      <alignment horizontal="center" vertical="center"/>
    </xf>
    <xf numFmtId="4" fontId="4" fillId="0" borderId="2" xfId="0" applyNumberFormat="1" applyFont="1" applyFill="1" applyBorder="1" applyAlignment="1">
      <alignment vertical="center"/>
    </xf>
    <xf numFmtId="167" fontId="4" fillId="0" borderId="2" xfId="0" applyNumberFormat="1" applyFont="1" applyFill="1" applyBorder="1" applyAlignment="1">
      <alignment horizontal="center" vertical="center"/>
    </xf>
    <xf numFmtId="4" fontId="20" fillId="0" borderId="0" xfId="0" applyNumberFormat="1" applyFont="1" applyAlignment="1">
      <alignment vertical="center"/>
    </xf>
    <xf numFmtId="0" fontId="20" fillId="0" borderId="0" xfId="0" applyFont="1" applyAlignment="1">
      <alignment vertical="center"/>
    </xf>
    <xf numFmtId="0" fontId="18" fillId="0" borderId="27" xfId="0" applyFont="1" applyBorder="1" applyAlignment="1">
      <alignment vertical="center"/>
    </xf>
    <xf numFmtId="0" fontId="18" fillId="0" borderId="2" xfId="0" applyFont="1" applyBorder="1" applyAlignment="1">
      <alignment horizontal="center" vertical="center" wrapText="1"/>
    </xf>
    <xf numFmtId="3" fontId="4" fillId="14" borderId="0" xfId="0" applyNumberFormat="1" applyFont="1" applyFill="1" applyBorder="1"/>
    <xf numFmtId="0" fontId="12" fillId="14" borderId="0" xfId="0" applyFont="1" applyFill="1" applyBorder="1" applyAlignment="1">
      <alignment vertical="center"/>
    </xf>
    <xf numFmtId="0" fontId="4" fillId="14" borderId="0" xfId="0" applyFont="1" applyFill="1" applyBorder="1" applyAlignment="1">
      <alignment vertical="center"/>
    </xf>
    <xf numFmtId="3" fontId="12" fillId="10" borderId="26" xfId="0" applyNumberFormat="1" applyFont="1" applyFill="1" applyBorder="1" applyAlignment="1">
      <alignment vertical="center"/>
    </xf>
    <xf numFmtId="0" fontId="12" fillId="14" borderId="0" xfId="0" applyFont="1" applyFill="1" applyBorder="1" applyAlignment="1">
      <alignment vertical="center" wrapText="1"/>
    </xf>
    <xf numFmtId="3" fontId="19" fillId="0" borderId="2" xfId="7" applyNumberFormat="1" applyFont="1" applyBorder="1" applyAlignment="1">
      <alignment vertical="center"/>
    </xf>
    <xf numFmtId="3" fontId="48" fillId="0" borderId="0" xfId="7" applyNumberFormat="1" applyFont="1" applyAlignment="1">
      <alignment vertical="center"/>
    </xf>
    <xf numFmtId="3" fontId="36" fillId="0" borderId="15" xfId="4" applyNumberFormat="1" applyFont="1" applyFill="1" applyBorder="1" applyAlignment="1" applyProtection="1">
      <alignment horizontal="center" vertical="center"/>
    </xf>
    <xf numFmtId="0" fontId="29" fillId="0" borderId="28" xfId="4" applyFont="1" applyBorder="1" applyAlignment="1" applyProtection="1">
      <alignment horizontal="center"/>
    </xf>
    <xf numFmtId="0" fontId="32" fillId="18" borderId="17" xfId="4" applyFont="1" applyFill="1" applyBorder="1" applyAlignment="1" applyProtection="1">
      <alignment horizontal="center" vertical="center"/>
    </xf>
    <xf numFmtId="0" fontId="32" fillId="18" borderId="18" xfId="4" applyFont="1" applyFill="1" applyBorder="1" applyAlignment="1" applyProtection="1">
      <alignment horizontal="center" vertical="center"/>
    </xf>
    <xf numFmtId="0" fontId="32" fillId="18" borderId="19" xfId="4" applyFont="1" applyFill="1" applyBorder="1" applyAlignment="1" applyProtection="1">
      <alignment horizontal="center" vertical="center"/>
    </xf>
    <xf numFmtId="0" fontId="33" fillId="18" borderId="23" xfId="4" applyFont="1" applyFill="1" applyBorder="1" applyAlignment="1" applyProtection="1">
      <alignment horizontal="center" vertical="center"/>
    </xf>
    <xf numFmtId="0" fontId="33" fillId="18" borderId="0" xfId="4" applyFont="1" applyFill="1" applyBorder="1" applyAlignment="1" applyProtection="1">
      <alignment horizontal="center" vertical="center"/>
    </xf>
    <xf numFmtId="0" fontId="33" fillId="18" borderId="24" xfId="4" applyFont="1" applyFill="1" applyBorder="1" applyAlignment="1" applyProtection="1">
      <alignment horizontal="center" vertical="center"/>
    </xf>
    <xf numFmtId="0" fontId="34" fillId="18" borderId="20" xfId="4" applyFont="1" applyFill="1" applyBorder="1" applyAlignment="1" applyProtection="1">
      <alignment horizontal="center" vertical="center"/>
    </xf>
    <xf numFmtId="0" fontId="34" fillId="18" borderId="21" xfId="4" applyFont="1" applyFill="1" applyBorder="1" applyAlignment="1" applyProtection="1">
      <alignment horizontal="center" vertical="center"/>
    </xf>
    <xf numFmtId="0" fontId="34" fillId="18" borderId="22" xfId="4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3" fontId="12" fillId="0" borderId="13" xfId="0" applyNumberFormat="1" applyFont="1" applyFill="1" applyBorder="1" applyAlignment="1">
      <alignment horizontal="center" vertical="center"/>
    </xf>
    <xf numFmtId="3" fontId="12" fillId="0" borderId="14" xfId="0" applyNumberFormat="1" applyFont="1" applyFill="1" applyBorder="1" applyAlignment="1">
      <alignment horizontal="center" vertical="center"/>
    </xf>
    <xf numFmtId="3" fontId="12" fillId="0" borderId="25" xfId="0" applyNumberFormat="1" applyFont="1" applyFill="1" applyBorder="1" applyAlignment="1">
      <alignment horizontal="center" vertical="center"/>
    </xf>
    <xf numFmtId="4" fontId="14" fillId="5" borderId="0" xfId="0" applyNumberFormat="1" applyFont="1" applyFill="1" applyBorder="1" applyAlignment="1">
      <alignment horizontal="center" vertical="center"/>
    </xf>
    <xf numFmtId="4" fontId="14" fillId="5" borderId="9" xfId="0" applyNumberFormat="1" applyFont="1" applyFill="1" applyBorder="1" applyAlignment="1">
      <alignment horizontal="center" vertical="center"/>
    </xf>
    <xf numFmtId="0" fontId="14" fillId="2" borderId="11" xfId="0" applyFont="1" applyFill="1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2" fontId="12" fillId="0" borderId="13" xfId="0" applyNumberFormat="1" applyFont="1" applyFill="1" applyBorder="1" applyAlignment="1">
      <alignment horizontal="center" vertical="center"/>
    </xf>
    <xf numFmtId="2" fontId="12" fillId="0" borderId="14" xfId="0" applyNumberFormat="1" applyFont="1" applyFill="1" applyBorder="1" applyAlignment="1">
      <alignment horizontal="center" vertical="center"/>
    </xf>
    <xf numFmtId="2" fontId="12" fillId="0" borderId="25" xfId="0" applyNumberFormat="1" applyFont="1" applyFill="1" applyBorder="1" applyAlignment="1">
      <alignment horizontal="center" vertical="center"/>
    </xf>
    <xf numFmtId="4" fontId="8" fillId="5" borderId="0" xfId="0" applyNumberFormat="1" applyFont="1" applyFill="1" applyBorder="1" applyAlignment="1">
      <alignment horizontal="center" vertical="center"/>
    </xf>
    <xf numFmtId="49" fontId="4" fillId="3" borderId="3" xfId="1" applyNumberFormat="1" applyFont="1" applyFill="1" applyBorder="1" applyAlignment="1" applyProtection="1">
      <alignment horizontal="left" vertical="center"/>
    </xf>
    <xf numFmtId="49" fontId="4" fillId="3" borderId="4" xfId="1" applyNumberFormat="1" applyFont="1" applyFill="1" applyBorder="1" applyAlignment="1" applyProtection="1">
      <alignment horizontal="left" vertical="center"/>
    </xf>
    <xf numFmtId="49" fontId="4" fillId="3" borderId="6" xfId="1" applyNumberFormat="1" applyFont="1" applyFill="1" applyBorder="1" applyAlignment="1" applyProtection="1">
      <alignment horizontal="left" vertical="center"/>
    </xf>
    <xf numFmtId="49" fontId="4" fillId="3" borderId="0" xfId="1" applyNumberFormat="1" applyFont="1" applyFill="1" applyBorder="1" applyAlignment="1" applyProtection="1">
      <alignment horizontal="left" vertical="center"/>
    </xf>
    <xf numFmtId="49" fontId="5" fillId="3" borderId="4" xfId="1" applyNumberFormat="1" applyFont="1" applyFill="1" applyBorder="1" applyAlignment="1" applyProtection="1">
      <alignment horizontal="center" vertical="center" wrapText="1"/>
      <protection locked="0"/>
    </xf>
    <xf numFmtId="49" fontId="5" fillId="3" borderId="0" xfId="1" applyNumberFormat="1" applyFont="1" applyFill="1" applyBorder="1" applyAlignment="1" applyProtection="1">
      <alignment horizontal="center" vertical="center" wrapText="1"/>
      <protection locked="0"/>
    </xf>
    <xf numFmtId="49" fontId="6" fillId="3" borderId="5" xfId="1" applyNumberFormat="1" applyFont="1" applyFill="1" applyBorder="1" applyAlignment="1" applyProtection="1">
      <alignment horizontal="center" vertical="center" wrapText="1"/>
      <protection locked="0"/>
    </xf>
    <xf numFmtId="49" fontId="6" fillId="3" borderId="7" xfId="1" applyNumberFormat="1" applyFont="1" applyFill="1" applyBorder="1" applyAlignment="1" applyProtection="1">
      <alignment horizontal="center" vertical="center" wrapText="1"/>
      <protection locked="0"/>
    </xf>
    <xf numFmtId="0" fontId="7" fillId="4" borderId="6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4" fontId="8" fillId="5" borderId="4" xfId="0" applyNumberFormat="1" applyFont="1" applyFill="1" applyBorder="1" applyAlignment="1">
      <alignment horizontal="center" vertical="center"/>
    </xf>
    <xf numFmtId="3" fontId="12" fillId="14" borderId="13" xfId="0" applyNumberFormat="1" applyFont="1" applyFill="1" applyBorder="1" applyAlignment="1">
      <alignment horizontal="center" vertical="center"/>
    </xf>
    <xf numFmtId="3" fontId="12" fillId="14" borderId="14" xfId="0" applyNumberFormat="1" applyFont="1" applyFill="1" applyBorder="1" applyAlignment="1">
      <alignment horizontal="center" vertical="center"/>
    </xf>
    <xf numFmtId="3" fontId="12" fillId="14" borderId="25" xfId="0" applyNumberFormat="1" applyFont="1" applyFill="1" applyBorder="1" applyAlignment="1">
      <alignment horizontal="center" vertical="center"/>
    </xf>
    <xf numFmtId="0" fontId="12" fillId="14" borderId="13" xfId="0" applyFont="1" applyFill="1" applyBorder="1" applyAlignment="1">
      <alignment horizontal="center" vertical="center"/>
    </xf>
    <xf numFmtId="0" fontId="12" fillId="14" borderId="14" xfId="0" applyFont="1" applyFill="1" applyBorder="1" applyAlignment="1">
      <alignment horizontal="center" vertical="center"/>
    </xf>
    <xf numFmtId="0" fontId="12" fillId="14" borderId="25" xfId="0" applyFont="1" applyFill="1" applyBorder="1" applyAlignment="1">
      <alignment horizontal="center" vertical="center"/>
    </xf>
    <xf numFmtId="2" fontId="12" fillId="14" borderId="13" xfId="0" applyNumberFormat="1" applyFont="1" applyFill="1" applyBorder="1" applyAlignment="1">
      <alignment horizontal="center" vertical="center"/>
    </xf>
    <xf numFmtId="2" fontId="12" fillId="14" borderId="14" xfId="0" applyNumberFormat="1" applyFont="1" applyFill="1" applyBorder="1" applyAlignment="1">
      <alignment horizontal="center" vertical="center"/>
    </xf>
    <xf numFmtId="2" fontId="12" fillId="14" borderId="25" xfId="0" applyNumberFormat="1" applyFont="1" applyFill="1" applyBorder="1" applyAlignment="1">
      <alignment horizontal="center" vertical="center"/>
    </xf>
    <xf numFmtId="0" fontId="14" fillId="17" borderId="11" xfId="0" applyFont="1" applyFill="1" applyBorder="1" applyAlignment="1">
      <alignment horizontal="center" vertical="center"/>
    </xf>
    <xf numFmtId="0" fontId="14" fillId="17" borderId="12" xfId="0" applyFont="1" applyFill="1" applyBorder="1" applyAlignment="1">
      <alignment horizontal="center" vertical="center"/>
    </xf>
    <xf numFmtId="0" fontId="1" fillId="25" borderId="6" xfId="0" applyFont="1" applyFill="1" applyBorder="1" applyAlignment="1">
      <alignment horizontal="center" vertical="center"/>
    </xf>
    <xf numFmtId="0" fontId="1" fillId="25" borderId="0" xfId="0" applyFont="1" applyFill="1" applyBorder="1" applyAlignment="1">
      <alignment horizontal="center" vertical="center"/>
    </xf>
    <xf numFmtId="0" fontId="1" fillId="25" borderId="7" xfId="0" applyFont="1" applyFill="1" applyBorder="1" applyAlignment="1">
      <alignment horizontal="center" vertical="center"/>
    </xf>
    <xf numFmtId="49" fontId="5" fillId="12" borderId="4" xfId="1" applyNumberFormat="1" applyFont="1" applyFill="1" applyBorder="1" applyAlignment="1" applyProtection="1">
      <alignment horizontal="center" vertical="center" wrapText="1"/>
      <protection locked="0"/>
    </xf>
    <xf numFmtId="49" fontId="5" fillId="12" borderId="0" xfId="1" applyNumberFormat="1" applyFont="1" applyFill="1" applyBorder="1" applyAlignment="1" applyProtection="1">
      <alignment horizontal="center" vertical="center" wrapText="1"/>
      <protection locked="0"/>
    </xf>
    <xf numFmtId="49" fontId="6" fillId="12" borderId="5" xfId="1" applyNumberFormat="1" applyFont="1" applyFill="1" applyBorder="1" applyAlignment="1" applyProtection="1">
      <alignment horizontal="center" vertical="center" wrapText="1"/>
      <protection locked="0"/>
    </xf>
    <xf numFmtId="49" fontId="6" fillId="12" borderId="7" xfId="1" applyNumberFormat="1" applyFont="1" applyFill="1" applyBorder="1" applyAlignment="1" applyProtection="1">
      <alignment horizontal="center" vertical="center" wrapText="1"/>
      <protection locked="0"/>
    </xf>
    <xf numFmtId="0" fontId="7" fillId="16" borderId="6" xfId="0" applyFont="1" applyFill="1" applyBorder="1" applyAlignment="1">
      <alignment horizontal="center" vertical="center"/>
    </xf>
    <xf numFmtId="0" fontId="7" fillId="16" borderId="0" xfId="0" applyFont="1" applyFill="1" applyBorder="1" applyAlignment="1">
      <alignment horizontal="center" vertical="center"/>
    </xf>
    <xf numFmtId="0" fontId="7" fillId="16" borderId="7" xfId="0" applyFont="1" applyFill="1" applyBorder="1" applyAlignment="1">
      <alignment horizontal="center" vertical="center"/>
    </xf>
    <xf numFmtId="4" fontId="8" fillId="13" borderId="4" xfId="0" applyNumberFormat="1" applyFont="1" applyFill="1" applyBorder="1" applyAlignment="1">
      <alignment horizontal="center" vertical="center"/>
    </xf>
    <xf numFmtId="4" fontId="8" fillId="13" borderId="0" xfId="0" applyNumberFormat="1" applyFont="1" applyFill="1" applyBorder="1" applyAlignment="1">
      <alignment horizontal="center" vertical="center"/>
    </xf>
    <xf numFmtId="4" fontId="14" fillId="13" borderId="0" xfId="0" applyNumberFormat="1" applyFont="1" applyFill="1" applyBorder="1" applyAlignment="1">
      <alignment horizontal="center" vertical="center"/>
    </xf>
    <xf numFmtId="4" fontId="14" fillId="13" borderId="9" xfId="0" applyNumberFormat="1" applyFont="1" applyFill="1" applyBorder="1" applyAlignment="1">
      <alignment horizontal="center" vertical="center"/>
    </xf>
  </cellXfs>
  <cellStyles count="8">
    <cellStyle name="Année_Donnée_l1" xfId="5"/>
    <cellStyle name="Milliers" xfId="1" builtinId="3"/>
    <cellStyle name="Normal" xfId="0" builtinId="0"/>
    <cellStyle name="Normal 3 3" xfId="4"/>
    <cellStyle name="Normal_Compte client AL ALIA 2" xfId="3"/>
    <cellStyle name="Normal_Compte client AL ALIA 4" xfId="7"/>
    <cellStyle name="Normal_Compte client AL ALIA 7" xfId="6"/>
    <cellStyle name="Pourcentage" xfId="2" builtinId="5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273845</xdr:colOff>
      <xdr:row>0</xdr:row>
      <xdr:rowOff>226220</xdr:rowOff>
    </xdr:from>
    <xdr:to>
      <xdr:col>18</xdr:col>
      <xdr:colOff>631032</xdr:colOff>
      <xdr:row>1</xdr:row>
      <xdr:rowOff>273844</xdr:rowOff>
    </xdr:to>
    <xdr:sp macro="[0]!Sauvegarde_Synthese" textlink="">
      <xdr:nvSpPr>
        <xdr:cNvPr id="2" name="Rectangle 1"/>
        <xdr:cNvSpPr/>
      </xdr:nvSpPr>
      <xdr:spPr>
        <a:xfrm>
          <a:off x="20145376" y="226220"/>
          <a:ext cx="1119187" cy="309562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SAVE SYNTHESE</a:t>
          </a:r>
        </a:p>
      </xdr:txBody>
    </xdr:sp>
    <xdr:clientData/>
  </xdr:twoCellAnchor>
  <xdr:twoCellAnchor>
    <xdr:from>
      <xdr:col>17</xdr:col>
      <xdr:colOff>273838</xdr:colOff>
      <xdr:row>2</xdr:row>
      <xdr:rowOff>0</xdr:rowOff>
    </xdr:from>
    <xdr:to>
      <xdr:col>18</xdr:col>
      <xdr:colOff>631025</xdr:colOff>
      <xdr:row>2</xdr:row>
      <xdr:rowOff>309562</xdr:rowOff>
    </xdr:to>
    <xdr:sp macro="[0]!Sauvegarde_fichier" textlink="">
      <xdr:nvSpPr>
        <xdr:cNvPr id="4" name="Rectangle 3"/>
        <xdr:cNvSpPr/>
      </xdr:nvSpPr>
      <xdr:spPr>
        <a:xfrm>
          <a:off x="20145369" y="642938"/>
          <a:ext cx="1119187" cy="309562"/>
        </a:xfrm>
        <a:prstGeom prst="rect">
          <a:avLst/>
        </a:prstGeom>
        <a:solidFill>
          <a:srgbClr val="ED7D31"/>
        </a:solidFill>
        <a:ln w="12700" cap="flat" cmpd="sng" algn="ctr">
          <a:solidFill>
            <a:srgbClr val="ED7D31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BE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SAVE FICHIER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2</xdr:row>
      <xdr:rowOff>9525</xdr:rowOff>
    </xdr:from>
    <xdr:to>
      <xdr:col>13</xdr:col>
      <xdr:colOff>714375</xdr:colOff>
      <xdr:row>3</xdr:row>
      <xdr:rowOff>133350</xdr:rowOff>
    </xdr:to>
    <xdr:sp macro="[0]!Importation" textlink="">
      <xdr:nvSpPr>
        <xdr:cNvPr id="2" name="Rectangle 1"/>
        <xdr:cNvSpPr/>
      </xdr:nvSpPr>
      <xdr:spPr>
        <a:xfrm>
          <a:off x="13106400" y="390525"/>
          <a:ext cx="1457325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IMPORTATION</a:t>
          </a:r>
        </a:p>
      </xdr:txBody>
    </xdr:sp>
    <xdr:clientData/>
  </xdr:twoCellAnchor>
  <xdr:twoCellAnchor>
    <xdr:from>
      <xdr:col>12</xdr:col>
      <xdr:colOff>28575</xdr:colOff>
      <xdr:row>4</xdr:row>
      <xdr:rowOff>0</xdr:rowOff>
    </xdr:from>
    <xdr:to>
      <xdr:col>13</xdr:col>
      <xdr:colOff>723900</xdr:colOff>
      <xdr:row>5</xdr:row>
      <xdr:rowOff>76200</xdr:rowOff>
    </xdr:to>
    <xdr:sp macro="[0]!Maj" textlink="">
      <xdr:nvSpPr>
        <xdr:cNvPr id="3" name="Rectangle 2"/>
        <xdr:cNvSpPr/>
      </xdr:nvSpPr>
      <xdr:spPr>
        <a:xfrm>
          <a:off x="13115925" y="762000"/>
          <a:ext cx="1457325" cy="3143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</a:t>
          </a:r>
          <a:r>
            <a:rPr lang="fr-BE" sz="1100" baseline="0"/>
            <a:t> A JOUR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8"/>
  <sheetViews>
    <sheetView showGridLines="0" topLeftCell="A7" zoomScale="80" zoomScaleNormal="80" zoomScalePageLayoutView="80" workbookViewId="0">
      <selection activeCell="I13" sqref="I13"/>
    </sheetView>
  </sheetViews>
  <sheetFormatPr baseColWidth="10" defaultRowHeight="15"/>
  <cols>
    <col min="1" max="1" width="10.7109375" style="235" customWidth="1"/>
    <col min="2" max="2" width="2.7109375" style="235" customWidth="1"/>
    <col min="3" max="3" width="68.7109375" style="235" customWidth="1"/>
    <col min="4" max="4" width="1.7109375" style="235" customWidth="1"/>
    <col min="5" max="8" width="15.7109375" style="235" customWidth="1"/>
    <col min="9" max="9" width="17.7109375" style="235" customWidth="1"/>
    <col min="10" max="11" width="15.7109375" style="235" customWidth="1"/>
    <col min="12" max="12" width="1.7109375" style="235" customWidth="1"/>
    <col min="13" max="13" width="14.140625" style="235" customWidth="1"/>
    <col min="14" max="14" width="1.7109375" style="235" customWidth="1"/>
    <col min="15" max="15" width="14.140625" style="235" customWidth="1"/>
    <col min="16" max="16" width="70.140625" style="235" customWidth="1"/>
    <col min="17" max="17" width="1.7109375" style="235" customWidth="1"/>
  </cols>
  <sheetData>
    <row r="1" spans="1:17" ht="21" thickBot="1">
      <c r="A1" s="184"/>
      <c r="B1" s="185"/>
      <c r="C1" s="186"/>
      <c r="D1" s="187"/>
      <c r="E1" s="339"/>
      <c r="F1" s="339"/>
      <c r="G1" s="339"/>
      <c r="H1" s="339"/>
      <c r="I1" s="339"/>
      <c r="J1" s="339"/>
      <c r="K1" s="339"/>
      <c r="L1" s="339"/>
      <c r="M1" s="339"/>
      <c r="N1" s="339"/>
      <c r="O1" s="339"/>
      <c r="P1" s="188"/>
      <c r="Q1" s="189"/>
    </row>
    <row r="2" spans="1:17" ht="30">
      <c r="A2" s="190"/>
      <c r="B2" s="340" t="s">
        <v>95</v>
      </c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341"/>
      <c r="P2" s="341"/>
      <c r="Q2" s="342"/>
    </row>
    <row r="3" spans="1:17" ht="35.25">
      <c r="A3" s="190"/>
      <c r="B3" s="343"/>
      <c r="C3" s="344"/>
      <c r="D3" s="344"/>
      <c r="E3" s="344"/>
      <c r="F3" s="344"/>
      <c r="G3" s="344"/>
      <c r="H3" s="344"/>
      <c r="I3" s="344"/>
      <c r="J3" s="344"/>
      <c r="K3" s="344"/>
      <c r="L3" s="344"/>
      <c r="M3" s="344"/>
      <c r="N3" s="344"/>
      <c r="O3" s="344"/>
      <c r="P3" s="344"/>
      <c r="Q3" s="345"/>
    </row>
    <row r="4" spans="1:17" ht="28.5" thickBot="1">
      <c r="A4" s="190"/>
      <c r="B4" s="346" t="s">
        <v>107</v>
      </c>
      <c r="C4" s="347" t="e">
        <v>#REF!</v>
      </c>
      <c r="D4" s="347" t="e">
        <v>#REF!</v>
      </c>
      <c r="E4" s="347" t="e">
        <v>#REF!</v>
      </c>
      <c r="F4" s="347"/>
      <c r="G4" s="347"/>
      <c r="H4" s="347"/>
      <c r="I4" s="347"/>
      <c r="J4" s="347"/>
      <c r="K4" s="347"/>
      <c r="L4" s="347"/>
      <c r="M4" s="347"/>
      <c r="N4" s="347"/>
      <c r="O4" s="347"/>
      <c r="P4" s="347"/>
      <c r="Q4" s="348" t="e">
        <v>#REF!</v>
      </c>
    </row>
    <row r="5" spans="1:17" ht="20.25">
      <c r="A5" s="191"/>
      <c r="B5" s="192"/>
      <c r="C5" s="193"/>
      <c r="D5" s="193"/>
      <c r="E5" s="194"/>
      <c r="F5" s="195"/>
      <c r="G5" s="195"/>
      <c r="H5" s="193"/>
      <c r="I5" s="193"/>
      <c r="J5" s="193"/>
      <c r="K5" s="193"/>
      <c r="L5" s="193"/>
      <c r="M5" s="193"/>
      <c r="N5" s="193"/>
      <c r="O5" s="194"/>
      <c r="P5" s="195"/>
      <c r="Q5" s="196"/>
    </row>
    <row r="6" spans="1:17" ht="20.25">
      <c r="A6" s="184"/>
      <c r="B6" s="197"/>
      <c r="C6" s="198"/>
      <c r="D6" s="199"/>
      <c r="E6" s="200"/>
      <c r="F6" s="201"/>
      <c r="G6" s="201"/>
      <c r="H6" s="199"/>
      <c r="I6" s="199"/>
      <c r="J6" s="199"/>
      <c r="K6" s="199"/>
      <c r="L6" s="199"/>
      <c r="M6" s="199"/>
      <c r="N6" s="199"/>
      <c r="O6" s="200"/>
      <c r="P6" s="202"/>
      <c r="Q6" s="203"/>
    </row>
    <row r="7" spans="1:17" ht="288.75">
      <c r="A7" s="184"/>
      <c r="B7" s="197"/>
      <c r="C7" s="204"/>
      <c r="D7" s="205"/>
      <c r="E7" s="206" t="s">
        <v>96</v>
      </c>
      <c r="F7" s="207" t="s">
        <v>97</v>
      </c>
      <c r="G7" s="207" t="s">
        <v>98</v>
      </c>
      <c r="H7" s="208" t="s">
        <v>99</v>
      </c>
      <c r="I7" s="208" t="s">
        <v>100</v>
      </c>
      <c r="J7" s="208" t="s">
        <v>101</v>
      </c>
      <c r="K7" s="208" t="s">
        <v>102</v>
      </c>
      <c r="L7" s="208"/>
      <c r="M7" s="209" t="s">
        <v>103</v>
      </c>
      <c r="N7" s="210"/>
      <c r="O7" s="211" t="s">
        <v>104</v>
      </c>
      <c r="P7" s="212" t="s">
        <v>105</v>
      </c>
      <c r="Q7" s="203"/>
    </row>
    <row r="8" spans="1:17" ht="30" customHeight="1">
      <c r="A8" s="184"/>
      <c r="B8" s="197"/>
      <c r="C8" s="242"/>
      <c r="D8" s="205"/>
      <c r="E8" s="213"/>
      <c r="F8" s="214"/>
      <c r="G8" s="214"/>
      <c r="H8" s="215"/>
      <c r="I8" s="215"/>
      <c r="J8" s="215"/>
      <c r="K8" s="215"/>
      <c r="L8" s="215"/>
      <c r="M8" s="215"/>
      <c r="N8" s="216"/>
      <c r="O8" s="213"/>
      <c r="P8" s="217"/>
      <c r="Q8" s="203"/>
    </row>
    <row r="9" spans="1:17" ht="9.75" customHeight="1">
      <c r="A9" s="218"/>
      <c r="B9" s="219"/>
      <c r="C9" s="243"/>
      <c r="D9" s="205"/>
      <c r="E9" s="246"/>
      <c r="F9" s="254"/>
      <c r="G9" s="255"/>
      <c r="H9" s="256"/>
      <c r="I9" s="256"/>
      <c r="J9" s="256"/>
      <c r="K9" s="256"/>
      <c r="L9" s="256"/>
      <c r="M9" s="257"/>
      <c r="N9" s="216"/>
      <c r="O9" s="247"/>
      <c r="P9" s="250"/>
      <c r="Q9" s="220"/>
    </row>
    <row r="10" spans="1:17" ht="35.1" customHeight="1">
      <c r="A10" s="218"/>
      <c r="B10" s="219"/>
      <c r="C10" s="244"/>
      <c r="D10" s="205"/>
      <c r="E10" s="263"/>
      <c r="F10" s="265"/>
      <c r="G10" s="266"/>
      <c r="H10" s="262"/>
      <c r="I10" s="262"/>
      <c r="J10" s="262"/>
      <c r="K10" s="262"/>
      <c r="L10" s="262"/>
      <c r="M10" s="258"/>
      <c r="N10" s="216"/>
      <c r="O10" s="248"/>
      <c r="P10" s="251"/>
      <c r="Q10" s="220"/>
    </row>
    <row r="11" spans="1:17" ht="35.1" customHeight="1">
      <c r="A11" s="218"/>
      <c r="B11" s="219"/>
      <c r="C11" s="244"/>
      <c r="D11" s="205"/>
      <c r="E11" s="263"/>
      <c r="F11" s="265"/>
      <c r="G11" s="266"/>
      <c r="H11" s="262"/>
      <c r="I11" s="262"/>
      <c r="J11" s="262"/>
      <c r="K11" s="262"/>
      <c r="L11" s="262"/>
      <c r="M11" s="258"/>
      <c r="N11" s="216"/>
      <c r="O11" s="248"/>
      <c r="P11" s="251"/>
      <c r="Q11" s="220"/>
    </row>
    <row r="12" spans="1:17" ht="35.1" customHeight="1">
      <c r="A12" s="218"/>
      <c r="B12" s="219"/>
      <c r="C12" s="244"/>
      <c r="D12" s="205"/>
      <c r="E12" s="263"/>
      <c r="F12" s="265"/>
      <c r="G12" s="266"/>
      <c r="H12" s="262"/>
      <c r="I12" s="262"/>
      <c r="J12" s="262"/>
      <c r="K12" s="262"/>
      <c r="L12" s="262"/>
      <c r="M12" s="258"/>
      <c r="N12" s="216"/>
      <c r="O12" s="248"/>
      <c r="P12" s="251"/>
      <c r="Q12" s="220"/>
    </row>
    <row r="13" spans="1:17" ht="35.1" customHeight="1">
      <c r="A13" s="218"/>
      <c r="B13" s="219"/>
      <c r="C13" s="244"/>
      <c r="D13" s="205"/>
      <c r="E13" s="263"/>
      <c r="F13" s="265"/>
      <c r="G13" s="266"/>
      <c r="H13" s="262"/>
      <c r="I13" s="262"/>
      <c r="J13" s="262"/>
      <c r="K13" s="262"/>
      <c r="L13" s="262"/>
      <c r="M13" s="258"/>
      <c r="N13" s="216"/>
      <c r="O13" s="248"/>
      <c r="P13" s="251"/>
      <c r="Q13" s="220"/>
    </row>
    <row r="14" spans="1:17" ht="35.1" customHeight="1">
      <c r="A14" s="218"/>
      <c r="B14" s="219"/>
      <c r="C14" s="244"/>
      <c r="D14" s="205"/>
      <c r="E14" s="263"/>
      <c r="F14" s="265"/>
      <c r="G14" s="266"/>
      <c r="H14" s="262"/>
      <c r="I14" s="262"/>
      <c r="J14" s="262"/>
      <c r="K14" s="262"/>
      <c r="L14" s="262"/>
      <c r="M14" s="258"/>
      <c r="N14" s="216"/>
      <c r="O14" s="248"/>
      <c r="P14" s="251"/>
      <c r="Q14" s="220"/>
    </row>
    <row r="15" spans="1:17" ht="35.1" customHeight="1">
      <c r="A15" s="218"/>
      <c r="B15" s="219"/>
      <c r="C15" s="245"/>
      <c r="D15" s="205"/>
      <c r="E15" s="264"/>
      <c r="F15" s="267"/>
      <c r="G15" s="268"/>
      <c r="H15" s="269"/>
      <c r="I15" s="269"/>
      <c r="J15" s="269"/>
      <c r="K15" s="269"/>
      <c r="L15" s="269"/>
      <c r="M15" s="259"/>
      <c r="N15" s="216"/>
      <c r="O15" s="249"/>
      <c r="P15" s="252"/>
      <c r="Q15" s="220"/>
    </row>
    <row r="16" spans="1:17" ht="21" thickBot="1">
      <c r="A16" s="184"/>
      <c r="B16" s="197"/>
      <c r="C16" s="253"/>
      <c r="D16" s="205"/>
      <c r="E16" s="221"/>
      <c r="F16" s="222"/>
      <c r="G16" s="222"/>
      <c r="H16" s="216"/>
      <c r="I16" s="216"/>
      <c r="J16" s="216"/>
      <c r="K16" s="216"/>
      <c r="L16" s="216"/>
      <c r="M16" s="216"/>
      <c r="N16" s="216"/>
      <c r="O16" s="221"/>
      <c r="P16" s="223"/>
      <c r="Q16" s="224"/>
    </row>
    <row r="17" spans="1:17" ht="21" thickBot="1">
      <c r="A17" s="184"/>
      <c r="B17" s="197"/>
      <c r="C17" s="237" t="s">
        <v>106</v>
      </c>
      <c r="D17" s="205"/>
      <c r="E17" s="238" t="str">
        <f>IF(F17+G17=0,"",F17+G17)</f>
        <v/>
      </c>
      <c r="F17" s="236">
        <f>SUM(F10:F15)</f>
        <v>0</v>
      </c>
      <c r="G17" s="239">
        <f>SUM(H17:K17)</f>
        <v>0</v>
      </c>
      <c r="H17" s="236">
        <f>SUM(H10:H15)</f>
        <v>0</v>
      </c>
      <c r="I17" s="236">
        <f>SUM(I10:I15)</f>
        <v>0</v>
      </c>
      <c r="J17" s="236">
        <f>SUM(J10:J15)</f>
        <v>0</v>
      </c>
      <c r="K17" s="236">
        <f>SUM(K10:K15)</f>
        <v>0</v>
      </c>
      <c r="L17" s="240"/>
      <c r="M17" s="338">
        <f>SUM(M10:M15)</f>
        <v>0</v>
      </c>
      <c r="N17" s="241"/>
      <c r="O17" s="238" t="str">
        <f>IF(SUM(O9:O15)=0,"",SUM(O9:O15))</f>
        <v/>
      </c>
      <c r="P17" s="226"/>
      <c r="Q17" s="203"/>
    </row>
    <row r="18" spans="1:17" ht="20.25">
      <c r="A18" s="184"/>
      <c r="B18" s="227"/>
      <c r="C18" s="228"/>
      <c r="D18" s="229"/>
      <c r="E18" s="230"/>
      <c r="F18" s="231"/>
      <c r="G18" s="231"/>
      <c r="H18" s="232"/>
      <c r="I18" s="232"/>
      <c r="J18" s="232"/>
      <c r="K18" s="232"/>
      <c r="L18" s="232"/>
      <c r="M18" s="232"/>
      <c r="N18" s="225"/>
      <c r="O18" s="230"/>
      <c r="P18" s="233"/>
      <c r="Q18" s="234"/>
    </row>
  </sheetData>
  <mergeCells count="4">
    <mergeCell ref="E1:O1"/>
    <mergeCell ref="B2:Q2"/>
    <mergeCell ref="B3:Q3"/>
    <mergeCell ref="B4:Q4"/>
  </mergeCells>
  <pageMargins left="0.7" right="0.7" top="0.75" bottom="0.75" header="0.3" footer="0.3"/>
  <pageSetup paperSize="9" orientation="portrait" r:id="rId1"/>
  <ignoredErrors>
    <ignoredError sqref="G17" formula="1"/>
  </ignoredErrors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K11"/>
  <sheetViews>
    <sheetView tabSelected="1" workbookViewId="0">
      <selection activeCell="A12" sqref="A12:XFD153"/>
    </sheetView>
  </sheetViews>
  <sheetFormatPr baseColWidth="10" defaultRowHeight="15"/>
  <cols>
    <col min="1" max="1" width="20.7109375" customWidth="1"/>
    <col min="2" max="2" width="26.7109375" customWidth="1"/>
    <col min="3" max="6" width="15.7109375" customWidth="1"/>
    <col min="7" max="7" width="11.7109375" customWidth="1"/>
    <col min="8" max="11" width="15.7109375" customWidth="1"/>
    <col min="14" max="14" width="13.42578125" bestFit="1" customWidth="1"/>
  </cols>
  <sheetData>
    <row r="5" spans="1:11" ht="18.75" customHeight="1">
      <c r="A5" s="349" t="s">
        <v>82</v>
      </c>
      <c r="B5" s="349"/>
      <c r="C5" s="349"/>
      <c r="D5" s="349"/>
      <c r="E5" s="349"/>
      <c r="F5" s="349"/>
      <c r="G5" s="349"/>
      <c r="H5" s="349"/>
      <c r="I5" s="349"/>
      <c r="J5" s="349"/>
      <c r="K5" s="349"/>
    </row>
    <row r="6" spans="1:11">
      <c r="A6" s="349"/>
      <c r="B6" s="349"/>
      <c r="C6" s="349"/>
      <c r="D6" s="349"/>
      <c r="E6" s="349"/>
      <c r="F6" s="349"/>
      <c r="G6" s="349"/>
      <c r="H6" s="349"/>
      <c r="I6" s="349"/>
      <c r="J6" s="349"/>
      <c r="K6" s="349"/>
    </row>
    <row r="9" spans="1:11" ht="15" customHeight="1">
      <c r="A9" t="s">
        <v>72</v>
      </c>
      <c r="B9" s="111">
        <v>43069</v>
      </c>
    </row>
    <row r="11" spans="1:11" ht="60" customHeight="1">
      <c r="A11" s="260" t="s">
        <v>0</v>
      </c>
      <c r="B11" s="261" t="s">
        <v>1</v>
      </c>
      <c r="C11" s="261" t="s">
        <v>2</v>
      </c>
      <c r="D11" s="261" t="s">
        <v>3</v>
      </c>
      <c r="E11" s="261" t="s">
        <v>4</v>
      </c>
      <c r="F11" s="261" t="s">
        <v>5</v>
      </c>
      <c r="G11" s="261" t="s">
        <v>6</v>
      </c>
      <c r="H11" s="261" t="s">
        <v>7</v>
      </c>
      <c r="I11" s="261" t="s">
        <v>8</v>
      </c>
      <c r="J11" s="261" t="s">
        <v>9</v>
      </c>
      <c r="K11" s="261" t="s">
        <v>10</v>
      </c>
    </row>
  </sheetData>
  <mergeCells count="1">
    <mergeCell ref="A5:K6"/>
  </mergeCells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47"/>
  <sheetViews>
    <sheetView workbookViewId="0"/>
  </sheetViews>
  <sheetFormatPr baseColWidth="10" defaultColWidth="11.42578125" defaultRowHeight="16.5"/>
  <cols>
    <col min="1" max="4" width="11.7109375" style="5" customWidth="1"/>
    <col min="5" max="5" width="13.28515625" style="5" bestFit="1" customWidth="1"/>
    <col min="6" max="6" width="12.42578125" style="5" customWidth="1"/>
    <col min="7" max="8" width="11.7109375" style="5" customWidth="1"/>
    <col min="9" max="9" width="13.28515625" style="5" bestFit="1" customWidth="1"/>
    <col min="10" max="10" width="13.5703125" style="5" customWidth="1"/>
    <col min="11" max="11" width="13" style="5" customWidth="1"/>
    <col min="12" max="14" width="11.7109375" style="5" customWidth="1"/>
    <col min="15" max="15" width="12.85546875" style="5" bestFit="1" customWidth="1"/>
    <col min="16" max="16" width="12.7109375" style="5" customWidth="1"/>
    <col min="17" max="22" width="11.7109375" style="5" customWidth="1"/>
    <col min="23" max="23" width="11.42578125" style="5"/>
    <col min="24" max="24" width="12.7109375" style="5" bestFit="1" customWidth="1"/>
    <col min="25" max="16384" width="11.42578125" style="5"/>
  </cols>
  <sheetData>
    <row r="1" spans="1:24" ht="21" customHeight="1">
      <c r="A1" s="364" t="s">
        <v>11</v>
      </c>
      <c r="B1" s="365"/>
      <c r="C1" s="368" t="s">
        <v>73</v>
      </c>
      <c r="D1" s="368"/>
      <c r="E1" s="368"/>
      <c r="F1" s="370" t="s">
        <v>74</v>
      </c>
      <c r="G1" s="372" t="s">
        <v>12</v>
      </c>
      <c r="H1" s="373"/>
      <c r="I1" s="373"/>
      <c r="J1" s="374"/>
      <c r="K1" s="1" t="s">
        <v>13</v>
      </c>
      <c r="L1" s="2"/>
      <c r="M1" s="375">
        <v>259394877.09959999</v>
      </c>
      <c r="N1" s="375"/>
      <c r="O1" s="3" t="s">
        <v>14</v>
      </c>
      <c r="P1" s="4">
        <v>33364</v>
      </c>
    </row>
    <row r="2" spans="1:24" ht="21">
      <c r="A2" s="366"/>
      <c r="B2" s="367"/>
      <c r="C2" s="369"/>
      <c r="D2" s="369"/>
      <c r="E2" s="369"/>
      <c r="F2" s="371"/>
      <c r="G2" s="6" t="s">
        <v>15</v>
      </c>
      <c r="H2" s="7"/>
      <c r="I2" s="8">
        <v>45</v>
      </c>
      <c r="J2" s="9"/>
      <c r="K2" s="10" t="s">
        <v>16</v>
      </c>
      <c r="L2" s="11"/>
      <c r="M2" s="363"/>
      <c r="N2" s="363"/>
      <c r="O2" s="11"/>
      <c r="P2" s="12"/>
    </row>
    <row r="3" spans="1:24" ht="16.5" customHeight="1">
      <c r="A3" s="366" t="s">
        <v>17</v>
      </c>
      <c r="B3" s="367"/>
      <c r="C3" s="369" t="s">
        <v>18</v>
      </c>
      <c r="D3" s="369"/>
      <c r="E3" s="369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63">
        <v>3167960.99</v>
      </c>
      <c r="N3" s="363"/>
      <c r="O3" s="11"/>
      <c r="P3" s="12"/>
    </row>
    <row r="4" spans="1:24">
      <c r="A4" s="366"/>
      <c r="B4" s="367"/>
      <c r="C4" s="369"/>
      <c r="D4" s="369"/>
      <c r="E4" s="369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63">
        <v>2313866.92</v>
      </c>
      <c r="N4" s="363"/>
      <c r="O4" s="11"/>
      <c r="P4" s="12"/>
    </row>
    <row r="5" spans="1:24">
      <c r="A5" s="304" t="s">
        <v>24</v>
      </c>
      <c r="B5" s="18"/>
      <c r="C5" s="18"/>
      <c r="D5" s="19" t="s">
        <v>75</v>
      </c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63"/>
      <c r="N5" s="363"/>
      <c r="O5" s="11"/>
      <c r="P5" s="12"/>
    </row>
    <row r="6" spans="1:24">
      <c r="A6" s="304" t="s">
        <v>76</v>
      </c>
      <c r="B6" s="18"/>
      <c r="C6" s="18"/>
      <c r="D6" s="22" t="s">
        <v>79</v>
      </c>
      <c r="E6" s="23"/>
      <c r="F6" s="24"/>
      <c r="G6" s="6"/>
      <c r="H6" s="14" t="s">
        <v>28</v>
      </c>
      <c r="I6" s="25">
        <v>0.125</v>
      </c>
      <c r="J6" s="15" t="s">
        <v>29</v>
      </c>
      <c r="K6" s="26"/>
      <c r="L6" s="11"/>
      <c r="M6" s="363"/>
      <c r="N6" s="363"/>
      <c r="O6" s="11"/>
      <c r="P6" s="12"/>
    </row>
    <row r="7" spans="1:24">
      <c r="A7" s="304" t="s">
        <v>77</v>
      </c>
      <c r="B7" s="18"/>
      <c r="C7" s="18"/>
      <c r="D7" s="22" t="s">
        <v>80</v>
      </c>
      <c r="E7" s="23"/>
      <c r="F7" s="24"/>
      <c r="G7" s="6"/>
      <c r="H7" s="14" t="s">
        <v>30</v>
      </c>
      <c r="I7" s="27">
        <v>7.0000000000000007E-2</v>
      </c>
      <c r="J7" s="15" t="s">
        <v>29</v>
      </c>
      <c r="K7" s="28" t="s">
        <v>31</v>
      </c>
      <c r="L7" s="29"/>
      <c r="M7" s="353">
        <f>SUM(M1:M6)</f>
        <v>264876705.00959998</v>
      </c>
      <c r="N7" s="353"/>
      <c r="O7" s="11"/>
      <c r="P7" s="12"/>
    </row>
    <row r="8" spans="1:24">
      <c r="A8" s="30" t="s">
        <v>78</v>
      </c>
      <c r="B8" s="31"/>
      <c r="C8" s="31"/>
      <c r="D8" s="32" t="s">
        <v>81</v>
      </c>
      <c r="E8" s="33"/>
      <c r="F8" s="34"/>
      <c r="G8" s="35"/>
      <c r="H8" s="36" t="s">
        <v>32</v>
      </c>
      <c r="I8" s="37">
        <v>0.03</v>
      </c>
      <c r="J8" s="38" t="s">
        <v>29</v>
      </c>
      <c r="K8" s="39" t="s">
        <v>33</v>
      </c>
      <c r="L8" s="40"/>
      <c r="M8" s="354">
        <f>+M7*(1+$I$4)</f>
        <v>317852046.01151997</v>
      </c>
      <c r="N8" s="354"/>
      <c r="O8" s="41"/>
      <c r="P8" s="42"/>
    </row>
    <row r="10" spans="1:24">
      <c r="B10" s="5" t="s">
        <v>34</v>
      </c>
      <c r="C10" s="43">
        <v>43069</v>
      </c>
      <c r="E10" s="44"/>
      <c r="F10" s="45"/>
      <c r="G10" s="46">
        <v>0.1</v>
      </c>
      <c r="H10" s="47">
        <v>0.02</v>
      </c>
      <c r="O10" s="355" t="s">
        <v>35</v>
      </c>
      <c r="P10" s="356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305" t="s">
        <v>52</v>
      </c>
      <c r="S11" s="305" t="s">
        <v>53</v>
      </c>
      <c r="T11" s="305" t="s">
        <v>54</v>
      </c>
      <c r="U11" s="305" t="s">
        <v>55</v>
      </c>
      <c r="V11" s="305" t="s">
        <v>56</v>
      </c>
      <c r="X11" s="305" t="s">
        <v>57</v>
      </c>
    </row>
    <row r="12" spans="1:24">
      <c r="A12" s="54">
        <v>1</v>
      </c>
      <c r="B12" s="54">
        <v>1133000010</v>
      </c>
      <c r="C12" s="56">
        <v>42674</v>
      </c>
      <c r="D12" s="57">
        <v>42644</v>
      </c>
      <c r="E12" s="50">
        <v>3730304.77</v>
      </c>
      <c r="F12" s="50">
        <v>-1016288.09</v>
      </c>
      <c r="G12" s="50">
        <v>0</v>
      </c>
      <c r="H12" s="50">
        <f t="shared" ref="H12:H22" si="0">+E12*$H$10</f>
        <v>74606.095400000006</v>
      </c>
      <c r="I12" s="50">
        <f t="shared" ref="I12:I18" si="1">+E12+F12-G12-H12</f>
        <v>2639410.5846000002</v>
      </c>
      <c r="J12" s="50">
        <f t="shared" ref="J12:J22" si="2">+I12+(I12*$I$4)</f>
        <v>3167292.7015200001</v>
      </c>
      <c r="K12" s="50">
        <f>+J12</f>
        <v>3167292.7015200001</v>
      </c>
      <c r="L12" s="51">
        <v>42735</v>
      </c>
      <c r="M12" s="51">
        <v>42741</v>
      </c>
      <c r="N12" s="52">
        <f t="shared" ref="N12:N22" si="3">-IF(L12=0,,IF(M12=0,($C$10-L12),M12-L12))</f>
        <v>-6</v>
      </c>
      <c r="O12" s="50">
        <f t="shared" ref="O12:O22" si="4">+J12-K12</f>
        <v>0</v>
      </c>
      <c r="P12" s="50">
        <f t="shared" ref="P12:P22" si="5">+IF($C$10&lt;L12,0,O12)</f>
        <v>0</v>
      </c>
      <c r="Q12" s="53"/>
      <c r="R12" s="316">
        <f t="shared" ref="R12:R22" si="6">IF(N12&gt;=0,0,(IF(-N12&lt;=60,O12,0)))</f>
        <v>0</v>
      </c>
      <c r="S12" s="316">
        <f t="shared" ref="S12:S22" si="7">IF(N12&gt;=0,0,(IF(N12&gt;=-60,0,IF(-60&gt;=N12,IF(N12&gt;=-120,O12,0)))))</f>
        <v>0</v>
      </c>
      <c r="T12" s="316">
        <f t="shared" ref="T12:T22" si="8">IF(N12&gt;=0,0,(IF(N12&gt;-60,0,IF(-60&gt;=N12,IF(N12&gt;=-120,0,IF(N12&gt;=-180,O12,0))))))</f>
        <v>0</v>
      </c>
      <c r="U12" s="316">
        <f t="shared" ref="U12:U22" si="9">IF(N12&gt;=0,0,(IF(N12&gt;-60,0,IF(-60&gt;=N12,IF(N12&gt;-120,0,IF(N12&gt;=-180,0,IF(N12&gt;=-365,O12,0)))))))</f>
        <v>0</v>
      </c>
      <c r="V12" s="316">
        <f t="shared" ref="V12:V22" si="10">IF(N12&gt;=0,0,IF(365&lt;-N12,O12,0))</f>
        <v>0</v>
      </c>
      <c r="X12" s="336">
        <f t="shared" ref="X12:X16" si="11">+(J12*N12*(2.25+3)/100)/(365)</f>
        <v>-2733.4169889830141</v>
      </c>
    </row>
    <row r="13" spans="1:24">
      <c r="A13" s="54">
        <v>2</v>
      </c>
      <c r="B13" s="54">
        <v>1133000011</v>
      </c>
      <c r="C13" s="56">
        <v>42704</v>
      </c>
      <c r="D13" s="57">
        <v>42675</v>
      </c>
      <c r="E13" s="50">
        <v>4590101</v>
      </c>
      <c r="F13" s="50">
        <v>-923762.62454242073</v>
      </c>
      <c r="G13" s="50">
        <v>0</v>
      </c>
      <c r="H13" s="50">
        <f t="shared" si="0"/>
        <v>91802.02</v>
      </c>
      <c r="I13" s="50">
        <f t="shared" si="1"/>
        <v>3574536.3554575793</v>
      </c>
      <c r="J13" s="50">
        <f t="shared" si="2"/>
        <v>4289443.6265490949</v>
      </c>
      <c r="K13" s="50">
        <f>+J13</f>
        <v>4289443.6265490949</v>
      </c>
      <c r="L13" s="51">
        <v>42768</v>
      </c>
      <c r="M13" s="51">
        <v>42769</v>
      </c>
      <c r="N13" s="52">
        <f t="shared" si="3"/>
        <v>-1</v>
      </c>
      <c r="O13" s="50">
        <f t="shared" si="4"/>
        <v>0</v>
      </c>
      <c r="P13" s="50">
        <f t="shared" si="5"/>
        <v>0</v>
      </c>
      <c r="Q13" s="53"/>
      <c r="R13" s="316">
        <f t="shared" si="6"/>
        <v>0</v>
      </c>
      <c r="S13" s="316">
        <f t="shared" si="7"/>
        <v>0</v>
      </c>
      <c r="T13" s="316">
        <f t="shared" si="8"/>
        <v>0</v>
      </c>
      <c r="U13" s="316">
        <f t="shared" si="9"/>
        <v>0</v>
      </c>
      <c r="V13" s="316">
        <f t="shared" si="10"/>
        <v>0</v>
      </c>
      <c r="X13" s="336">
        <f t="shared" si="11"/>
        <v>-616.97476820226711</v>
      </c>
    </row>
    <row r="14" spans="1:24">
      <c r="A14" s="54">
        <v>3</v>
      </c>
      <c r="B14" s="54">
        <v>1133000012</v>
      </c>
      <c r="C14" s="56">
        <v>42735</v>
      </c>
      <c r="D14" s="57">
        <v>42705</v>
      </c>
      <c r="E14" s="50">
        <v>8626044.8608809095</v>
      </c>
      <c r="F14" s="50">
        <v>-665755.60761011392</v>
      </c>
      <c r="G14" s="50">
        <v>0</v>
      </c>
      <c r="H14" s="50">
        <f t="shared" si="0"/>
        <v>172520.89721761819</v>
      </c>
      <c r="I14" s="50">
        <f t="shared" si="1"/>
        <v>7787768.3560531773</v>
      </c>
      <c r="J14" s="50">
        <f t="shared" si="2"/>
        <v>9345322.0272638127</v>
      </c>
      <c r="K14" s="50">
        <f>+J14</f>
        <v>9345322.0272638127</v>
      </c>
      <c r="L14" s="51">
        <v>42797</v>
      </c>
      <c r="M14" s="51">
        <v>42811</v>
      </c>
      <c r="N14" s="52">
        <f t="shared" si="3"/>
        <v>-14</v>
      </c>
      <c r="O14" s="50">
        <f t="shared" si="4"/>
        <v>0</v>
      </c>
      <c r="P14" s="50">
        <f t="shared" si="5"/>
        <v>0</v>
      </c>
      <c r="Q14" s="53"/>
      <c r="R14" s="316">
        <f t="shared" si="6"/>
        <v>0</v>
      </c>
      <c r="S14" s="316">
        <f t="shared" si="7"/>
        <v>0</v>
      </c>
      <c r="T14" s="316">
        <f t="shared" si="8"/>
        <v>0</v>
      </c>
      <c r="U14" s="316">
        <f t="shared" si="9"/>
        <v>0</v>
      </c>
      <c r="V14" s="316">
        <f t="shared" si="10"/>
        <v>0</v>
      </c>
      <c r="X14" s="336">
        <f t="shared" si="11"/>
        <v>-18818.662164490146</v>
      </c>
    </row>
    <row r="15" spans="1:24">
      <c r="A15" s="54">
        <v>4</v>
      </c>
      <c r="B15" s="54">
        <v>1133000013</v>
      </c>
      <c r="C15" s="56">
        <v>42766</v>
      </c>
      <c r="D15" s="57">
        <v>42736</v>
      </c>
      <c r="E15" s="50">
        <v>6280153.9800000004</v>
      </c>
      <c r="F15" s="50">
        <f>-0.125*E15</f>
        <v>-785019.24750000006</v>
      </c>
      <c r="G15" s="50">
        <v>0</v>
      </c>
      <c r="H15" s="50">
        <f t="shared" si="0"/>
        <v>125603.07960000001</v>
      </c>
      <c r="I15" s="50">
        <f t="shared" si="1"/>
        <v>5369531.6529000001</v>
      </c>
      <c r="J15" s="50">
        <f t="shared" si="2"/>
        <v>6443437.9834799999</v>
      </c>
      <c r="K15" s="50">
        <f t="shared" ref="K15:K16" si="12">+J15</f>
        <v>6443437.9834799999</v>
      </c>
      <c r="L15" s="51">
        <v>42818</v>
      </c>
      <c r="M15" s="51">
        <v>42829</v>
      </c>
      <c r="N15" s="52">
        <f t="shared" si="3"/>
        <v>-11</v>
      </c>
      <c r="O15" s="50">
        <f t="shared" si="4"/>
        <v>0</v>
      </c>
      <c r="P15" s="50">
        <f t="shared" si="5"/>
        <v>0</v>
      </c>
      <c r="Q15" s="53"/>
      <c r="R15" s="316">
        <f t="shared" si="6"/>
        <v>0</v>
      </c>
      <c r="S15" s="316">
        <f t="shared" si="7"/>
        <v>0</v>
      </c>
      <c r="T15" s="316">
        <f t="shared" si="8"/>
        <v>0</v>
      </c>
      <c r="U15" s="316">
        <f t="shared" si="9"/>
        <v>0</v>
      </c>
      <c r="V15" s="316">
        <f t="shared" si="10"/>
        <v>0</v>
      </c>
      <c r="X15" s="336">
        <f t="shared" si="11"/>
        <v>-10194.754617697807</v>
      </c>
    </row>
    <row r="16" spans="1:24">
      <c r="A16" s="54">
        <v>5</v>
      </c>
      <c r="B16" s="54">
        <v>1133000014</v>
      </c>
      <c r="C16" s="56">
        <v>42794</v>
      </c>
      <c r="D16" s="57">
        <v>42767</v>
      </c>
      <c r="E16" s="50">
        <v>7532934.4500000002</v>
      </c>
      <c r="F16" s="50">
        <f>-0.125*E16</f>
        <v>-941616.80625000002</v>
      </c>
      <c r="G16" s="50">
        <v>0</v>
      </c>
      <c r="H16" s="50">
        <f t="shared" si="0"/>
        <v>150658.68900000001</v>
      </c>
      <c r="I16" s="50">
        <f t="shared" si="1"/>
        <v>6440658.9547499996</v>
      </c>
      <c r="J16" s="50">
        <f t="shared" si="2"/>
        <v>7728790.7456999999</v>
      </c>
      <c r="K16" s="50">
        <f t="shared" si="12"/>
        <v>7728790.7456999999</v>
      </c>
      <c r="L16" s="51">
        <v>42849</v>
      </c>
      <c r="M16" s="51">
        <v>42849</v>
      </c>
      <c r="N16" s="52">
        <f t="shared" si="3"/>
        <v>0</v>
      </c>
      <c r="O16" s="50">
        <f t="shared" si="4"/>
        <v>0</v>
      </c>
      <c r="P16" s="50">
        <f t="shared" si="5"/>
        <v>0</v>
      </c>
      <c r="Q16" s="53"/>
      <c r="R16" s="316">
        <f t="shared" si="6"/>
        <v>0</v>
      </c>
      <c r="S16" s="316">
        <f t="shared" si="7"/>
        <v>0</v>
      </c>
      <c r="T16" s="316">
        <f t="shared" si="8"/>
        <v>0</v>
      </c>
      <c r="U16" s="316">
        <f t="shared" si="9"/>
        <v>0</v>
      </c>
      <c r="V16" s="316">
        <f t="shared" si="10"/>
        <v>0</v>
      </c>
      <c r="X16" s="336">
        <f t="shared" si="11"/>
        <v>0</v>
      </c>
    </row>
    <row r="17" spans="1:24">
      <c r="A17" s="54">
        <v>6</v>
      </c>
      <c r="B17" s="54">
        <v>1133000015</v>
      </c>
      <c r="C17" s="56">
        <v>42825</v>
      </c>
      <c r="D17" s="57">
        <v>42795</v>
      </c>
      <c r="E17" s="50">
        <v>11074683.960000001</v>
      </c>
      <c r="F17" s="50">
        <f>-0.125*E17</f>
        <v>-1384335.4950000001</v>
      </c>
      <c r="G17" s="50">
        <v>0</v>
      </c>
      <c r="H17" s="50">
        <f t="shared" si="0"/>
        <v>221493.67920000001</v>
      </c>
      <c r="I17" s="50">
        <f t="shared" si="1"/>
        <v>9468854.7858000007</v>
      </c>
      <c r="J17" s="50">
        <f t="shared" si="2"/>
        <v>11362625.74296</v>
      </c>
      <c r="K17" s="50"/>
      <c r="L17" s="51">
        <v>42888</v>
      </c>
      <c r="M17" s="51"/>
      <c r="N17" s="52">
        <f t="shared" si="3"/>
        <v>-181</v>
      </c>
      <c r="O17" s="50">
        <f t="shared" si="4"/>
        <v>11362625.74296</v>
      </c>
      <c r="P17" s="50">
        <f t="shared" si="5"/>
        <v>11362625.74296</v>
      </c>
      <c r="Q17" s="53"/>
      <c r="R17" s="316">
        <f t="shared" si="6"/>
        <v>0</v>
      </c>
      <c r="S17" s="316">
        <f t="shared" si="7"/>
        <v>0</v>
      </c>
      <c r="T17" s="316">
        <f t="shared" si="8"/>
        <v>0</v>
      </c>
      <c r="U17" s="316">
        <f t="shared" si="9"/>
        <v>11362625.74296</v>
      </c>
      <c r="V17" s="316">
        <f t="shared" si="10"/>
        <v>0</v>
      </c>
      <c r="X17" s="336"/>
    </row>
    <row r="18" spans="1:24">
      <c r="A18" s="54">
        <v>7</v>
      </c>
      <c r="B18" s="54">
        <v>1133000016</v>
      </c>
      <c r="C18" s="58">
        <v>42855</v>
      </c>
      <c r="D18" s="57">
        <v>42826</v>
      </c>
      <c r="E18" s="50">
        <v>11895116.57</v>
      </c>
      <c r="F18" s="50">
        <f>-0.125*E18</f>
        <v>-1486889.57125</v>
      </c>
      <c r="G18" s="50">
        <v>0</v>
      </c>
      <c r="H18" s="50">
        <f t="shared" si="0"/>
        <v>237902.33140000002</v>
      </c>
      <c r="I18" s="50">
        <f t="shared" si="1"/>
        <v>10170324.667350002</v>
      </c>
      <c r="J18" s="50">
        <f t="shared" si="2"/>
        <v>12204389.600820001</v>
      </c>
      <c r="K18" s="50"/>
      <c r="L18" s="51">
        <v>42912</v>
      </c>
      <c r="M18" s="51"/>
      <c r="N18" s="52">
        <f t="shared" si="3"/>
        <v>-157</v>
      </c>
      <c r="O18" s="50">
        <f t="shared" si="4"/>
        <v>12204389.600820001</v>
      </c>
      <c r="P18" s="50">
        <f t="shared" si="5"/>
        <v>12204389.600820001</v>
      </c>
      <c r="Q18" s="53"/>
      <c r="R18" s="316">
        <f t="shared" si="6"/>
        <v>0</v>
      </c>
      <c r="S18" s="316">
        <f t="shared" si="7"/>
        <v>0</v>
      </c>
      <c r="T18" s="316">
        <f t="shared" si="8"/>
        <v>12204389.600820001</v>
      </c>
      <c r="U18" s="316">
        <f t="shared" si="9"/>
        <v>0</v>
      </c>
      <c r="V18" s="316">
        <f t="shared" si="10"/>
        <v>0</v>
      </c>
      <c r="X18" s="336"/>
    </row>
    <row r="19" spans="1:24">
      <c r="A19" s="54">
        <v>8</v>
      </c>
      <c r="B19" s="54">
        <v>1133000017</v>
      </c>
      <c r="C19" s="51">
        <v>42886</v>
      </c>
      <c r="D19" s="57">
        <v>42856</v>
      </c>
      <c r="E19" s="50">
        <v>11358269.310000001</v>
      </c>
      <c r="F19" s="50">
        <f>-0.125*E19</f>
        <v>-1419783.6637500001</v>
      </c>
      <c r="G19" s="50">
        <v>0</v>
      </c>
      <c r="H19" s="50">
        <f t="shared" si="0"/>
        <v>227165.38620000001</v>
      </c>
      <c r="I19" s="50">
        <f>+E19+F19-G19-H19</f>
        <v>9711320.2600500006</v>
      </c>
      <c r="J19" s="50">
        <f t="shared" si="2"/>
        <v>11653584.31206</v>
      </c>
      <c r="K19" s="50"/>
      <c r="L19" s="51">
        <v>42931</v>
      </c>
      <c r="M19" s="51"/>
      <c r="N19" s="52">
        <f t="shared" si="3"/>
        <v>-138</v>
      </c>
      <c r="O19" s="50">
        <f t="shared" si="4"/>
        <v>11653584.31206</v>
      </c>
      <c r="P19" s="50">
        <f t="shared" si="5"/>
        <v>11653584.31206</v>
      </c>
      <c r="Q19" s="53"/>
      <c r="R19" s="316">
        <f t="shared" si="6"/>
        <v>0</v>
      </c>
      <c r="S19" s="316">
        <f t="shared" si="7"/>
        <v>0</v>
      </c>
      <c r="T19" s="316">
        <f t="shared" si="8"/>
        <v>11653584.31206</v>
      </c>
      <c r="U19" s="316">
        <f t="shared" si="9"/>
        <v>0</v>
      </c>
      <c r="V19" s="316">
        <f t="shared" si="10"/>
        <v>0</v>
      </c>
      <c r="X19" s="336"/>
    </row>
    <row r="20" spans="1:24">
      <c r="A20" s="54">
        <v>9</v>
      </c>
      <c r="B20" s="54">
        <v>1133000018</v>
      </c>
      <c r="C20" s="51">
        <v>42916</v>
      </c>
      <c r="D20" s="57">
        <v>42795</v>
      </c>
      <c r="E20" s="50">
        <f t="shared" ref="E20:F22" si="13">-E17</f>
        <v>-11074683.960000001</v>
      </c>
      <c r="F20" s="50">
        <f t="shared" si="13"/>
        <v>1384335.4950000001</v>
      </c>
      <c r="G20" s="50">
        <v>0</v>
      </c>
      <c r="H20" s="50">
        <f t="shared" si="0"/>
        <v>-221493.67920000001</v>
      </c>
      <c r="I20" s="50">
        <f>+E20+F20-G20-H20</f>
        <v>-9468854.7858000007</v>
      </c>
      <c r="J20" s="50">
        <f t="shared" si="2"/>
        <v>-11362625.74296</v>
      </c>
      <c r="K20" s="50"/>
      <c r="L20" s="51">
        <v>42888</v>
      </c>
      <c r="M20" s="51"/>
      <c r="N20" s="52">
        <f t="shared" si="3"/>
        <v>-181</v>
      </c>
      <c r="O20" s="50">
        <f t="shared" si="4"/>
        <v>-11362625.74296</v>
      </c>
      <c r="P20" s="50">
        <f t="shared" si="5"/>
        <v>-11362625.74296</v>
      </c>
      <c r="Q20" s="53"/>
      <c r="R20" s="316">
        <f t="shared" si="6"/>
        <v>0</v>
      </c>
      <c r="S20" s="316">
        <f t="shared" si="7"/>
        <v>0</v>
      </c>
      <c r="T20" s="316">
        <f t="shared" si="8"/>
        <v>0</v>
      </c>
      <c r="U20" s="316">
        <f t="shared" si="9"/>
        <v>-11362625.74296</v>
      </c>
      <c r="V20" s="316">
        <f t="shared" si="10"/>
        <v>0</v>
      </c>
      <c r="X20" s="336"/>
    </row>
    <row r="21" spans="1:24">
      <c r="A21" s="54">
        <v>10</v>
      </c>
      <c r="B21" s="54">
        <v>1133000019</v>
      </c>
      <c r="C21" s="51">
        <v>42916</v>
      </c>
      <c r="D21" s="57">
        <v>42826</v>
      </c>
      <c r="E21" s="50">
        <f t="shared" si="13"/>
        <v>-11895116.57</v>
      </c>
      <c r="F21" s="50">
        <f t="shared" si="13"/>
        <v>1486889.57125</v>
      </c>
      <c r="G21" s="50">
        <v>0</v>
      </c>
      <c r="H21" s="50">
        <f t="shared" si="0"/>
        <v>-237902.33140000002</v>
      </c>
      <c r="I21" s="50">
        <f t="shared" ref="I21:I22" si="14">+E21+F21-G21-H21</f>
        <v>-10170324.667350002</v>
      </c>
      <c r="J21" s="50">
        <f t="shared" si="2"/>
        <v>-12204389.600820001</v>
      </c>
      <c r="K21" s="50"/>
      <c r="L21" s="51">
        <v>42912</v>
      </c>
      <c r="M21" s="51"/>
      <c r="N21" s="52">
        <f t="shared" si="3"/>
        <v>-157</v>
      </c>
      <c r="O21" s="50">
        <f t="shared" si="4"/>
        <v>-12204389.600820001</v>
      </c>
      <c r="P21" s="50">
        <f t="shared" si="5"/>
        <v>-12204389.600820001</v>
      </c>
      <c r="Q21" s="53"/>
      <c r="R21" s="316">
        <f t="shared" si="6"/>
        <v>0</v>
      </c>
      <c r="S21" s="316">
        <f t="shared" si="7"/>
        <v>0</v>
      </c>
      <c r="T21" s="316">
        <f t="shared" si="8"/>
        <v>-12204389.600820001</v>
      </c>
      <c r="U21" s="316">
        <f t="shared" si="9"/>
        <v>0</v>
      </c>
      <c r="V21" s="316">
        <f t="shared" si="10"/>
        <v>0</v>
      </c>
      <c r="X21" s="336"/>
    </row>
    <row r="22" spans="1:24">
      <c r="A22" s="54">
        <v>11</v>
      </c>
      <c r="B22" s="54">
        <v>1133000020</v>
      </c>
      <c r="C22" s="51">
        <v>42916</v>
      </c>
      <c r="D22" s="57">
        <v>42856</v>
      </c>
      <c r="E22" s="50">
        <f t="shared" si="13"/>
        <v>-11358269.310000001</v>
      </c>
      <c r="F22" s="50">
        <f t="shared" si="13"/>
        <v>1419783.6637500001</v>
      </c>
      <c r="G22" s="50">
        <v>0</v>
      </c>
      <c r="H22" s="50">
        <f t="shared" si="0"/>
        <v>-227165.38620000001</v>
      </c>
      <c r="I22" s="50">
        <f t="shared" si="14"/>
        <v>-9711320.2600500006</v>
      </c>
      <c r="J22" s="50">
        <f t="shared" si="2"/>
        <v>-11653584.31206</v>
      </c>
      <c r="K22" s="50"/>
      <c r="L22" s="51">
        <v>43084</v>
      </c>
      <c r="M22" s="51"/>
      <c r="N22" s="52">
        <f t="shared" si="3"/>
        <v>15</v>
      </c>
      <c r="O22" s="50">
        <f t="shared" si="4"/>
        <v>-11653584.31206</v>
      </c>
      <c r="P22" s="50">
        <f t="shared" si="5"/>
        <v>0</v>
      </c>
      <c r="Q22" s="53"/>
      <c r="R22" s="316">
        <f t="shared" si="6"/>
        <v>0</v>
      </c>
      <c r="S22" s="316">
        <f t="shared" si="7"/>
        <v>0</v>
      </c>
      <c r="T22" s="316">
        <f t="shared" si="8"/>
        <v>0</v>
      </c>
      <c r="U22" s="316">
        <f t="shared" si="9"/>
        <v>0</v>
      </c>
      <c r="V22" s="316">
        <f t="shared" si="10"/>
        <v>0</v>
      </c>
      <c r="X22" s="336"/>
    </row>
    <row r="23" spans="1:24" ht="17.25" thickBot="1">
      <c r="A23" s="54"/>
      <c r="B23" s="55"/>
      <c r="C23" s="56"/>
      <c r="D23" s="57"/>
      <c r="E23" s="50"/>
      <c r="F23" s="50"/>
      <c r="G23" s="50"/>
      <c r="H23" s="50"/>
      <c r="I23" s="50"/>
      <c r="J23" s="50"/>
      <c r="K23" s="50"/>
      <c r="L23" s="51"/>
      <c r="M23" s="51"/>
      <c r="N23" s="59"/>
      <c r="O23" s="50"/>
      <c r="P23" s="55"/>
      <c r="Q23" s="53"/>
      <c r="R23" s="316"/>
      <c r="S23" s="316"/>
      <c r="T23" s="316"/>
      <c r="U23" s="316"/>
      <c r="V23" s="316"/>
      <c r="X23" s="336"/>
    </row>
    <row r="24" spans="1:24" s="53" customFormat="1" ht="20.100000000000001" customHeight="1" thickBot="1">
      <c r="A24" s="60"/>
      <c r="B24" s="61" t="s">
        <v>58</v>
      </c>
      <c r="C24" s="61"/>
      <c r="D24" s="61"/>
      <c r="E24" s="62">
        <f t="shared" ref="E24:K24" si="15">SUM(E12:E23)</f>
        <v>30759539.060880907</v>
      </c>
      <c r="F24" s="62">
        <f t="shared" si="15"/>
        <v>-4332442.3759025335</v>
      </c>
      <c r="G24" s="62">
        <f t="shared" si="15"/>
        <v>0</v>
      </c>
      <c r="H24" s="62">
        <f t="shared" si="15"/>
        <v>615190.78121761791</v>
      </c>
      <c r="I24" s="62">
        <f t="shared" si="15"/>
        <v>25811905.903760754</v>
      </c>
      <c r="J24" s="62">
        <f t="shared" si="15"/>
        <v>30974287.084512904</v>
      </c>
      <c r="K24" s="62">
        <f t="shared" si="15"/>
        <v>30974287.084512904</v>
      </c>
      <c r="L24" s="63"/>
      <c r="M24" s="63"/>
      <c r="N24" s="63"/>
      <c r="O24" s="62">
        <f>SUM(O12:O23)</f>
        <v>0</v>
      </c>
      <c r="P24" s="64">
        <f>SUM(P12:P23)</f>
        <v>11653584.312060002</v>
      </c>
      <c r="R24" s="65">
        <f>SUM(R12:R23)</f>
        <v>0</v>
      </c>
      <c r="S24" s="65">
        <f>SUM(S12:S23)</f>
        <v>0</v>
      </c>
      <c r="T24" s="65">
        <f>SUM(T12:T23)</f>
        <v>11653584.312060002</v>
      </c>
      <c r="U24" s="65">
        <f>SUM(U12:U23)</f>
        <v>0</v>
      </c>
      <c r="V24" s="65">
        <f>SUM(V12:V23)</f>
        <v>0</v>
      </c>
      <c r="X24" s="65">
        <f>+SUM(X12:X23)</f>
        <v>-32363.808539373233</v>
      </c>
    </row>
    <row r="25" spans="1:24">
      <c r="A25" s="66"/>
      <c r="B25" s="67"/>
      <c r="C25" s="67"/>
      <c r="D25" s="68" t="s">
        <v>59</v>
      </c>
      <c r="E25" s="69">
        <f>+E24/$M$7</f>
        <v>0.11612776238577145</v>
      </c>
      <c r="F25" s="67"/>
      <c r="G25" s="67"/>
      <c r="H25" s="67">
        <f>+H24*1.2</f>
        <v>738228.9374611415</v>
      </c>
      <c r="I25" s="67"/>
      <c r="J25" s="68" t="s">
        <v>60</v>
      </c>
      <c r="K25" s="69">
        <f>+K24/J24</f>
        <v>1</v>
      </c>
      <c r="L25" s="67"/>
      <c r="M25" s="67"/>
      <c r="N25" s="67"/>
      <c r="O25" s="67"/>
      <c r="P25" s="70"/>
      <c r="Q25" s="53"/>
      <c r="R25" s="53"/>
      <c r="S25" s="53"/>
      <c r="T25" s="53"/>
      <c r="U25" s="53"/>
      <c r="V25" s="53"/>
    </row>
    <row r="26" spans="1:24" ht="17.25" thickBot="1">
      <c r="A26" s="71"/>
      <c r="B26" s="72"/>
      <c r="C26" s="72"/>
      <c r="D26" s="73" t="s">
        <v>61</v>
      </c>
      <c r="E26" s="74">
        <f>+$M$7-$E$24</f>
        <v>234117165.94871908</v>
      </c>
      <c r="F26" s="75">
        <f>+E26/M7</f>
        <v>0.88387223761422862</v>
      </c>
      <c r="G26" s="72"/>
      <c r="H26" s="72"/>
      <c r="I26" s="72"/>
      <c r="J26" s="72"/>
      <c r="K26" s="72"/>
      <c r="L26" s="72"/>
      <c r="M26" s="72"/>
      <c r="N26" s="72"/>
      <c r="O26" s="72"/>
      <c r="P26" s="76"/>
      <c r="Q26" s="53"/>
      <c r="R26" s="53"/>
      <c r="S26" s="53"/>
      <c r="T26" s="53"/>
      <c r="U26" s="53"/>
      <c r="V26" s="53"/>
    </row>
    <row r="27" spans="1:24">
      <c r="A27" s="53"/>
      <c r="B27" s="77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  <c r="N27" s="79"/>
      <c r="O27" s="53"/>
      <c r="P27" s="53"/>
      <c r="Q27" s="53"/>
      <c r="R27" s="53"/>
      <c r="S27" s="53"/>
      <c r="T27" s="53"/>
      <c r="U27" s="53"/>
      <c r="V27" s="53"/>
    </row>
    <row r="28" spans="1:24" ht="21">
      <c r="A28" s="53"/>
      <c r="B28" s="272"/>
      <c r="C28" s="80" t="s">
        <v>62</v>
      </c>
      <c r="D28" s="80"/>
      <c r="E28" s="80"/>
      <c r="F28" s="80"/>
      <c r="G28" s="80"/>
      <c r="H28" s="80"/>
      <c r="I28" s="81"/>
      <c r="J28" s="81"/>
      <c r="K28" s="81"/>
      <c r="L28" s="81"/>
      <c r="M28" s="81"/>
      <c r="N28" s="82"/>
      <c r="O28" s="53"/>
      <c r="P28" s="83"/>
      <c r="Q28" s="53"/>
      <c r="R28" s="53"/>
      <c r="S28" s="53"/>
      <c r="T28" s="53"/>
      <c r="U28" s="53"/>
      <c r="V28" s="53"/>
    </row>
    <row r="29" spans="1:24" ht="17.25" thickBot="1">
      <c r="A29" s="53"/>
      <c r="B29" s="272"/>
      <c r="C29" s="81"/>
      <c r="D29" s="81"/>
      <c r="E29" s="81"/>
      <c r="F29" s="81"/>
      <c r="G29" s="84"/>
      <c r="H29" s="81"/>
      <c r="I29" s="81"/>
      <c r="J29" s="81"/>
      <c r="K29" s="81"/>
      <c r="L29" s="81"/>
      <c r="M29" s="81"/>
      <c r="N29" s="82"/>
      <c r="O29" s="53"/>
      <c r="P29" s="83"/>
      <c r="Q29" s="53"/>
      <c r="R29" s="53"/>
      <c r="S29" s="53"/>
      <c r="T29" s="53"/>
      <c r="U29" s="53"/>
      <c r="V29" s="53"/>
    </row>
    <row r="30" spans="1:24" ht="17.25" thickBot="1">
      <c r="A30" s="53"/>
      <c r="B30" s="272"/>
      <c r="C30" s="357" t="s">
        <v>63</v>
      </c>
      <c r="D30" s="358"/>
      <c r="E30" s="359"/>
      <c r="F30" s="85" t="s">
        <v>64</v>
      </c>
      <c r="G30" s="86">
        <f>+M7</f>
        <v>264876705.00959998</v>
      </c>
      <c r="H30" s="85"/>
      <c r="I30" s="87"/>
      <c r="J30" s="85"/>
      <c r="K30" s="85"/>
      <c r="L30" s="85"/>
      <c r="M30" s="88"/>
      <c r="N30" s="89"/>
      <c r="O30" s="53"/>
      <c r="P30" s="53"/>
      <c r="Q30" s="53"/>
      <c r="R30" s="53"/>
      <c r="S30" s="53"/>
      <c r="T30" s="53"/>
      <c r="U30" s="53"/>
      <c r="V30" s="53"/>
    </row>
    <row r="31" spans="1:24" ht="17.25" thickBot="1">
      <c r="A31" s="53"/>
      <c r="B31" s="272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8"/>
      <c r="N31" s="89"/>
      <c r="O31" s="53"/>
      <c r="P31" s="53"/>
      <c r="Q31" s="53"/>
      <c r="R31" s="53"/>
      <c r="S31" s="53"/>
      <c r="T31" s="53"/>
      <c r="U31" s="53"/>
      <c r="V31" s="53"/>
    </row>
    <row r="32" spans="1:24" ht="17.25" thickBot="1">
      <c r="A32" s="53"/>
      <c r="B32" s="272"/>
      <c r="C32" s="360" t="s">
        <v>65</v>
      </c>
      <c r="D32" s="361"/>
      <c r="E32" s="362"/>
      <c r="F32" s="85" t="s">
        <v>64</v>
      </c>
      <c r="G32" s="90">
        <f>+E24</f>
        <v>30759539.060880907</v>
      </c>
      <c r="H32" s="85"/>
      <c r="I32" s="85"/>
      <c r="J32" s="91">
        <f>G32/G30</f>
        <v>0.11612776238577145</v>
      </c>
      <c r="K32" s="92" t="s">
        <v>66</v>
      </c>
      <c r="L32" s="93"/>
      <c r="M32" s="94"/>
      <c r="N32" s="89"/>
      <c r="O32" s="53"/>
      <c r="P32" s="53"/>
      <c r="Q32" s="53"/>
      <c r="R32" s="53"/>
      <c r="S32" s="53"/>
      <c r="T32" s="53"/>
      <c r="U32" s="53"/>
      <c r="V32" s="53"/>
    </row>
    <row r="33" spans="2:14" ht="17.25" thickBot="1">
      <c r="B33" s="273"/>
      <c r="C33" s="85"/>
      <c r="D33" s="85"/>
      <c r="E33" s="85"/>
      <c r="F33" s="85"/>
      <c r="G33" s="85"/>
      <c r="H33" s="85"/>
      <c r="I33" s="85"/>
      <c r="J33" s="85"/>
      <c r="K33" s="95"/>
      <c r="L33" s="85"/>
      <c r="M33" s="88"/>
      <c r="N33" s="89"/>
    </row>
    <row r="34" spans="2:14" ht="17.25" thickBot="1">
      <c r="B34" s="273"/>
      <c r="C34" s="350" t="s">
        <v>67</v>
      </c>
      <c r="D34" s="351"/>
      <c r="E34" s="352"/>
      <c r="F34" s="85" t="s">
        <v>68</v>
      </c>
      <c r="G34" s="96">
        <f>+K24</f>
        <v>30974287.084512904</v>
      </c>
      <c r="H34" s="85"/>
      <c r="I34" s="85"/>
      <c r="J34" s="97">
        <f>+G34/J24</f>
        <v>1</v>
      </c>
      <c r="K34" s="274" t="s">
        <v>69</v>
      </c>
      <c r="L34" s="98"/>
      <c r="M34" s="99"/>
      <c r="N34" s="89"/>
    </row>
    <row r="35" spans="2:14" ht="17.25" thickBot="1">
      <c r="B35" s="273"/>
      <c r="C35" s="85"/>
      <c r="D35" s="85"/>
      <c r="E35" s="85"/>
      <c r="F35" s="85"/>
      <c r="G35" s="85"/>
      <c r="H35" s="85"/>
      <c r="I35" s="85"/>
      <c r="J35" s="85"/>
      <c r="K35" s="95"/>
      <c r="L35" s="85"/>
      <c r="M35" s="88"/>
      <c r="N35" s="89"/>
    </row>
    <row r="36" spans="2:14" ht="17.25" thickBot="1">
      <c r="B36" s="273"/>
      <c r="C36" s="350" t="s">
        <v>70</v>
      </c>
      <c r="D36" s="351"/>
      <c r="E36" s="352"/>
      <c r="F36" s="85" t="s">
        <v>68</v>
      </c>
      <c r="G36" s="100">
        <f>+O24</f>
        <v>0</v>
      </c>
      <c r="H36" s="85"/>
      <c r="I36" s="85"/>
      <c r="J36" s="101">
        <f>+G36/J24</f>
        <v>0</v>
      </c>
      <c r="K36" s="274" t="s">
        <v>69</v>
      </c>
      <c r="L36" s="102"/>
      <c r="M36" s="103"/>
      <c r="N36" s="89"/>
    </row>
    <row r="37" spans="2:14" ht="17.25" thickBot="1">
      <c r="B37" s="273"/>
      <c r="C37" s="85"/>
      <c r="D37" s="85"/>
      <c r="E37" s="85"/>
      <c r="F37" s="85"/>
      <c r="G37" s="85"/>
      <c r="H37" s="85"/>
      <c r="I37" s="85"/>
      <c r="J37" s="85"/>
      <c r="K37" s="95"/>
      <c r="L37" s="85"/>
      <c r="M37" s="88"/>
      <c r="N37" s="89"/>
    </row>
    <row r="38" spans="2:14" ht="17.25" thickBot="1">
      <c r="B38" s="273"/>
      <c r="C38" s="350" t="s">
        <v>71</v>
      </c>
      <c r="D38" s="351"/>
      <c r="E38" s="352"/>
      <c r="F38" s="85" t="s">
        <v>68</v>
      </c>
      <c r="G38" s="104">
        <f>+P24</f>
        <v>11653584.312060002</v>
      </c>
      <c r="H38" s="85"/>
      <c r="I38" s="85"/>
      <c r="J38" s="105">
        <f>+G38/I24</f>
        <v>0.45148096988692699</v>
      </c>
      <c r="K38" s="274" t="s">
        <v>69</v>
      </c>
      <c r="L38" s="98"/>
      <c r="M38" s="99"/>
      <c r="N38" s="89"/>
    </row>
    <row r="39" spans="2:14" ht="17.25" thickBot="1">
      <c r="B39" s="106"/>
      <c r="C39" s="107"/>
      <c r="D39" s="107"/>
      <c r="E39" s="107"/>
      <c r="F39" s="107"/>
      <c r="G39" s="107"/>
      <c r="H39" s="107"/>
      <c r="I39" s="107"/>
      <c r="J39" s="107"/>
      <c r="K39" s="107"/>
      <c r="L39" s="107"/>
      <c r="M39" s="107"/>
      <c r="N39" s="108"/>
    </row>
    <row r="41" spans="2:14">
      <c r="H41" s="109"/>
    </row>
    <row r="42" spans="2:14">
      <c r="G42" s="110"/>
      <c r="H42" s="110"/>
    </row>
    <row r="43" spans="2:14">
      <c r="G43" s="110"/>
      <c r="H43" s="110"/>
    </row>
    <row r="44" spans="2:14">
      <c r="G44" s="110"/>
      <c r="H44" s="110"/>
    </row>
    <row r="45" spans="2:14">
      <c r="H45" s="109"/>
    </row>
    <row r="46" spans="2:14">
      <c r="H46" s="110"/>
    </row>
    <row r="47" spans="2:14">
      <c r="H47" s="109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C36:E36"/>
    <mergeCell ref="C38:E38"/>
    <mergeCell ref="M7:N7"/>
    <mergeCell ref="M8:N8"/>
    <mergeCell ref="O10:P10"/>
    <mergeCell ref="C30:E30"/>
    <mergeCell ref="C32:E32"/>
    <mergeCell ref="C34:E3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59"/>
  <sheetViews>
    <sheetView workbookViewId="0"/>
  </sheetViews>
  <sheetFormatPr baseColWidth="10" defaultColWidth="11.42578125" defaultRowHeight="16.5"/>
  <cols>
    <col min="1" max="1" width="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3.5703125" style="5" customWidth="1"/>
    <col min="11" max="12" width="13.7109375" style="5" customWidth="1"/>
    <col min="13" max="13" width="11.42578125" style="5"/>
    <col min="14" max="14" width="7" style="5" customWidth="1"/>
    <col min="15" max="15" width="13.42578125" style="5" customWidth="1"/>
    <col min="16" max="16" width="13.5703125" style="5" customWidth="1"/>
    <col min="17" max="17" width="6.140625" style="5" customWidth="1"/>
    <col min="18" max="18" width="8.5703125" style="5" customWidth="1"/>
    <col min="19" max="19" width="8.7109375" style="5" customWidth="1"/>
    <col min="20" max="20" width="8.7109375" style="5" bestFit="1" customWidth="1"/>
    <col min="21" max="21" width="10.5703125" style="5" bestFit="1" customWidth="1"/>
    <col min="22" max="22" width="7.5703125" style="5" bestFit="1" customWidth="1"/>
    <col min="23" max="16384" width="11.42578125" style="5"/>
  </cols>
  <sheetData>
    <row r="1" spans="1:24" ht="21" customHeight="1">
      <c r="A1" s="364" t="s">
        <v>11</v>
      </c>
      <c r="B1" s="365"/>
      <c r="C1" s="368" t="s">
        <v>242</v>
      </c>
      <c r="D1" s="368"/>
      <c r="E1" s="368"/>
      <c r="F1" s="370" t="s">
        <v>243</v>
      </c>
      <c r="G1" s="372" t="s">
        <v>12</v>
      </c>
      <c r="H1" s="373"/>
      <c r="I1" s="373"/>
      <c r="J1" s="374"/>
      <c r="K1" s="1" t="s">
        <v>13</v>
      </c>
      <c r="L1" s="2"/>
      <c r="M1" s="375">
        <v>235568156.80000001</v>
      </c>
      <c r="N1" s="375"/>
      <c r="O1" s="3" t="s">
        <v>14</v>
      </c>
      <c r="P1" s="4"/>
    </row>
    <row r="2" spans="1:24" ht="21">
      <c r="A2" s="366"/>
      <c r="B2" s="367"/>
      <c r="C2" s="369"/>
      <c r="D2" s="369"/>
      <c r="E2" s="369"/>
      <c r="F2" s="371"/>
      <c r="G2" s="6" t="s">
        <v>15</v>
      </c>
      <c r="H2" s="7"/>
      <c r="I2" s="8">
        <v>60</v>
      </c>
      <c r="J2" s="9"/>
      <c r="K2" s="10" t="s">
        <v>16</v>
      </c>
      <c r="L2" s="11"/>
      <c r="M2" s="363">
        <v>4076350.32</v>
      </c>
      <c r="N2" s="363"/>
      <c r="O2" s="11"/>
      <c r="P2" s="12"/>
    </row>
    <row r="3" spans="1:24" ht="16.5" customHeight="1">
      <c r="A3" s="366" t="s">
        <v>17</v>
      </c>
      <c r="B3" s="367"/>
      <c r="C3" s="369" t="s">
        <v>244</v>
      </c>
      <c r="D3" s="369"/>
      <c r="E3" s="369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63">
        <v>5398000</v>
      </c>
      <c r="N3" s="363"/>
      <c r="O3" s="11"/>
      <c r="P3" s="12"/>
    </row>
    <row r="4" spans="1:24">
      <c r="A4" s="366"/>
      <c r="B4" s="367"/>
      <c r="C4" s="369"/>
      <c r="D4" s="369"/>
      <c r="E4" s="369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63">
        <v>0</v>
      </c>
      <c r="N4" s="363"/>
      <c r="O4" s="11"/>
      <c r="P4" s="12"/>
    </row>
    <row r="5" spans="1:24">
      <c r="A5" s="304" t="s">
        <v>24</v>
      </c>
      <c r="B5" s="18"/>
      <c r="C5" s="18" t="s">
        <v>245</v>
      </c>
      <c r="D5" s="19"/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63">
        <v>0</v>
      </c>
      <c r="N5" s="363"/>
      <c r="O5" s="11"/>
      <c r="P5" s="12"/>
    </row>
    <row r="6" spans="1:24">
      <c r="A6" s="304" t="s">
        <v>86</v>
      </c>
      <c r="B6" s="18"/>
      <c r="C6" s="18">
        <v>42025</v>
      </c>
      <c r="D6" s="22"/>
      <c r="E6" s="23"/>
      <c r="F6" s="24"/>
      <c r="G6" s="6"/>
      <c r="H6" s="14" t="s">
        <v>28</v>
      </c>
      <c r="I6" s="25">
        <v>0.1</v>
      </c>
      <c r="J6" s="15"/>
      <c r="K6" s="26"/>
      <c r="L6" s="11"/>
      <c r="M6" s="363"/>
      <c r="N6" s="363"/>
      <c r="O6" s="11"/>
      <c r="P6" s="12"/>
    </row>
    <row r="7" spans="1:24">
      <c r="A7" s="304" t="s">
        <v>87</v>
      </c>
      <c r="B7" s="18"/>
      <c r="C7" s="18"/>
      <c r="D7" s="22" t="s">
        <v>246</v>
      </c>
      <c r="E7" s="23"/>
      <c r="F7" s="24"/>
      <c r="G7" s="6"/>
      <c r="H7" s="14" t="s">
        <v>30</v>
      </c>
      <c r="I7" s="27" t="s">
        <v>247</v>
      </c>
      <c r="J7" s="15" t="s">
        <v>29</v>
      </c>
      <c r="K7" s="28" t="s">
        <v>31</v>
      </c>
      <c r="L7" s="29"/>
      <c r="M7" s="353">
        <f>SUM(M1:M6)</f>
        <v>245042507.12</v>
      </c>
      <c r="N7" s="353"/>
      <c r="O7" s="11"/>
      <c r="P7" s="12"/>
    </row>
    <row r="8" spans="1:24">
      <c r="A8" s="30" t="s">
        <v>88</v>
      </c>
      <c r="B8" s="31"/>
      <c r="C8" s="31"/>
      <c r="D8" s="32" t="s">
        <v>246</v>
      </c>
      <c r="E8" s="33"/>
      <c r="F8" s="34"/>
      <c r="G8" s="35"/>
      <c r="H8" s="36" t="s">
        <v>32</v>
      </c>
      <c r="I8" s="37"/>
      <c r="J8" s="38"/>
      <c r="K8" s="39" t="s">
        <v>33</v>
      </c>
      <c r="L8" s="40"/>
      <c r="M8" s="354">
        <f>+M7*(1+$I$4)</f>
        <v>294051008.54399997</v>
      </c>
      <c r="N8" s="354"/>
      <c r="O8" s="41"/>
      <c r="P8" s="42"/>
    </row>
    <row r="10" spans="1:24">
      <c r="B10" s="5" t="s">
        <v>34</v>
      </c>
      <c r="C10" s="43">
        <v>43069</v>
      </c>
      <c r="E10" s="44"/>
      <c r="F10" s="45">
        <v>0.1</v>
      </c>
      <c r="G10" s="46"/>
      <c r="H10" s="47"/>
      <c r="O10" s="355" t="s">
        <v>35</v>
      </c>
      <c r="P10" s="356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305" t="s">
        <v>52</v>
      </c>
      <c r="S11" s="305" t="s">
        <v>53</v>
      </c>
      <c r="T11" s="305" t="s">
        <v>54</v>
      </c>
      <c r="U11" s="305" t="s">
        <v>55</v>
      </c>
      <c r="V11" s="305" t="s">
        <v>56</v>
      </c>
      <c r="X11" s="305"/>
    </row>
    <row r="12" spans="1:24" ht="19.5" customHeight="1">
      <c r="A12" s="54" t="s">
        <v>28</v>
      </c>
      <c r="B12" s="138">
        <v>1133001588</v>
      </c>
      <c r="C12" s="56">
        <v>42128</v>
      </c>
      <c r="D12" s="57" t="s">
        <v>28</v>
      </c>
      <c r="E12" s="50"/>
      <c r="F12" s="50">
        <v>23556812.100000001</v>
      </c>
      <c r="G12" s="50">
        <f t="shared" ref="G12:G39" si="0">E12*$G$10</f>
        <v>0</v>
      </c>
      <c r="H12" s="50"/>
      <c r="I12" s="50">
        <f t="shared" ref="I12:I42" si="1">+E12+F12-G12-H12</f>
        <v>23556812.100000001</v>
      </c>
      <c r="J12" s="50">
        <f t="shared" ref="J12:J32" si="2">+I12+(I12*$I$4)</f>
        <v>28268174.520000003</v>
      </c>
      <c r="K12" s="50">
        <v>28268174.52</v>
      </c>
      <c r="L12" s="51">
        <v>42137</v>
      </c>
      <c r="M12" s="51">
        <v>42137</v>
      </c>
      <c r="N12" s="52">
        <f t="shared" ref="N12:N42" si="3">-IF(L12=0,,IF(M12=0,($C$10-L12),M12-L12))</f>
        <v>0</v>
      </c>
      <c r="O12" s="50">
        <f t="shared" ref="O12" si="4">+J12-K12</f>
        <v>0</v>
      </c>
      <c r="P12" s="50">
        <f t="shared" ref="P12:P42" si="5">+IF($C$10&lt;L12,0,O12)</f>
        <v>0</v>
      </c>
      <c r="Q12" s="53"/>
      <c r="R12" s="316">
        <f t="shared" ref="R12:R42" si="6">IF(N12&gt;=0,0,(IF(-N12&lt;=60,O12,0)))</f>
        <v>0</v>
      </c>
      <c r="S12" s="316">
        <f t="shared" ref="S12:S42" si="7">IF(N12&gt;=0,0,(IF(N12&gt;=-60,0,IF(-60&gt;=N12,IF(N12&gt;=-120,O12,0)))))</f>
        <v>0</v>
      </c>
      <c r="T12" s="316">
        <f t="shared" ref="T12:T42" si="8">IF(N12&gt;=0,0,(IF(N12&gt;-60,0,IF(-60&gt;=N12,IF(N12&gt;=-120,0,IF(N12&gt;=-180,O12,0))))))</f>
        <v>0</v>
      </c>
      <c r="U12" s="316">
        <f t="shared" ref="U12:U42" si="9">IF(N12&gt;=0,0,(IF(N12&gt;-60,0,IF(-60&gt;=N12,IF(N12&gt;-120,0,IF(N12&gt;=-180,0,IF(N12&gt;=-365,O12,0)))))))</f>
        <v>0</v>
      </c>
      <c r="V12" s="316">
        <f t="shared" ref="V12:V42" si="10">IF(N12&gt;=0,0,IF(365&lt;-N12,O12,0))</f>
        <v>0</v>
      </c>
    </row>
    <row r="13" spans="1:24" ht="19.5" customHeight="1">
      <c r="A13" s="54">
        <v>1</v>
      </c>
      <c r="B13" s="138">
        <v>1133001616</v>
      </c>
      <c r="C13" s="56">
        <v>42138</v>
      </c>
      <c r="D13" s="57">
        <v>42095</v>
      </c>
      <c r="E13" s="50">
        <v>4036296.62</v>
      </c>
      <c r="F13" s="50">
        <f t="shared" ref="F13:F20" si="11">-E13*$F$10</f>
        <v>-403629.66200000001</v>
      </c>
      <c r="G13" s="50">
        <f t="shared" si="0"/>
        <v>0</v>
      </c>
      <c r="H13" s="50"/>
      <c r="I13" s="50">
        <f t="shared" si="1"/>
        <v>3632666.9580000001</v>
      </c>
      <c r="J13" s="50">
        <f t="shared" si="2"/>
        <v>4359200.3496000003</v>
      </c>
      <c r="K13" s="50">
        <v>4359200.3499999996</v>
      </c>
      <c r="L13" s="51">
        <f t="shared" ref="L13:L20" si="12">+C13+45</f>
        <v>42183</v>
      </c>
      <c r="M13" s="51">
        <v>42165</v>
      </c>
      <c r="N13" s="52">
        <f t="shared" si="3"/>
        <v>18</v>
      </c>
      <c r="O13" s="50">
        <f>+J13-K13</f>
        <v>-3.9999932050704956E-4</v>
      </c>
      <c r="P13" s="50">
        <f t="shared" si="5"/>
        <v>-3.9999932050704956E-4</v>
      </c>
      <c r="Q13" s="53"/>
      <c r="R13" s="316">
        <f t="shared" si="6"/>
        <v>0</v>
      </c>
      <c r="S13" s="316">
        <f t="shared" si="7"/>
        <v>0</v>
      </c>
      <c r="T13" s="316">
        <f t="shared" si="8"/>
        <v>0</v>
      </c>
      <c r="U13" s="316">
        <f t="shared" si="9"/>
        <v>0</v>
      </c>
      <c r="V13" s="316">
        <f t="shared" si="10"/>
        <v>0</v>
      </c>
    </row>
    <row r="14" spans="1:24" ht="19.5" customHeight="1">
      <c r="A14" s="54">
        <v>2</v>
      </c>
      <c r="B14" s="143">
        <v>1133001679</v>
      </c>
      <c r="C14" s="56">
        <v>42180</v>
      </c>
      <c r="D14" s="57">
        <v>42125</v>
      </c>
      <c r="E14" s="50">
        <v>18923312.739999998</v>
      </c>
      <c r="F14" s="50">
        <f t="shared" si="11"/>
        <v>-1892331.274</v>
      </c>
      <c r="G14" s="50">
        <f t="shared" si="0"/>
        <v>0</v>
      </c>
      <c r="H14" s="50"/>
      <c r="I14" s="50">
        <f t="shared" si="1"/>
        <v>17030981.465999998</v>
      </c>
      <c r="J14" s="50">
        <f t="shared" si="2"/>
        <v>20437177.759199999</v>
      </c>
      <c r="K14" s="50">
        <v>20437177.760000002</v>
      </c>
      <c r="L14" s="51">
        <f t="shared" si="12"/>
        <v>42225</v>
      </c>
      <c r="M14" s="51">
        <v>42219</v>
      </c>
      <c r="N14" s="52">
        <f t="shared" si="3"/>
        <v>6</v>
      </c>
      <c r="O14" s="50">
        <f t="shared" ref="O14:O42" si="13">+J14-K14</f>
        <v>-8.0000236630439758E-4</v>
      </c>
      <c r="P14" s="50">
        <f t="shared" si="5"/>
        <v>-8.0000236630439758E-4</v>
      </c>
      <c r="Q14" s="53"/>
      <c r="R14" s="316">
        <f t="shared" si="6"/>
        <v>0</v>
      </c>
      <c r="S14" s="316">
        <f t="shared" si="7"/>
        <v>0</v>
      </c>
      <c r="T14" s="316">
        <f t="shared" si="8"/>
        <v>0</v>
      </c>
      <c r="U14" s="316">
        <f t="shared" si="9"/>
        <v>0</v>
      </c>
      <c r="V14" s="316">
        <f t="shared" si="10"/>
        <v>0</v>
      </c>
    </row>
    <row r="15" spans="1:24" ht="19.5" hidden="1" customHeight="1">
      <c r="A15" s="54">
        <v>3</v>
      </c>
      <c r="B15" s="143">
        <v>1133001716</v>
      </c>
      <c r="C15" s="56">
        <v>42200</v>
      </c>
      <c r="D15" s="57">
        <v>42156</v>
      </c>
      <c r="E15" s="50">
        <v>7997449.9900000002</v>
      </c>
      <c r="F15" s="50">
        <f t="shared" si="11"/>
        <v>-799744.99900000007</v>
      </c>
      <c r="G15" s="50">
        <f t="shared" si="0"/>
        <v>0</v>
      </c>
      <c r="H15" s="50"/>
      <c r="I15" s="50">
        <f t="shared" si="1"/>
        <v>7197704.9910000004</v>
      </c>
      <c r="J15" s="50">
        <f t="shared" si="2"/>
        <v>8637245.9891999997</v>
      </c>
      <c r="K15" s="50">
        <v>9096125.0600000005</v>
      </c>
      <c r="L15" s="51">
        <f t="shared" si="12"/>
        <v>42245</v>
      </c>
      <c r="M15" s="51">
        <v>42242</v>
      </c>
      <c r="N15" s="52">
        <f t="shared" si="3"/>
        <v>3</v>
      </c>
      <c r="O15" s="50">
        <f t="shared" si="13"/>
        <v>-458879.0708000008</v>
      </c>
      <c r="P15" s="50">
        <f t="shared" si="5"/>
        <v>-458879.0708000008</v>
      </c>
      <c r="Q15" s="53"/>
      <c r="R15" s="316">
        <f t="shared" si="6"/>
        <v>0</v>
      </c>
      <c r="S15" s="316">
        <f t="shared" si="7"/>
        <v>0</v>
      </c>
      <c r="T15" s="316">
        <f t="shared" si="8"/>
        <v>0</v>
      </c>
      <c r="U15" s="316">
        <f t="shared" si="9"/>
        <v>0</v>
      </c>
      <c r="V15" s="316">
        <f t="shared" si="10"/>
        <v>0</v>
      </c>
    </row>
    <row r="16" spans="1:24" ht="19.5" hidden="1" customHeight="1">
      <c r="A16" s="54">
        <v>4</v>
      </c>
      <c r="B16" s="143">
        <v>1133001793</v>
      </c>
      <c r="C16" s="56">
        <v>42232</v>
      </c>
      <c r="D16" s="57">
        <v>42186</v>
      </c>
      <c r="E16" s="50">
        <v>13281484.689999999</v>
      </c>
      <c r="F16" s="50">
        <f t="shared" si="11"/>
        <v>-1328148.469</v>
      </c>
      <c r="G16" s="50">
        <f t="shared" si="0"/>
        <v>0</v>
      </c>
      <c r="H16" s="50"/>
      <c r="I16" s="50">
        <f t="shared" si="1"/>
        <v>11953336.220999999</v>
      </c>
      <c r="J16" s="50">
        <f t="shared" si="2"/>
        <v>14344003.4652</v>
      </c>
      <c r="K16" s="50">
        <v>13885124.380000001</v>
      </c>
      <c r="L16" s="51">
        <f t="shared" si="12"/>
        <v>42277</v>
      </c>
      <c r="M16" s="51">
        <v>42277</v>
      </c>
      <c r="N16" s="52">
        <f t="shared" si="3"/>
        <v>0</v>
      </c>
      <c r="O16" s="50">
        <f t="shared" si="13"/>
        <v>458879.08519999869</v>
      </c>
      <c r="P16" s="50">
        <f t="shared" si="5"/>
        <v>458879.08519999869</v>
      </c>
      <c r="Q16" s="53"/>
      <c r="R16" s="316">
        <f t="shared" si="6"/>
        <v>0</v>
      </c>
      <c r="S16" s="316">
        <f t="shared" si="7"/>
        <v>0</v>
      </c>
      <c r="T16" s="316">
        <f t="shared" si="8"/>
        <v>0</v>
      </c>
      <c r="U16" s="316">
        <f t="shared" si="9"/>
        <v>0</v>
      </c>
      <c r="V16" s="316">
        <f t="shared" si="10"/>
        <v>0</v>
      </c>
    </row>
    <row r="17" spans="1:22">
      <c r="A17" s="54">
        <v>5</v>
      </c>
      <c r="B17" s="54">
        <v>1133001826</v>
      </c>
      <c r="C17" s="56">
        <v>42247</v>
      </c>
      <c r="D17" s="57">
        <v>42217</v>
      </c>
      <c r="E17" s="50">
        <v>14429480.49</v>
      </c>
      <c r="F17" s="50">
        <f t="shared" si="11"/>
        <v>-1442948.0490000001</v>
      </c>
      <c r="G17" s="50">
        <f t="shared" si="0"/>
        <v>0</v>
      </c>
      <c r="H17" s="50"/>
      <c r="I17" s="50">
        <f t="shared" si="1"/>
        <v>12986532.441</v>
      </c>
      <c r="J17" s="50">
        <f t="shared" si="2"/>
        <v>15583838.929199999</v>
      </c>
      <c r="K17" s="50">
        <v>15583838.93</v>
      </c>
      <c r="L17" s="51">
        <f t="shared" si="12"/>
        <v>42292</v>
      </c>
      <c r="M17" s="51">
        <v>42297</v>
      </c>
      <c r="N17" s="52">
        <f t="shared" si="3"/>
        <v>-5</v>
      </c>
      <c r="O17" s="50">
        <f t="shared" si="13"/>
        <v>-8.0000050365924835E-4</v>
      </c>
      <c r="P17" s="50">
        <f t="shared" si="5"/>
        <v>-8.0000050365924835E-4</v>
      </c>
      <c r="Q17" s="53"/>
      <c r="R17" s="316">
        <f t="shared" si="6"/>
        <v>-8.0000050365924835E-4</v>
      </c>
      <c r="S17" s="316">
        <f t="shared" si="7"/>
        <v>0</v>
      </c>
      <c r="T17" s="316">
        <f t="shared" si="8"/>
        <v>0</v>
      </c>
      <c r="U17" s="316">
        <f t="shared" si="9"/>
        <v>0</v>
      </c>
      <c r="V17" s="316">
        <f t="shared" si="10"/>
        <v>0</v>
      </c>
    </row>
    <row r="18" spans="1:22">
      <c r="A18" s="54">
        <v>6</v>
      </c>
      <c r="B18" s="54">
        <v>1133001891</v>
      </c>
      <c r="C18" s="56">
        <v>42318</v>
      </c>
      <c r="D18" s="57">
        <v>42248</v>
      </c>
      <c r="E18" s="50">
        <f>15855279.55+2170486.34</f>
        <v>18025765.890000001</v>
      </c>
      <c r="F18" s="50">
        <f t="shared" si="11"/>
        <v>-1802576.5890000002</v>
      </c>
      <c r="G18" s="50">
        <f t="shared" si="0"/>
        <v>0</v>
      </c>
      <c r="H18" s="50"/>
      <c r="I18" s="50">
        <f t="shared" si="1"/>
        <v>16223189.301000001</v>
      </c>
      <c r="J18" s="50">
        <f t="shared" si="2"/>
        <v>19467827.161200002</v>
      </c>
      <c r="K18" s="50">
        <f>+J18</f>
        <v>19467827.161200002</v>
      </c>
      <c r="L18" s="51">
        <f t="shared" si="12"/>
        <v>42363</v>
      </c>
      <c r="M18" s="51">
        <v>42333</v>
      </c>
      <c r="N18" s="52">
        <f t="shared" si="3"/>
        <v>30</v>
      </c>
      <c r="O18" s="50">
        <f t="shared" si="13"/>
        <v>0</v>
      </c>
      <c r="P18" s="50">
        <f t="shared" si="5"/>
        <v>0</v>
      </c>
      <c r="Q18" s="53"/>
      <c r="R18" s="316">
        <f t="shared" si="6"/>
        <v>0</v>
      </c>
      <c r="S18" s="316">
        <f t="shared" si="7"/>
        <v>0</v>
      </c>
      <c r="T18" s="316">
        <f t="shared" si="8"/>
        <v>0</v>
      </c>
      <c r="U18" s="316">
        <f t="shared" si="9"/>
        <v>0</v>
      </c>
      <c r="V18" s="316">
        <f t="shared" si="10"/>
        <v>0</v>
      </c>
    </row>
    <row r="19" spans="1:22">
      <c r="A19" s="54">
        <v>7</v>
      </c>
      <c r="B19" s="54">
        <v>1133001979</v>
      </c>
      <c r="C19" s="56">
        <v>42342</v>
      </c>
      <c r="D19" s="57">
        <v>42278</v>
      </c>
      <c r="E19" s="50">
        <f>18105467.67+2478522.7</f>
        <v>20583990.370000001</v>
      </c>
      <c r="F19" s="50">
        <f t="shared" si="11"/>
        <v>-2058399.0370000002</v>
      </c>
      <c r="G19" s="50">
        <f t="shared" si="0"/>
        <v>0</v>
      </c>
      <c r="H19" s="50"/>
      <c r="I19" s="50">
        <f t="shared" si="1"/>
        <v>18525591.333000001</v>
      </c>
      <c r="J19" s="50">
        <f t="shared" si="2"/>
        <v>22230709.599600002</v>
      </c>
      <c r="K19" s="50">
        <v>22230709.600000001</v>
      </c>
      <c r="L19" s="51">
        <f t="shared" si="12"/>
        <v>42387</v>
      </c>
      <c r="M19" s="51">
        <v>42360</v>
      </c>
      <c r="N19" s="52">
        <f t="shared" si="3"/>
        <v>27</v>
      </c>
      <c r="O19" s="50">
        <f t="shared" si="13"/>
        <v>-3.9999932050704956E-4</v>
      </c>
      <c r="P19" s="50">
        <f t="shared" si="5"/>
        <v>-3.9999932050704956E-4</v>
      </c>
      <c r="Q19" s="53"/>
      <c r="R19" s="316">
        <f t="shared" si="6"/>
        <v>0</v>
      </c>
      <c r="S19" s="316">
        <f t="shared" si="7"/>
        <v>0</v>
      </c>
      <c r="T19" s="316">
        <f t="shared" si="8"/>
        <v>0</v>
      </c>
      <c r="U19" s="316">
        <f t="shared" si="9"/>
        <v>0</v>
      </c>
      <c r="V19" s="316">
        <f t="shared" si="10"/>
        <v>0</v>
      </c>
    </row>
    <row r="20" spans="1:22">
      <c r="A20" s="54">
        <v>8</v>
      </c>
      <c r="B20" s="54">
        <v>1133002036</v>
      </c>
      <c r="C20" s="56">
        <v>42369</v>
      </c>
      <c r="D20" s="57">
        <v>42309</v>
      </c>
      <c r="E20" s="50">
        <f>15342980.46+2100355.88</f>
        <v>17443336.34</v>
      </c>
      <c r="F20" s="50">
        <f t="shared" si="11"/>
        <v>-1744333.6340000001</v>
      </c>
      <c r="G20" s="50">
        <f t="shared" si="0"/>
        <v>0</v>
      </c>
      <c r="H20" s="50"/>
      <c r="I20" s="50">
        <f t="shared" si="1"/>
        <v>15699002.706</v>
      </c>
      <c r="J20" s="50">
        <f t="shared" si="2"/>
        <v>18838803.247200001</v>
      </c>
      <c r="K20" s="50">
        <f>+J20</f>
        <v>18838803.247200001</v>
      </c>
      <c r="L20" s="51">
        <f t="shared" si="12"/>
        <v>42414</v>
      </c>
      <c r="M20" s="51">
        <v>42409</v>
      </c>
      <c r="N20" s="52">
        <f t="shared" si="3"/>
        <v>5</v>
      </c>
      <c r="O20" s="50">
        <f t="shared" si="13"/>
        <v>0</v>
      </c>
      <c r="P20" s="50">
        <f t="shared" si="5"/>
        <v>0</v>
      </c>
      <c r="Q20" s="53"/>
      <c r="R20" s="316">
        <f t="shared" si="6"/>
        <v>0</v>
      </c>
      <c r="S20" s="316">
        <f t="shared" si="7"/>
        <v>0</v>
      </c>
      <c r="T20" s="316">
        <f t="shared" si="8"/>
        <v>0</v>
      </c>
      <c r="U20" s="316">
        <f t="shared" si="9"/>
        <v>0</v>
      </c>
      <c r="V20" s="316">
        <f t="shared" si="10"/>
        <v>0</v>
      </c>
    </row>
    <row r="21" spans="1:22">
      <c r="A21" s="54">
        <v>9</v>
      </c>
      <c r="B21" s="54">
        <v>1133002063</v>
      </c>
      <c r="C21" s="56">
        <v>42384</v>
      </c>
      <c r="D21" s="57">
        <v>42368</v>
      </c>
      <c r="E21" s="50">
        <v>5869345.0199999996</v>
      </c>
      <c r="F21" s="50"/>
      <c r="G21" s="50">
        <f t="shared" si="0"/>
        <v>0</v>
      </c>
      <c r="H21" s="50"/>
      <c r="I21" s="50">
        <f t="shared" si="1"/>
        <v>5869345.0199999996</v>
      </c>
      <c r="J21" s="50">
        <f t="shared" si="2"/>
        <v>7043214.0239999993</v>
      </c>
      <c r="K21" s="50"/>
      <c r="L21" s="51">
        <f t="shared" ref="L21:L40" si="14">+D21+60</f>
        <v>42428</v>
      </c>
      <c r="M21" s="51"/>
      <c r="N21" s="52">
        <f t="shared" si="3"/>
        <v>-641</v>
      </c>
      <c r="O21" s="50">
        <f t="shared" si="13"/>
        <v>7043214.0239999993</v>
      </c>
      <c r="P21" s="50">
        <f t="shared" si="5"/>
        <v>7043214.0239999993</v>
      </c>
      <c r="Q21" s="53"/>
      <c r="R21" s="316">
        <f t="shared" si="6"/>
        <v>0</v>
      </c>
      <c r="S21" s="316">
        <f t="shared" si="7"/>
        <v>0</v>
      </c>
      <c r="T21" s="316">
        <f t="shared" si="8"/>
        <v>0</v>
      </c>
      <c r="U21" s="316">
        <f t="shared" si="9"/>
        <v>0</v>
      </c>
      <c r="V21" s="316">
        <f t="shared" si="10"/>
        <v>7043214.0239999993</v>
      </c>
    </row>
    <row r="22" spans="1:22">
      <c r="A22" s="54">
        <v>14</v>
      </c>
      <c r="B22" s="54">
        <v>1133002301</v>
      </c>
      <c r="C22" s="56">
        <v>42461</v>
      </c>
      <c r="D22" s="57">
        <v>42369</v>
      </c>
      <c r="E22" s="50">
        <v>-5869345.0199999996</v>
      </c>
      <c r="F22" s="50"/>
      <c r="G22" s="50">
        <f t="shared" si="0"/>
        <v>0</v>
      </c>
      <c r="H22" s="50"/>
      <c r="I22" s="50">
        <f t="shared" si="1"/>
        <v>-5869345.0199999996</v>
      </c>
      <c r="J22" s="50">
        <f t="shared" si="2"/>
        <v>-7043214.0239999993</v>
      </c>
      <c r="K22" s="50"/>
      <c r="L22" s="51">
        <f t="shared" si="14"/>
        <v>42429</v>
      </c>
      <c r="M22" s="51"/>
      <c r="N22" s="52">
        <f t="shared" si="3"/>
        <v>-640</v>
      </c>
      <c r="O22" s="50">
        <f t="shared" si="13"/>
        <v>-7043214.0239999993</v>
      </c>
      <c r="P22" s="50">
        <f t="shared" si="5"/>
        <v>-7043214.0239999993</v>
      </c>
      <c r="Q22" s="53"/>
      <c r="R22" s="316">
        <f t="shared" si="6"/>
        <v>0</v>
      </c>
      <c r="S22" s="316">
        <f t="shared" si="7"/>
        <v>0</v>
      </c>
      <c r="T22" s="316">
        <f t="shared" si="8"/>
        <v>0</v>
      </c>
      <c r="U22" s="316">
        <f t="shared" si="9"/>
        <v>0</v>
      </c>
      <c r="V22" s="316">
        <f t="shared" si="10"/>
        <v>-7043214.0239999993</v>
      </c>
    </row>
    <row r="23" spans="1:22">
      <c r="A23" s="54">
        <f>+A21+1</f>
        <v>10</v>
      </c>
      <c r="B23" s="54">
        <v>1133002152</v>
      </c>
      <c r="C23" s="56">
        <v>42404</v>
      </c>
      <c r="D23" s="57">
        <v>42368</v>
      </c>
      <c r="E23" s="50">
        <f>10729329.62+1468776.58</f>
        <v>12198106.199999999</v>
      </c>
      <c r="F23" s="50">
        <f t="shared" ref="F23:F26" si="15">-E23*$F$10</f>
        <v>-1219810.6199999999</v>
      </c>
      <c r="G23" s="50">
        <f t="shared" si="0"/>
        <v>0</v>
      </c>
      <c r="H23" s="50"/>
      <c r="I23" s="50">
        <f t="shared" si="1"/>
        <v>10978295.58</v>
      </c>
      <c r="J23" s="50">
        <f t="shared" si="2"/>
        <v>13173954.696</v>
      </c>
      <c r="K23" s="50">
        <v>13173954.699999999</v>
      </c>
      <c r="L23" s="51">
        <f t="shared" si="14"/>
        <v>42428</v>
      </c>
      <c r="M23" s="51">
        <v>42425</v>
      </c>
      <c r="N23" s="52">
        <f t="shared" si="3"/>
        <v>3</v>
      </c>
      <c r="O23" s="50">
        <f t="shared" si="13"/>
        <v>-3.9999987930059433E-3</v>
      </c>
      <c r="P23" s="50">
        <f t="shared" si="5"/>
        <v>-3.9999987930059433E-3</v>
      </c>
      <c r="Q23" s="53"/>
      <c r="R23" s="316">
        <f t="shared" si="6"/>
        <v>0</v>
      </c>
      <c r="S23" s="316">
        <f t="shared" si="7"/>
        <v>0</v>
      </c>
      <c r="T23" s="316">
        <f t="shared" si="8"/>
        <v>0</v>
      </c>
      <c r="U23" s="316">
        <f t="shared" si="9"/>
        <v>0</v>
      </c>
      <c r="V23" s="316">
        <f t="shared" si="10"/>
        <v>0</v>
      </c>
    </row>
    <row r="24" spans="1:22">
      <c r="A24" s="54">
        <f t="shared" ref="A24" si="16">+A23+1</f>
        <v>11</v>
      </c>
      <c r="B24" s="55">
        <v>1133003324</v>
      </c>
      <c r="C24" s="56">
        <v>42439</v>
      </c>
      <c r="D24" s="57">
        <v>42399</v>
      </c>
      <c r="E24" s="50">
        <f>17279495.07+2365452.34</f>
        <v>19644947.41</v>
      </c>
      <c r="F24" s="50">
        <f t="shared" si="15"/>
        <v>-1964494.7410000002</v>
      </c>
      <c r="G24" s="50">
        <f t="shared" si="0"/>
        <v>0</v>
      </c>
      <c r="H24" s="50"/>
      <c r="I24" s="50">
        <f t="shared" si="1"/>
        <v>17680452.669</v>
      </c>
      <c r="J24" s="50">
        <f t="shared" si="2"/>
        <v>21216543.202799998</v>
      </c>
      <c r="K24" s="50">
        <v>21216543.199999999</v>
      </c>
      <c r="L24" s="51">
        <f t="shared" si="14"/>
        <v>42459</v>
      </c>
      <c r="M24" s="51">
        <v>42460</v>
      </c>
      <c r="N24" s="52">
        <f t="shared" si="3"/>
        <v>-1</v>
      </c>
      <c r="O24" s="50">
        <f t="shared" si="13"/>
        <v>2.7999989688396454E-3</v>
      </c>
      <c r="P24" s="50">
        <f t="shared" si="5"/>
        <v>2.7999989688396454E-3</v>
      </c>
      <c r="Q24" s="53"/>
      <c r="R24" s="316">
        <f t="shared" si="6"/>
        <v>2.7999989688396454E-3</v>
      </c>
      <c r="S24" s="316">
        <f t="shared" si="7"/>
        <v>0</v>
      </c>
      <c r="T24" s="316">
        <f t="shared" si="8"/>
        <v>0</v>
      </c>
      <c r="U24" s="316">
        <f t="shared" si="9"/>
        <v>0</v>
      </c>
      <c r="V24" s="316">
        <f t="shared" si="10"/>
        <v>0</v>
      </c>
    </row>
    <row r="25" spans="1:22">
      <c r="A25" s="54">
        <f>+A4+1</f>
        <v>1</v>
      </c>
      <c r="B25" s="55">
        <v>1133002281</v>
      </c>
      <c r="C25" s="56">
        <v>42460</v>
      </c>
      <c r="D25" s="57">
        <v>42428</v>
      </c>
      <c r="E25" s="50">
        <f>8520598.34+1166415.41</f>
        <v>9687013.75</v>
      </c>
      <c r="F25" s="50">
        <f t="shared" si="15"/>
        <v>-968701.375</v>
      </c>
      <c r="G25" s="50">
        <f t="shared" si="0"/>
        <v>0</v>
      </c>
      <c r="H25" s="50"/>
      <c r="I25" s="50">
        <f t="shared" si="1"/>
        <v>8718312.375</v>
      </c>
      <c r="J25" s="50">
        <f t="shared" si="2"/>
        <v>10461974.85</v>
      </c>
      <c r="K25" s="50">
        <v>10461974.84</v>
      </c>
      <c r="L25" s="51">
        <f t="shared" si="14"/>
        <v>42488</v>
      </c>
      <c r="M25" s="51">
        <v>42488</v>
      </c>
      <c r="N25" s="52">
        <f t="shared" si="3"/>
        <v>0</v>
      </c>
      <c r="O25" s="50">
        <f t="shared" si="13"/>
        <v>9.9999997764825821E-3</v>
      </c>
      <c r="P25" s="50">
        <f t="shared" si="5"/>
        <v>9.9999997764825821E-3</v>
      </c>
      <c r="Q25" s="53"/>
      <c r="R25" s="316">
        <f t="shared" si="6"/>
        <v>0</v>
      </c>
      <c r="S25" s="316">
        <f t="shared" si="7"/>
        <v>0</v>
      </c>
      <c r="T25" s="316">
        <f t="shared" si="8"/>
        <v>0</v>
      </c>
      <c r="U25" s="316">
        <f t="shared" si="9"/>
        <v>0</v>
      </c>
      <c r="V25" s="316">
        <f t="shared" si="10"/>
        <v>0</v>
      </c>
    </row>
    <row r="26" spans="1:22">
      <c r="A26" s="54">
        <v>15</v>
      </c>
      <c r="B26" s="55">
        <v>1133002329</v>
      </c>
      <c r="C26" s="56">
        <v>42501</v>
      </c>
      <c r="D26" s="57">
        <v>42460</v>
      </c>
      <c r="E26" s="50">
        <f>12137753.94+1661580.87</f>
        <v>13799334.809999999</v>
      </c>
      <c r="F26" s="50">
        <f t="shared" si="15"/>
        <v>-1379933.4809999999</v>
      </c>
      <c r="G26" s="50">
        <f t="shared" si="0"/>
        <v>0</v>
      </c>
      <c r="H26" s="50"/>
      <c r="I26" s="50">
        <f t="shared" si="1"/>
        <v>12419401.328999998</v>
      </c>
      <c r="J26" s="50">
        <f t="shared" si="2"/>
        <v>14903281.594799997</v>
      </c>
      <c r="K26" s="50">
        <v>14903281.6</v>
      </c>
      <c r="L26" s="51">
        <f t="shared" si="14"/>
        <v>42520</v>
      </c>
      <c r="M26" s="51">
        <v>42520</v>
      </c>
      <c r="N26" s="52">
        <f t="shared" si="3"/>
        <v>0</v>
      </c>
      <c r="O26" s="50">
        <f t="shared" si="13"/>
        <v>-5.2000023424625397E-3</v>
      </c>
      <c r="P26" s="50">
        <f t="shared" si="5"/>
        <v>-5.2000023424625397E-3</v>
      </c>
      <c r="Q26" s="53"/>
      <c r="R26" s="316">
        <f t="shared" si="6"/>
        <v>0</v>
      </c>
      <c r="S26" s="316">
        <f t="shared" si="7"/>
        <v>0</v>
      </c>
      <c r="T26" s="316">
        <f t="shared" si="8"/>
        <v>0</v>
      </c>
      <c r="U26" s="316">
        <f t="shared" si="9"/>
        <v>0</v>
      </c>
      <c r="V26" s="316">
        <f t="shared" si="10"/>
        <v>0</v>
      </c>
    </row>
    <row r="27" spans="1:22">
      <c r="A27" s="54" t="s">
        <v>250</v>
      </c>
      <c r="B27" s="55">
        <v>1133002371</v>
      </c>
      <c r="C27" s="56">
        <v>42531</v>
      </c>
      <c r="D27" s="57">
        <v>42521</v>
      </c>
      <c r="E27" s="50">
        <v>1559950</v>
      </c>
      <c r="F27" s="50"/>
      <c r="G27" s="50">
        <f t="shared" si="0"/>
        <v>0</v>
      </c>
      <c r="H27" s="50"/>
      <c r="I27" s="50">
        <f t="shared" si="1"/>
        <v>1559950</v>
      </c>
      <c r="J27" s="50">
        <f t="shared" si="2"/>
        <v>1871940</v>
      </c>
      <c r="K27" s="50"/>
      <c r="L27" s="51">
        <f t="shared" si="14"/>
        <v>42581</v>
      </c>
      <c r="M27" s="51">
        <v>42520</v>
      </c>
      <c r="N27" s="52">
        <f t="shared" si="3"/>
        <v>61</v>
      </c>
      <c r="O27" s="50">
        <f t="shared" si="13"/>
        <v>1871940</v>
      </c>
      <c r="P27" s="50">
        <f t="shared" si="5"/>
        <v>1871940</v>
      </c>
      <c r="Q27" s="53"/>
      <c r="R27" s="316">
        <f t="shared" si="6"/>
        <v>0</v>
      </c>
      <c r="S27" s="316">
        <f t="shared" si="7"/>
        <v>0</v>
      </c>
      <c r="T27" s="316">
        <f t="shared" si="8"/>
        <v>0</v>
      </c>
      <c r="U27" s="316">
        <f t="shared" si="9"/>
        <v>0</v>
      </c>
      <c r="V27" s="316">
        <f t="shared" si="10"/>
        <v>0</v>
      </c>
    </row>
    <row r="28" spans="1:22">
      <c r="A28" s="54" t="s">
        <v>251</v>
      </c>
      <c r="B28" s="55">
        <v>1133002837</v>
      </c>
      <c r="C28" s="56">
        <v>42790</v>
      </c>
      <c r="D28" s="57">
        <v>42767</v>
      </c>
      <c r="E28" s="50">
        <v>-1559950</v>
      </c>
      <c r="F28" s="50"/>
      <c r="G28" s="50">
        <f t="shared" si="0"/>
        <v>0</v>
      </c>
      <c r="H28" s="50"/>
      <c r="I28" s="50">
        <f t="shared" si="1"/>
        <v>-1559950</v>
      </c>
      <c r="J28" s="50">
        <f t="shared" si="2"/>
        <v>-1871940</v>
      </c>
      <c r="K28" s="50"/>
      <c r="L28" s="51">
        <f>+L27</f>
        <v>42581</v>
      </c>
      <c r="M28" s="51">
        <v>42520</v>
      </c>
      <c r="N28" s="52">
        <f t="shared" si="3"/>
        <v>61</v>
      </c>
      <c r="O28" s="50">
        <f t="shared" si="13"/>
        <v>-1871940</v>
      </c>
      <c r="P28" s="50">
        <f t="shared" si="5"/>
        <v>-1871940</v>
      </c>
      <c r="Q28" s="53"/>
      <c r="R28" s="316">
        <f t="shared" si="6"/>
        <v>0</v>
      </c>
      <c r="S28" s="316">
        <f t="shared" si="7"/>
        <v>0</v>
      </c>
      <c r="T28" s="316">
        <f t="shared" si="8"/>
        <v>0</v>
      </c>
      <c r="U28" s="316">
        <f t="shared" si="9"/>
        <v>0</v>
      </c>
      <c r="V28" s="316">
        <f t="shared" si="10"/>
        <v>0</v>
      </c>
    </row>
    <row r="29" spans="1:22">
      <c r="A29" s="54">
        <v>17</v>
      </c>
      <c r="B29" s="55">
        <v>1133002374</v>
      </c>
      <c r="C29" s="56">
        <v>42531</v>
      </c>
      <c r="D29" s="57">
        <v>42490</v>
      </c>
      <c r="E29" s="50">
        <f>7478137+1023709.11</f>
        <v>8501846.1099999994</v>
      </c>
      <c r="F29" s="50">
        <f t="shared" ref="F29:F34" si="17">-E29*$F$10</f>
        <v>-850184.61100000003</v>
      </c>
      <c r="G29" s="50">
        <f t="shared" si="0"/>
        <v>0</v>
      </c>
      <c r="H29" s="50"/>
      <c r="I29" s="50">
        <f t="shared" si="1"/>
        <v>7651661.4989999998</v>
      </c>
      <c r="J29" s="50">
        <f t="shared" si="2"/>
        <v>9181993.7987999991</v>
      </c>
      <c r="K29" s="50">
        <v>9181993.8000000007</v>
      </c>
      <c r="L29" s="51">
        <f t="shared" si="14"/>
        <v>42550</v>
      </c>
      <c r="M29" s="51">
        <v>42549</v>
      </c>
      <c r="N29" s="52">
        <f t="shared" si="3"/>
        <v>1</v>
      </c>
      <c r="O29" s="50">
        <f t="shared" si="13"/>
        <v>-1.2000016868114471E-3</v>
      </c>
      <c r="P29" s="50">
        <f t="shared" si="5"/>
        <v>-1.2000016868114471E-3</v>
      </c>
      <c r="Q29" s="53"/>
      <c r="R29" s="316">
        <f t="shared" si="6"/>
        <v>0</v>
      </c>
      <c r="S29" s="316">
        <f t="shared" si="7"/>
        <v>0</v>
      </c>
      <c r="T29" s="316">
        <f t="shared" si="8"/>
        <v>0</v>
      </c>
      <c r="U29" s="316">
        <f t="shared" si="9"/>
        <v>0</v>
      </c>
      <c r="V29" s="316">
        <f t="shared" si="10"/>
        <v>0</v>
      </c>
    </row>
    <row r="30" spans="1:22">
      <c r="A30" s="54">
        <v>18</v>
      </c>
      <c r="B30" s="55">
        <v>1133002409</v>
      </c>
      <c r="C30" s="56">
        <v>42562</v>
      </c>
      <c r="D30" s="57">
        <v>42521</v>
      </c>
      <c r="E30" s="50">
        <v>7123503.5199999996</v>
      </c>
      <c r="F30" s="50">
        <f t="shared" si="17"/>
        <v>-712350.35199999996</v>
      </c>
      <c r="G30" s="50">
        <f t="shared" si="0"/>
        <v>0</v>
      </c>
      <c r="H30" s="50"/>
      <c r="I30" s="50">
        <f t="shared" si="1"/>
        <v>6411153.1679999996</v>
      </c>
      <c r="J30" s="50">
        <f t="shared" si="2"/>
        <v>7693383.8015999999</v>
      </c>
      <c r="K30" s="50">
        <v>7693383.7999999998</v>
      </c>
      <c r="L30" s="51">
        <f t="shared" si="14"/>
        <v>42581</v>
      </c>
      <c r="M30" s="51">
        <v>42592</v>
      </c>
      <c r="N30" s="52">
        <f t="shared" si="3"/>
        <v>-11</v>
      </c>
      <c r="O30" s="50">
        <f t="shared" si="13"/>
        <v>1.6000000759959221E-3</v>
      </c>
      <c r="P30" s="50">
        <f t="shared" si="5"/>
        <v>1.6000000759959221E-3</v>
      </c>
      <c r="Q30" s="53"/>
      <c r="R30" s="316">
        <f t="shared" si="6"/>
        <v>1.6000000759959221E-3</v>
      </c>
      <c r="S30" s="316">
        <f t="shared" si="7"/>
        <v>0</v>
      </c>
      <c r="T30" s="316">
        <f t="shared" si="8"/>
        <v>0</v>
      </c>
      <c r="U30" s="316">
        <f t="shared" si="9"/>
        <v>0</v>
      </c>
      <c r="V30" s="316">
        <f t="shared" si="10"/>
        <v>0</v>
      </c>
    </row>
    <row r="31" spans="1:22">
      <c r="A31" s="54">
        <v>19</v>
      </c>
      <c r="B31" s="55">
        <v>1133002448</v>
      </c>
      <c r="C31" s="56">
        <v>42594</v>
      </c>
      <c r="D31" s="57">
        <v>42551</v>
      </c>
      <c r="E31" s="50">
        <f>7203443.76+986105.37</f>
        <v>8189549.1299999999</v>
      </c>
      <c r="F31" s="50">
        <f t="shared" si="17"/>
        <v>-818954.91300000006</v>
      </c>
      <c r="G31" s="50">
        <f t="shared" si="0"/>
        <v>0</v>
      </c>
      <c r="H31" s="50"/>
      <c r="I31" s="50">
        <f t="shared" si="1"/>
        <v>7370594.2170000002</v>
      </c>
      <c r="J31" s="50">
        <f t="shared" si="2"/>
        <v>8844713.0603999998</v>
      </c>
      <c r="K31" s="50">
        <v>8844713.0600000005</v>
      </c>
      <c r="L31" s="51">
        <f t="shared" si="14"/>
        <v>42611</v>
      </c>
      <c r="M31" s="51">
        <v>42612</v>
      </c>
      <c r="N31" s="52">
        <f t="shared" si="3"/>
        <v>-1</v>
      </c>
      <c r="O31" s="50">
        <f t="shared" si="13"/>
        <v>3.9999932050704956E-4</v>
      </c>
      <c r="P31" s="50">
        <f t="shared" si="5"/>
        <v>3.9999932050704956E-4</v>
      </c>
      <c r="Q31" s="53"/>
      <c r="R31" s="316">
        <f t="shared" si="6"/>
        <v>3.9999932050704956E-4</v>
      </c>
      <c r="S31" s="316">
        <f t="shared" si="7"/>
        <v>0</v>
      </c>
      <c r="T31" s="316">
        <f t="shared" si="8"/>
        <v>0</v>
      </c>
      <c r="U31" s="316">
        <f t="shared" si="9"/>
        <v>0</v>
      </c>
      <c r="V31" s="316">
        <f t="shared" si="10"/>
        <v>0</v>
      </c>
    </row>
    <row r="32" spans="1:22">
      <c r="A32" s="54">
        <v>20</v>
      </c>
      <c r="B32" s="55">
        <v>1133002467</v>
      </c>
      <c r="C32" s="56">
        <v>42613</v>
      </c>
      <c r="D32" s="57">
        <v>42582</v>
      </c>
      <c r="E32" s="50">
        <f>4936500.54+675775.35</f>
        <v>5612275.8899999997</v>
      </c>
      <c r="F32" s="50">
        <f t="shared" si="17"/>
        <v>-561227.58900000004</v>
      </c>
      <c r="G32" s="50">
        <f t="shared" si="0"/>
        <v>0</v>
      </c>
      <c r="H32" s="50"/>
      <c r="I32" s="50">
        <f t="shared" si="1"/>
        <v>5051048.301</v>
      </c>
      <c r="J32" s="50">
        <f t="shared" si="2"/>
        <v>6061257.9611999998</v>
      </c>
      <c r="K32" s="50">
        <v>6061257.96</v>
      </c>
      <c r="L32" s="51">
        <f t="shared" si="14"/>
        <v>42642</v>
      </c>
      <c r="M32" s="51">
        <v>42641</v>
      </c>
      <c r="N32" s="52">
        <f t="shared" si="3"/>
        <v>1</v>
      </c>
      <c r="O32" s="50">
        <f t="shared" si="13"/>
        <v>1.1999998241662979E-3</v>
      </c>
      <c r="P32" s="50">
        <f t="shared" si="5"/>
        <v>1.1999998241662979E-3</v>
      </c>
      <c r="Q32" s="53"/>
      <c r="R32" s="316">
        <f t="shared" si="6"/>
        <v>0</v>
      </c>
      <c r="S32" s="316">
        <f t="shared" si="7"/>
        <v>0</v>
      </c>
      <c r="T32" s="316">
        <f t="shared" si="8"/>
        <v>0</v>
      </c>
      <c r="U32" s="316">
        <f t="shared" si="9"/>
        <v>0</v>
      </c>
      <c r="V32" s="316">
        <f t="shared" si="10"/>
        <v>0</v>
      </c>
    </row>
    <row r="33" spans="1:24" ht="19.5" customHeight="1">
      <c r="A33" s="54">
        <v>21</v>
      </c>
      <c r="B33" s="55">
        <v>1133002513</v>
      </c>
      <c r="C33" s="56">
        <v>42649</v>
      </c>
      <c r="D33" s="57">
        <v>42613</v>
      </c>
      <c r="E33" s="50">
        <f>7521253.11+1029611.43</f>
        <v>8550864.540000001</v>
      </c>
      <c r="F33" s="50">
        <f t="shared" si="17"/>
        <v>-855086.45400000014</v>
      </c>
      <c r="G33" s="50">
        <f t="shared" si="0"/>
        <v>0</v>
      </c>
      <c r="H33" s="50"/>
      <c r="I33" s="50">
        <f t="shared" si="1"/>
        <v>7695778.0860000011</v>
      </c>
      <c r="J33" s="50">
        <f>+I33+(I33*$I$4)</f>
        <v>9234933.7032000013</v>
      </c>
      <c r="K33" s="50">
        <v>9234933.7100000009</v>
      </c>
      <c r="L33" s="51">
        <f t="shared" si="14"/>
        <v>42673</v>
      </c>
      <c r="M33" s="51">
        <v>42674</v>
      </c>
      <c r="N33" s="52">
        <f t="shared" si="3"/>
        <v>-1</v>
      </c>
      <c r="O33" s="50">
        <f t="shared" si="13"/>
        <v>-6.7999996244907379E-3</v>
      </c>
      <c r="P33" s="50">
        <f t="shared" si="5"/>
        <v>-6.7999996244907379E-3</v>
      </c>
      <c r="Q33" s="53"/>
      <c r="R33" s="316">
        <f t="shared" si="6"/>
        <v>-6.7999996244907379E-3</v>
      </c>
      <c r="S33" s="316">
        <f t="shared" si="7"/>
        <v>0</v>
      </c>
      <c r="T33" s="316">
        <f t="shared" si="8"/>
        <v>0</v>
      </c>
      <c r="U33" s="316">
        <f t="shared" si="9"/>
        <v>0</v>
      </c>
      <c r="V33" s="316">
        <f t="shared" si="10"/>
        <v>0</v>
      </c>
    </row>
    <row r="34" spans="1:24" ht="19.5" customHeight="1">
      <c r="A34" s="54">
        <v>22</v>
      </c>
      <c r="B34" s="55">
        <v>1133002549</v>
      </c>
      <c r="C34" s="56">
        <v>42674</v>
      </c>
      <c r="D34" s="57">
        <v>42643</v>
      </c>
      <c r="E34" s="50">
        <v>3765475.19</v>
      </c>
      <c r="F34" s="50">
        <f t="shared" si="17"/>
        <v>-376547.51900000003</v>
      </c>
      <c r="G34" s="50">
        <f t="shared" si="0"/>
        <v>0</v>
      </c>
      <c r="H34" s="50"/>
      <c r="I34" s="50">
        <f t="shared" si="1"/>
        <v>3388927.6710000001</v>
      </c>
      <c r="J34" s="50">
        <f>+I34+(I34*$I$4)</f>
        <v>4066713.2052000002</v>
      </c>
      <c r="K34" s="50">
        <v>4066713.2</v>
      </c>
      <c r="L34" s="51">
        <f t="shared" si="14"/>
        <v>42703</v>
      </c>
      <c r="M34" s="51">
        <v>42704</v>
      </c>
      <c r="N34" s="52">
        <f t="shared" si="3"/>
        <v>-1</v>
      </c>
      <c r="O34" s="50">
        <f t="shared" si="13"/>
        <v>5.2000000141561031E-3</v>
      </c>
      <c r="P34" s="50">
        <f t="shared" si="5"/>
        <v>5.2000000141561031E-3</v>
      </c>
      <c r="Q34" s="53"/>
      <c r="R34" s="316">
        <f t="shared" si="6"/>
        <v>5.2000000141561031E-3</v>
      </c>
      <c r="S34" s="316">
        <f t="shared" si="7"/>
        <v>0</v>
      </c>
      <c r="T34" s="316">
        <f t="shared" si="8"/>
        <v>0</v>
      </c>
      <c r="U34" s="316">
        <f t="shared" si="9"/>
        <v>0</v>
      </c>
      <c r="V34" s="316">
        <f t="shared" si="10"/>
        <v>0</v>
      </c>
    </row>
    <row r="35" spans="1:24" ht="19.5" customHeight="1">
      <c r="A35" s="54">
        <v>23</v>
      </c>
      <c r="B35" s="55">
        <v>1133002666</v>
      </c>
      <c r="C35" s="56">
        <v>42718</v>
      </c>
      <c r="D35" s="57">
        <v>42674</v>
      </c>
      <c r="E35" s="50">
        <f>6561714.54+898256.74-494370-52000</f>
        <v>6913601.2800000003</v>
      </c>
      <c r="F35" s="50">
        <v>-745997.13</v>
      </c>
      <c r="G35" s="50">
        <f t="shared" si="0"/>
        <v>0</v>
      </c>
      <c r="H35" s="50"/>
      <c r="I35" s="50">
        <f t="shared" si="1"/>
        <v>6167604.1500000004</v>
      </c>
      <c r="J35" s="50">
        <f t="shared" ref="J35:J42" si="18">+I35+(I35*$I$4)</f>
        <v>7401124.9800000004</v>
      </c>
      <c r="K35" s="50">
        <v>7401124.9800000004</v>
      </c>
      <c r="L35" s="51">
        <f t="shared" si="14"/>
        <v>42734</v>
      </c>
      <c r="M35" s="51">
        <v>42739</v>
      </c>
      <c r="N35" s="52">
        <f t="shared" si="3"/>
        <v>-5</v>
      </c>
      <c r="O35" s="50">
        <f t="shared" si="13"/>
        <v>0</v>
      </c>
      <c r="P35" s="50">
        <f t="shared" si="5"/>
        <v>0</v>
      </c>
      <c r="Q35" s="53"/>
      <c r="R35" s="316">
        <f t="shared" si="6"/>
        <v>0</v>
      </c>
      <c r="S35" s="316">
        <f t="shared" si="7"/>
        <v>0</v>
      </c>
      <c r="T35" s="316">
        <f t="shared" si="8"/>
        <v>0</v>
      </c>
      <c r="U35" s="316">
        <f t="shared" si="9"/>
        <v>0</v>
      </c>
      <c r="V35" s="316">
        <f t="shared" si="10"/>
        <v>0</v>
      </c>
    </row>
    <row r="36" spans="1:24" ht="19.5" customHeight="1">
      <c r="A36" s="54">
        <v>24</v>
      </c>
      <c r="B36" s="55">
        <v>1133002735</v>
      </c>
      <c r="C36" s="56">
        <v>42727</v>
      </c>
      <c r="D36" s="57">
        <v>42704</v>
      </c>
      <c r="E36" s="50">
        <f>3920322.57+536667.09</f>
        <v>4456989.66</v>
      </c>
      <c r="F36" s="50">
        <f t="shared" ref="F36" si="19">-E36*$F$10</f>
        <v>-445698.96600000001</v>
      </c>
      <c r="G36" s="50">
        <f t="shared" si="0"/>
        <v>0</v>
      </c>
      <c r="H36" s="50"/>
      <c r="I36" s="50">
        <f t="shared" si="1"/>
        <v>4011290.6940000001</v>
      </c>
      <c r="J36" s="50">
        <f t="shared" si="18"/>
        <v>4813548.8328</v>
      </c>
      <c r="K36" s="50">
        <v>4813548.83</v>
      </c>
      <c r="L36" s="51">
        <f t="shared" si="14"/>
        <v>42764</v>
      </c>
      <c r="M36" s="51">
        <v>42765</v>
      </c>
      <c r="N36" s="52">
        <f t="shared" si="3"/>
        <v>-1</v>
      </c>
      <c r="O36" s="50">
        <f t="shared" si="13"/>
        <v>2.79999990016222E-3</v>
      </c>
      <c r="P36" s="50">
        <f t="shared" si="5"/>
        <v>2.79999990016222E-3</v>
      </c>
      <c r="Q36" s="53"/>
      <c r="R36" s="316">
        <f t="shared" si="6"/>
        <v>2.79999990016222E-3</v>
      </c>
      <c r="S36" s="316">
        <f t="shared" si="7"/>
        <v>0</v>
      </c>
      <c r="T36" s="316">
        <f t="shared" si="8"/>
        <v>0</v>
      </c>
      <c r="U36" s="316">
        <f t="shared" si="9"/>
        <v>0</v>
      </c>
      <c r="V36" s="316">
        <f t="shared" si="10"/>
        <v>0</v>
      </c>
    </row>
    <row r="37" spans="1:24" ht="19.5" customHeight="1">
      <c r="A37" s="54">
        <v>25</v>
      </c>
      <c r="B37" s="55">
        <v>1133002824</v>
      </c>
      <c r="C37" s="56">
        <v>42779</v>
      </c>
      <c r="D37" s="57">
        <v>42735</v>
      </c>
      <c r="E37" s="50">
        <f>2813211.43+385110.64-12690</f>
        <v>3185632.0700000003</v>
      </c>
      <c r="F37" s="50">
        <v>-319832.21000000002</v>
      </c>
      <c r="G37" s="50">
        <f t="shared" si="0"/>
        <v>0</v>
      </c>
      <c r="H37" s="50"/>
      <c r="I37" s="50">
        <f t="shared" si="1"/>
        <v>2865799.8600000003</v>
      </c>
      <c r="J37" s="50">
        <f t="shared" si="18"/>
        <v>3438959.8320000004</v>
      </c>
      <c r="K37" s="50">
        <v>3438959.83</v>
      </c>
      <c r="L37" s="51">
        <f t="shared" si="14"/>
        <v>42795</v>
      </c>
      <c r="M37" s="51">
        <v>42793</v>
      </c>
      <c r="N37" s="52">
        <f t="shared" si="3"/>
        <v>2</v>
      </c>
      <c r="O37" s="50">
        <f t="shared" si="13"/>
        <v>2.0000003278255463E-3</v>
      </c>
      <c r="P37" s="50">
        <f t="shared" si="5"/>
        <v>2.0000003278255463E-3</v>
      </c>
      <c r="Q37" s="53"/>
      <c r="R37" s="316">
        <f t="shared" si="6"/>
        <v>0</v>
      </c>
      <c r="S37" s="316">
        <f t="shared" si="7"/>
        <v>0</v>
      </c>
      <c r="T37" s="316">
        <f t="shared" si="8"/>
        <v>0</v>
      </c>
      <c r="U37" s="316">
        <f t="shared" si="9"/>
        <v>0</v>
      </c>
      <c r="V37" s="316">
        <f t="shared" si="10"/>
        <v>0</v>
      </c>
    </row>
    <row r="38" spans="1:24" ht="19.5" customHeight="1">
      <c r="A38" s="54">
        <v>26</v>
      </c>
      <c r="B38" s="55">
        <v>1133002873</v>
      </c>
      <c r="C38" s="56">
        <v>42807</v>
      </c>
      <c r="D38" s="57">
        <v>42766</v>
      </c>
      <c r="E38" s="50">
        <f>3352087.44+458879.33-12000</f>
        <v>3798966.77</v>
      </c>
      <c r="F38" s="50">
        <v>-381096.68</v>
      </c>
      <c r="G38" s="50">
        <f t="shared" si="0"/>
        <v>0</v>
      </c>
      <c r="H38" s="50"/>
      <c r="I38" s="50">
        <f t="shared" si="1"/>
        <v>3417870.09</v>
      </c>
      <c r="J38" s="50">
        <f t="shared" si="18"/>
        <v>4101444.108</v>
      </c>
      <c r="K38" s="50">
        <v>4101444.11</v>
      </c>
      <c r="L38" s="51">
        <f t="shared" si="14"/>
        <v>42826</v>
      </c>
      <c r="M38" s="51">
        <v>42818</v>
      </c>
      <c r="N38" s="52">
        <f t="shared" si="3"/>
        <v>8</v>
      </c>
      <c r="O38" s="50">
        <f t="shared" si="13"/>
        <v>-1.999999862164259E-3</v>
      </c>
      <c r="P38" s="50">
        <f t="shared" si="5"/>
        <v>-1.999999862164259E-3</v>
      </c>
      <c r="Q38" s="53"/>
      <c r="R38" s="316">
        <f t="shared" si="6"/>
        <v>0</v>
      </c>
      <c r="S38" s="316">
        <f t="shared" si="7"/>
        <v>0</v>
      </c>
      <c r="T38" s="316">
        <f t="shared" si="8"/>
        <v>0</v>
      </c>
      <c r="U38" s="316">
        <f t="shared" si="9"/>
        <v>0</v>
      </c>
      <c r="V38" s="316">
        <f t="shared" si="10"/>
        <v>0</v>
      </c>
    </row>
    <row r="39" spans="1:24" ht="19.5" customHeight="1">
      <c r="A39" s="54">
        <v>27</v>
      </c>
      <c r="B39" s="55">
        <v>1133003053</v>
      </c>
      <c r="C39" s="56">
        <v>42944</v>
      </c>
      <c r="D39" s="57">
        <v>42941</v>
      </c>
      <c r="E39" s="50">
        <f>4264103.71+583728.52-4000</f>
        <v>4843832.2300000004</v>
      </c>
      <c r="F39" s="50">
        <v>-484783.75</v>
      </c>
      <c r="G39" s="50">
        <f t="shared" si="0"/>
        <v>0</v>
      </c>
      <c r="H39" s="50"/>
      <c r="I39" s="50">
        <f t="shared" si="1"/>
        <v>4359048.4800000004</v>
      </c>
      <c r="J39" s="50">
        <f t="shared" si="18"/>
        <v>5230858.1760000009</v>
      </c>
      <c r="K39" s="50"/>
      <c r="L39" s="51">
        <f t="shared" si="14"/>
        <v>43001</v>
      </c>
      <c r="M39" s="51"/>
      <c r="N39" s="52">
        <f t="shared" si="3"/>
        <v>-68</v>
      </c>
      <c r="O39" s="50">
        <f t="shared" si="13"/>
        <v>5230858.1760000009</v>
      </c>
      <c r="P39" s="50">
        <f t="shared" si="5"/>
        <v>5230858.1760000009</v>
      </c>
      <c r="Q39" s="53"/>
      <c r="R39" s="316">
        <f t="shared" si="6"/>
        <v>0</v>
      </c>
      <c r="S39" s="316">
        <f t="shared" si="7"/>
        <v>5230858.1760000009</v>
      </c>
      <c r="T39" s="316">
        <f t="shared" si="8"/>
        <v>0</v>
      </c>
      <c r="U39" s="316">
        <f t="shared" si="9"/>
        <v>0</v>
      </c>
      <c r="V39" s="316">
        <f t="shared" si="10"/>
        <v>0</v>
      </c>
    </row>
    <row r="40" spans="1:24" ht="19.5" customHeight="1">
      <c r="A40" s="54">
        <v>28</v>
      </c>
      <c r="B40" s="55">
        <v>1133003130</v>
      </c>
      <c r="C40" s="56">
        <v>42965</v>
      </c>
      <c r="D40" s="57">
        <v>42965</v>
      </c>
      <c r="E40" s="50">
        <v>87835</v>
      </c>
      <c r="F40" s="50">
        <v>0</v>
      </c>
      <c r="G40" s="50"/>
      <c r="H40" s="50"/>
      <c r="I40" s="50">
        <f t="shared" si="1"/>
        <v>87835</v>
      </c>
      <c r="J40" s="50">
        <f t="shared" si="18"/>
        <v>105402</v>
      </c>
      <c r="K40" s="50">
        <f>+J40</f>
        <v>105402</v>
      </c>
      <c r="L40" s="51">
        <f t="shared" si="14"/>
        <v>43025</v>
      </c>
      <c r="M40" s="51">
        <v>42977</v>
      </c>
      <c r="N40" s="52">
        <f t="shared" si="3"/>
        <v>48</v>
      </c>
      <c r="O40" s="50">
        <f t="shared" si="13"/>
        <v>0</v>
      </c>
      <c r="P40" s="50">
        <f t="shared" si="5"/>
        <v>0</v>
      </c>
      <c r="Q40" s="53"/>
      <c r="R40" s="316">
        <f t="shared" si="6"/>
        <v>0</v>
      </c>
      <c r="S40" s="316">
        <f t="shared" si="7"/>
        <v>0</v>
      </c>
      <c r="T40" s="316">
        <f t="shared" si="8"/>
        <v>0</v>
      </c>
      <c r="U40" s="316">
        <f t="shared" si="9"/>
        <v>0</v>
      </c>
      <c r="V40" s="316">
        <f t="shared" si="10"/>
        <v>0</v>
      </c>
    </row>
    <row r="41" spans="1:24" ht="19.5" customHeight="1">
      <c r="A41" s="54"/>
      <c r="B41" s="55"/>
      <c r="C41" s="56"/>
      <c r="D41" s="57"/>
      <c r="E41" s="50"/>
      <c r="F41" s="50">
        <f t="shared" ref="F41:F42" si="20">-E41*$F$10</f>
        <v>0</v>
      </c>
      <c r="G41" s="50">
        <f t="shared" ref="G41:G42" si="21">E41*$G$10</f>
        <v>0</v>
      </c>
      <c r="H41" s="50"/>
      <c r="I41" s="50">
        <f t="shared" si="1"/>
        <v>0</v>
      </c>
      <c r="J41" s="50">
        <f t="shared" si="18"/>
        <v>0</v>
      </c>
      <c r="K41" s="50"/>
      <c r="L41" s="51"/>
      <c r="M41" s="51"/>
      <c r="N41" s="52">
        <f t="shared" si="3"/>
        <v>0</v>
      </c>
      <c r="O41" s="50">
        <f t="shared" si="13"/>
        <v>0</v>
      </c>
      <c r="P41" s="50">
        <f t="shared" si="5"/>
        <v>0</v>
      </c>
      <c r="Q41" s="53"/>
      <c r="R41" s="316">
        <f t="shared" si="6"/>
        <v>0</v>
      </c>
      <c r="S41" s="316">
        <f t="shared" si="7"/>
        <v>0</v>
      </c>
      <c r="T41" s="316">
        <f t="shared" si="8"/>
        <v>0</v>
      </c>
      <c r="U41" s="316">
        <f t="shared" si="9"/>
        <v>0</v>
      </c>
      <c r="V41" s="316">
        <f t="shared" si="10"/>
        <v>0</v>
      </c>
    </row>
    <row r="42" spans="1:24" ht="19.5" customHeight="1">
      <c r="A42" s="54"/>
      <c r="B42" s="55"/>
      <c r="C42" s="56"/>
      <c r="D42" s="57"/>
      <c r="E42" s="50"/>
      <c r="F42" s="50">
        <f t="shared" si="20"/>
        <v>0</v>
      </c>
      <c r="G42" s="50">
        <f t="shared" si="21"/>
        <v>0</v>
      </c>
      <c r="H42" s="50"/>
      <c r="I42" s="50">
        <f t="shared" si="1"/>
        <v>0</v>
      </c>
      <c r="J42" s="50">
        <f t="shared" si="18"/>
        <v>0</v>
      </c>
      <c r="K42" s="50"/>
      <c r="L42" s="51"/>
      <c r="M42" s="51"/>
      <c r="N42" s="52">
        <f t="shared" si="3"/>
        <v>0</v>
      </c>
      <c r="O42" s="50">
        <f t="shared" si="13"/>
        <v>0</v>
      </c>
      <c r="P42" s="50">
        <f t="shared" si="5"/>
        <v>0</v>
      </c>
      <c r="Q42" s="53"/>
      <c r="R42" s="316">
        <f t="shared" si="6"/>
        <v>0</v>
      </c>
      <c r="S42" s="316">
        <f t="shared" si="7"/>
        <v>0</v>
      </c>
      <c r="T42" s="316">
        <f t="shared" si="8"/>
        <v>0</v>
      </c>
      <c r="U42" s="316">
        <f t="shared" si="9"/>
        <v>0</v>
      </c>
      <c r="V42" s="316">
        <f t="shared" si="10"/>
        <v>0</v>
      </c>
    </row>
    <row r="43" spans="1:24" ht="19.5" customHeight="1" thickBot="1">
      <c r="A43" s="54"/>
      <c r="B43" s="55"/>
      <c r="C43" s="56"/>
      <c r="D43" s="57"/>
      <c r="E43" s="50"/>
      <c r="F43" s="50"/>
      <c r="G43" s="50"/>
      <c r="H43" s="50"/>
      <c r="I43" s="50"/>
      <c r="J43" s="50"/>
      <c r="K43" s="50"/>
      <c r="L43" s="51"/>
      <c r="M43" s="51"/>
      <c r="N43" s="52"/>
      <c r="O43" s="50"/>
      <c r="P43" s="50"/>
      <c r="Q43" s="53"/>
      <c r="R43" s="316"/>
      <c r="S43" s="316"/>
      <c r="T43" s="316"/>
      <c r="U43" s="316"/>
      <c r="V43" s="316"/>
    </row>
    <row r="44" spans="1:24" s="53" customFormat="1" ht="20.100000000000001" customHeight="1" thickBot="1">
      <c r="A44" s="60"/>
      <c r="B44" s="61" t="s">
        <v>58</v>
      </c>
      <c r="C44" s="61"/>
      <c r="D44" s="61"/>
      <c r="E44" s="62">
        <f t="shared" ref="E44:K44" si="22">SUM(E12:E43)</f>
        <v>235080890.69</v>
      </c>
      <c r="F44" s="62">
        <f t="shared" si="22"/>
        <v>-3.9999995497055352E-3</v>
      </c>
      <c r="G44" s="62">
        <f t="shared" si="22"/>
        <v>0</v>
      </c>
      <c r="H44" s="62">
        <f t="shared" si="22"/>
        <v>0</v>
      </c>
      <c r="I44" s="62">
        <f t="shared" si="22"/>
        <v>235080890.68600005</v>
      </c>
      <c r="J44" s="62">
        <f t="shared" si="22"/>
        <v>282097068.82319999</v>
      </c>
      <c r="K44" s="62">
        <f t="shared" si="22"/>
        <v>276866210.62840003</v>
      </c>
      <c r="L44" s="63"/>
      <c r="M44" s="63"/>
      <c r="N44" s="63"/>
      <c r="O44" s="62">
        <f>SUM(O12:O43)</f>
        <v>5230858.1947999932</v>
      </c>
      <c r="P44" s="64">
        <f>SUM(P12:P43)</f>
        <v>5230858.1947999932</v>
      </c>
      <c r="R44" s="65">
        <f>SUM(R12:R43)</f>
        <v>5.1999981515109539E-3</v>
      </c>
      <c r="S44" s="65">
        <f>SUM(S12:S43)</f>
        <v>5230858.1760000009</v>
      </c>
      <c r="T44" s="65">
        <f>SUM(T12:T43)</f>
        <v>0</v>
      </c>
      <c r="U44" s="65">
        <f>SUM(U12:U43)</f>
        <v>0</v>
      </c>
      <c r="V44" s="65">
        <f>SUM(V12:V43)</f>
        <v>0</v>
      </c>
      <c r="X44" s="65"/>
    </row>
    <row r="45" spans="1:24" ht="21" customHeight="1">
      <c r="A45" s="66"/>
      <c r="B45" s="67"/>
      <c r="C45" s="67"/>
      <c r="D45" s="68" t="s">
        <v>59</v>
      </c>
      <c r="E45" s="69">
        <f>+E44/$M$7</f>
        <v>0.95934739426608262</v>
      </c>
      <c r="F45" s="67"/>
      <c r="G45" s="67"/>
      <c r="H45" s="67"/>
      <c r="I45" s="67"/>
      <c r="J45" s="68" t="s">
        <v>60</v>
      </c>
      <c r="K45" s="69">
        <f>+K44/J44</f>
        <v>0.98145724017402558</v>
      </c>
      <c r="L45" s="67"/>
      <c r="M45" s="67"/>
      <c r="N45" s="67"/>
      <c r="O45" s="67"/>
      <c r="P45" s="70"/>
      <c r="Q45" s="53"/>
      <c r="R45" s="53"/>
      <c r="S45" s="53"/>
      <c r="T45" s="53"/>
      <c r="U45" s="53"/>
      <c r="V45" s="53"/>
    </row>
    <row r="46" spans="1:24" ht="21" customHeight="1" thickBot="1">
      <c r="A46" s="71"/>
      <c r="B46" s="72"/>
      <c r="C46" s="72"/>
      <c r="D46" s="73" t="s">
        <v>61</v>
      </c>
      <c r="E46" s="74">
        <f>+$M$7-$E$44</f>
        <v>9961616.4300000072</v>
      </c>
      <c r="F46" s="75">
        <f>+E46/M7</f>
        <v>4.06526057339174E-2</v>
      </c>
      <c r="G46" s="72"/>
      <c r="H46" s="72"/>
      <c r="I46" s="72"/>
      <c r="J46" s="72"/>
      <c r="K46" s="72"/>
      <c r="L46" s="72"/>
      <c r="M46" s="72"/>
      <c r="N46" s="72"/>
      <c r="O46" s="72"/>
      <c r="P46" s="76"/>
      <c r="Q46" s="53"/>
      <c r="R46" s="53"/>
      <c r="S46" s="53"/>
      <c r="T46" s="53"/>
      <c r="U46" s="53"/>
      <c r="V46" s="53"/>
    </row>
    <row r="47" spans="1:24">
      <c r="A47" s="53"/>
      <c r="B47" s="66"/>
      <c r="C47" s="67"/>
      <c r="D47" s="67"/>
      <c r="E47" s="67"/>
      <c r="F47" s="67"/>
      <c r="G47" s="67"/>
      <c r="H47" s="67"/>
      <c r="I47" s="67"/>
      <c r="J47" s="67"/>
      <c r="K47" s="67"/>
      <c r="L47" s="67"/>
      <c r="M47" s="67"/>
      <c r="N47" s="70"/>
      <c r="O47" s="53"/>
      <c r="P47" s="53"/>
      <c r="Q47" s="53"/>
      <c r="R47" s="53"/>
      <c r="S47" s="53"/>
      <c r="T47" s="53"/>
      <c r="U47" s="53"/>
      <c r="V47" s="53"/>
    </row>
    <row r="48" spans="1:24" ht="21">
      <c r="A48" s="53"/>
      <c r="B48" s="275"/>
      <c r="C48" s="182" t="s">
        <v>62</v>
      </c>
      <c r="D48" s="182"/>
      <c r="E48" s="182"/>
      <c r="F48" s="182"/>
      <c r="G48" s="182"/>
      <c r="H48" s="182" t="s">
        <v>249</v>
      </c>
      <c r="I48" s="145"/>
      <c r="J48" s="145"/>
      <c r="K48" s="145"/>
      <c r="L48" s="145"/>
      <c r="M48" s="145"/>
      <c r="N48" s="146"/>
      <c r="O48" s="53"/>
      <c r="P48" s="53"/>
      <c r="Q48" s="53"/>
      <c r="R48" s="53"/>
      <c r="S48" s="53"/>
      <c r="T48" s="53"/>
      <c r="U48" s="53"/>
      <c r="V48" s="53"/>
    </row>
    <row r="49" spans="1:22" ht="17.25" thickBot="1">
      <c r="A49" s="53"/>
      <c r="B49" s="275"/>
      <c r="C49" s="145"/>
      <c r="D49" s="145"/>
      <c r="E49" s="145"/>
      <c r="F49" s="145"/>
      <c r="G49" s="147"/>
      <c r="H49" s="145"/>
      <c r="I49" s="145"/>
      <c r="J49" s="145"/>
      <c r="K49" s="145"/>
      <c r="L49" s="145"/>
      <c r="M49" s="145"/>
      <c r="N49" s="146"/>
      <c r="O49" s="53"/>
      <c r="P49" s="53"/>
      <c r="Q49" s="53"/>
      <c r="R49" s="53"/>
      <c r="S49" s="53"/>
      <c r="T49" s="53"/>
      <c r="U49" s="53"/>
      <c r="V49" s="53"/>
    </row>
    <row r="50" spans="1:22" ht="17.25" thickBot="1">
      <c r="A50" s="53"/>
      <c r="B50" s="275"/>
      <c r="C50" s="379" t="s">
        <v>63</v>
      </c>
      <c r="D50" s="380"/>
      <c r="E50" s="381"/>
      <c r="F50" s="148" t="s">
        <v>64</v>
      </c>
      <c r="G50" s="149">
        <f>+M7</f>
        <v>245042507.12</v>
      </c>
      <c r="H50" s="150"/>
      <c r="I50" s="151"/>
      <c r="J50" s="150"/>
      <c r="K50" s="150"/>
      <c r="L50" s="150"/>
      <c r="M50" s="150"/>
      <c r="N50" s="152"/>
      <c r="O50" s="53"/>
      <c r="P50" s="83">
        <v>21484158.059999999</v>
      </c>
      <c r="Q50" s="53"/>
      <c r="R50" s="53"/>
      <c r="S50" s="53"/>
      <c r="T50" s="53"/>
      <c r="U50" s="53"/>
      <c r="V50" s="53"/>
    </row>
    <row r="51" spans="1:22" ht="17.25" thickBot="1">
      <c r="A51" s="53"/>
      <c r="B51" s="275"/>
      <c r="C51" s="148"/>
      <c r="D51" s="148"/>
      <c r="E51" s="148"/>
      <c r="F51" s="148"/>
      <c r="G51" s="150"/>
      <c r="H51" s="150"/>
      <c r="I51" s="150"/>
      <c r="J51" s="150"/>
      <c r="K51" s="150"/>
      <c r="L51" s="150"/>
      <c r="M51" s="150"/>
      <c r="N51" s="152"/>
      <c r="O51" s="53"/>
      <c r="P51" s="53"/>
      <c r="Q51" s="53"/>
      <c r="R51" s="53"/>
      <c r="S51" s="53"/>
      <c r="T51" s="53"/>
      <c r="U51" s="53"/>
      <c r="V51" s="53"/>
    </row>
    <row r="52" spans="1:22" ht="17.25" thickBot="1">
      <c r="A52" s="53"/>
      <c r="B52" s="275"/>
      <c r="C52" s="382" t="s">
        <v>65</v>
      </c>
      <c r="D52" s="383"/>
      <c r="E52" s="384"/>
      <c r="F52" s="148" t="s">
        <v>64</v>
      </c>
      <c r="G52" s="154">
        <f>+E44</f>
        <v>235080890.69</v>
      </c>
      <c r="H52" s="150"/>
      <c r="I52" s="150"/>
      <c r="J52" s="91">
        <f>G52/G50</f>
        <v>0.95934739426608262</v>
      </c>
      <c r="K52" s="155" t="s">
        <v>66</v>
      </c>
      <c r="L52" s="156"/>
      <c r="M52" s="156"/>
      <c r="N52" s="152"/>
      <c r="O52" s="53"/>
      <c r="P52" s="83">
        <v>541800513.23000002</v>
      </c>
      <c r="Q52" s="53"/>
      <c r="R52" s="53"/>
      <c r="S52" s="53"/>
      <c r="T52" s="53"/>
      <c r="U52" s="53"/>
      <c r="V52" s="53"/>
    </row>
    <row r="53" spans="1:22" ht="17.25" thickBot="1">
      <c r="B53" s="276"/>
      <c r="C53" s="148"/>
      <c r="D53" s="148"/>
      <c r="E53" s="148"/>
      <c r="F53" s="148"/>
      <c r="G53" s="150"/>
      <c r="H53" s="150"/>
      <c r="I53" s="150"/>
      <c r="J53" s="150"/>
      <c r="K53" s="157"/>
      <c r="L53" s="150"/>
      <c r="M53" s="150"/>
      <c r="N53" s="152"/>
    </row>
    <row r="54" spans="1:22" ht="17.25" thickBot="1">
      <c r="B54" s="276"/>
      <c r="C54" s="376" t="s">
        <v>91</v>
      </c>
      <c r="D54" s="377"/>
      <c r="E54" s="378"/>
      <c r="F54" s="148" t="s">
        <v>68</v>
      </c>
      <c r="G54" s="96">
        <f>+K44</f>
        <v>276866210.62840003</v>
      </c>
      <c r="H54" s="150"/>
      <c r="I54" s="150"/>
      <c r="J54" s="97">
        <f>G54/J44</f>
        <v>0.98145724017402558</v>
      </c>
      <c r="K54" s="277" t="s">
        <v>69</v>
      </c>
      <c r="L54" s="158"/>
      <c r="M54" s="158"/>
      <c r="N54" s="152"/>
    </row>
    <row r="55" spans="1:22" ht="17.25" thickBot="1">
      <c r="B55" s="276"/>
      <c r="C55" s="148"/>
      <c r="D55" s="148"/>
      <c r="E55" s="148"/>
      <c r="F55" s="148"/>
      <c r="G55" s="150"/>
      <c r="H55" s="150"/>
      <c r="I55" s="150"/>
      <c r="J55" s="150"/>
      <c r="K55" s="157"/>
      <c r="L55" s="150"/>
      <c r="M55" s="150"/>
      <c r="N55" s="152"/>
    </row>
    <row r="56" spans="1:22" ht="17.25" thickBot="1">
      <c r="B56" s="276"/>
      <c r="C56" s="376" t="s">
        <v>70</v>
      </c>
      <c r="D56" s="377"/>
      <c r="E56" s="378"/>
      <c r="F56" s="148" t="s">
        <v>68</v>
      </c>
      <c r="G56" s="100">
        <f>+O44</f>
        <v>5230858.1947999932</v>
      </c>
      <c r="H56" s="150"/>
      <c r="I56" s="150"/>
      <c r="J56" s="101">
        <f>G56/J44</f>
        <v>1.8542759825974489E-2</v>
      </c>
      <c r="K56" s="277" t="s">
        <v>69</v>
      </c>
      <c r="L56" s="159"/>
      <c r="M56" s="159"/>
      <c r="N56" s="152"/>
    </row>
    <row r="57" spans="1:22" ht="17.25" thickBot="1">
      <c r="B57" s="276"/>
      <c r="C57" s="148"/>
      <c r="D57" s="148"/>
      <c r="E57" s="148"/>
      <c r="F57" s="148"/>
      <c r="G57" s="150"/>
      <c r="H57" s="150"/>
      <c r="I57" s="150"/>
      <c r="J57" s="150"/>
      <c r="K57" s="157"/>
      <c r="L57" s="150"/>
      <c r="M57" s="150"/>
      <c r="N57" s="152"/>
    </row>
    <row r="58" spans="1:22" ht="17.25" thickBot="1">
      <c r="B58" s="276"/>
      <c r="C58" s="376" t="s">
        <v>92</v>
      </c>
      <c r="D58" s="377"/>
      <c r="E58" s="378"/>
      <c r="F58" s="148" t="s">
        <v>68</v>
      </c>
      <c r="G58" s="104">
        <f>+P44</f>
        <v>5230858.1947999932</v>
      </c>
      <c r="H58" s="150"/>
      <c r="I58" s="150"/>
      <c r="J58" s="105">
        <f>+G58/J44</f>
        <v>1.8542759825974489E-2</v>
      </c>
      <c r="K58" s="277" t="s">
        <v>69</v>
      </c>
      <c r="L58" s="158"/>
      <c r="M58" s="158"/>
      <c r="N58" s="152"/>
    </row>
    <row r="59" spans="1:22" ht="17.25" thickBot="1">
      <c r="B59" s="160"/>
      <c r="C59" s="161"/>
      <c r="D59" s="161"/>
      <c r="E59" s="161"/>
      <c r="F59" s="161"/>
      <c r="G59" s="161"/>
      <c r="H59" s="161"/>
      <c r="I59" s="161"/>
      <c r="J59" s="161"/>
      <c r="K59" s="161"/>
      <c r="L59" s="161"/>
      <c r="M59" s="161"/>
      <c r="N59" s="162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C56:E56"/>
    <mergeCell ref="C58:E58"/>
    <mergeCell ref="M7:N7"/>
    <mergeCell ref="M8:N8"/>
    <mergeCell ref="O10:P10"/>
    <mergeCell ref="C50:E50"/>
    <mergeCell ref="C52:E52"/>
    <mergeCell ref="C54:E5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66"/>
  <sheetViews>
    <sheetView workbookViewId="0">
      <selection sqref="A1:B2"/>
    </sheetView>
  </sheetViews>
  <sheetFormatPr baseColWidth="10" defaultColWidth="11.42578125" defaultRowHeight="16.5"/>
  <cols>
    <col min="1" max="1" width="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4.140625" style="5" bestFit="1" customWidth="1"/>
    <col min="10" max="10" width="13.5703125" style="5" customWidth="1"/>
    <col min="11" max="12" width="13.7109375" style="5" customWidth="1"/>
    <col min="13" max="13" width="11.42578125" style="5"/>
    <col min="14" max="14" width="7" style="5" customWidth="1"/>
    <col min="15" max="15" width="13.42578125" style="5" customWidth="1"/>
    <col min="16" max="16" width="13.5703125" style="5" customWidth="1"/>
    <col min="17" max="17" width="6.140625" style="5" customWidth="1"/>
    <col min="18" max="18" width="9.7109375" style="5" bestFit="1" customWidth="1"/>
    <col min="19" max="19" width="10.28515625" style="5" bestFit="1" customWidth="1"/>
    <col min="20" max="20" width="8.7109375" style="5" bestFit="1" customWidth="1"/>
    <col min="21" max="21" width="10.5703125" style="5" bestFit="1" customWidth="1"/>
    <col min="22" max="22" width="7.5703125" style="5" bestFit="1" customWidth="1"/>
    <col min="23" max="16384" width="11.42578125" style="5"/>
  </cols>
  <sheetData>
    <row r="1" spans="1:22" ht="21">
      <c r="A1" s="364" t="s">
        <v>11</v>
      </c>
      <c r="B1" s="365"/>
      <c r="C1" s="368" t="s">
        <v>242</v>
      </c>
      <c r="D1" s="368"/>
      <c r="E1" s="368"/>
      <c r="F1" s="370" t="s">
        <v>243</v>
      </c>
      <c r="G1" s="372" t="s">
        <v>12</v>
      </c>
      <c r="H1" s="373"/>
      <c r="I1" s="373"/>
      <c r="J1" s="374"/>
      <c r="K1" s="1" t="s">
        <v>13</v>
      </c>
      <c r="L1" s="2"/>
      <c r="M1" s="375">
        <v>430376000</v>
      </c>
      <c r="N1" s="375"/>
      <c r="O1" s="3" t="s">
        <v>14</v>
      </c>
      <c r="P1" s="4">
        <v>25429</v>
      </c>
    </row>
    <row r="2" spans="1:22" ht="21">
      <c r="A2" s="366"/>
      <c r="B2" s="367"/>
      <c r="C2" s="369"/>
      <c r="D2" s="369"/>
      <c r="E2" s="369"/>
      <c r="F2" s="371"/>
      <c r="G2" s="6" t="s">
        <v>15</v>
      </c>
      <c r="H2" s="7"/>
      <c r="I2" s="8">
        <v>60</v>
      </c>
      <c r="J2" s="9"/>
      <c r="K2" s="10" t="s">
        <v>16</v>
      </c>
      <c r="L2" s="11"/>
      <c r="M2" s="363">
        <v>-121165623</v>
      </c>
      <c r="N2" s="363"/>
      <c r="O2" s="11"/>
      <c r="P2" s="12"/>
      <c r="S2" s="109"/>
    </row>
    <row r="3" spans="1:22">
      <c r="A3" s="366" t="s">
        <v>17</v>
      </c>
      <c r="B3" s="367"/>
      <c r="C3" s="369" t="s">
        <v>244</v>
      </c>
      <c r="D3" s="369"/>
      <c r="E3" s="369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63">
        <v>0</v>
      </c>
      <c r="N3" s="363"/>
      <c r="O3" s="11"/>
      <c r="P3" s="12"/>
    </row>
    <row r="4" spans="1:22">
      <c r="A4" s="366"/>
      <c r="B4" s="367"/>
      <c r="C4" s="369"/>
      <c r="D4" s="369"/>
      <c r="E4" s="369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63">
        <v>0</v>
      </c>
      <c r="N4" s="363"/>
      <c r="O4" s="11"/>
      <c r="P4" s="12"/>
    </row>
    <row r="5" spans="1:22">
      <c r="A5" s="304" t="s">
        <v>24</v>
      </c>
      <c r="B5" s="18"/>
      <c r="C5" s="18" t="s">
        <v>245</v>
      </c>
      <c r="D5" s="19"/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63">
        <v>0</v>
      </c>
      <c r="N5" s="363"/>
      <c r="O5" s="11"/>
      <c r="P5" s="12"/>
    </row>
    <row r="6" spans="1:22">
      <c r="A6" s="304" t="s">
        <v>86</v>
      </c>
      <c r="B6" s="18"/>
      <c r="C6" s="18">
        <v>42025</v>
      </c>
      <c r="D6" s="22"/>
      <c r="E6" s="23"/>
      <c r="F6" s="24"/>
      <c r="G6" s="6"/>
      <c r="H6" s="14" t="s">
        <v>28</v>
      </c>
      <c r="I6" s="25">
        <v>0.1</v>
      </c>
      <c r="J6" s="15"/>
      <c r="K6" s="26"/>
      <c r="L6" s="11"/>
      <c r="M6" s="363"/>
      <c r="N6" s="363"/>
      <c r="O6" s="11"/>
      <c r="P6" s="12"/>
    </row>
    <row r="7" spans="1:22">
      <c r="A7" s="304" t="s">
        <v>87</v>
      </c>
      <c r="B7" s="18"/>
      <c r="C7" s="18"/>
      <c r="D7" s="22" t="s">
        <v>246</v>
      </c>
      <c r="E7" s="23"/>
      <c r="F7" s="24"/>
      <c r="G7" s="6"/>
      <c r="H7" s="14" t="s">
        <v>30</v>
      </c>
      <c r="I7" s="27" t="s">
        <v>247</v>
      </c>
      <c r="J7" s="15" t="s">
        <v>29</v>
      </c>
      <c r="K7" s="28" t="s">
        <v>31</v>
      </c>
      <c r="L7" s="29"/>
      <c r="M7" s="353">
        <f>SUM(M1:M6)</f>
        <v>309210377</v>
      </c>
      <c r="N7" s="353"/>
      <c r="O7" s="11"/>
      <c r="P7" s="12"/>
    </row>
    <row r="8" spans="1:22">
      <c r="A8" s="30" t="s">
        <v>88</v>
      </c>
      <c r="B8" s="31"/>
      <c r="C8" s="31"/>
      <c r="D8" s="32" t="s">
        <v>246</v>
      </c>
      <c r="E8" s="33"/>
      <c r="F8" s="34"/>
      <c r="G8" s="35"/>
      <c r="H8" s="36" t="s">
        <v>32</v>
      </c>
      <c r="I8" s="37"/>
      <c r="J8" s="38"/>
      <c r="K8" s="39" t="s">
        <v>33</v>
      </c>
      <c r="L8" s="40"/>
      <c r="M8" s="354">
        <f>+M7*(1+$I$4)</f>
        <v>371052452.39999998</v>
      </c>
      <c r="N8" s="354"/>
      <c r="O8" s="41"/>
      <c r="P8" s="42"/>
    </row>
    <row r="10" spans="1:22">
      <c r="B10" s="5" t="s">
        <v>34</v>
      </c>
      <c r="C10" s="43">
        <v>43069</v>
      </c>
      <c r="E10" s="44"/>
      <c r="F10" s="45">
        <v>0.1</v>
      </c>
      <c r="G10" s="46"/>
      <c r="H10" s="47"/>
      <c r="O10" s="355" t="s">
        <v>35</v>
      </c>
      <c r="P10" s="356"/>
    </row>
    <row r="11" spans="1:22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305" t="s">
        <v>52</v>
      </c>
      <c r="S11" s="305" t="s">
        <v>53</v>
      </c>
      <c r="T11" s="305" t="s">
        <v>54</v>
      </c>
      <c r="U11" s="305" t="s">
        <v>55</v>
      </c>
      <c r="V11" s="305" t="s">
        <v>56</v>
      </c>
    </row>
    <row r="12" spans="1:22">
      <c r="A12" s="311" t="s">
        <v>28</v>
      </c>
      <c r="B12" s="312">
        <v>1133001429</v>
      </c>
      <c r="C12" s="313">
        <v>42046</v>
      </c>
      <c r="D12" s="314" t="s">
        <v>28</v>
      </c>
      <c r="E12" s="315"/>
      <c r="F12" s="315">
        <f>43037.6*1000</f>
        <v>43037600</v>
      </c>
      <c r="G12" s="50">
        <f t="shared" ref="G12:G25" si="0">E12*$G$10</f>
        <v>0</v>
      </c>
      <c r="H12" s="315"/>
      <c r="I12" s="50">
        <f>+E12+F12-G12-H12</f>
        <v>43037600</v>
      </c>
      <c r="J12" s="50">
        <f>+I12+(I12*$I$4)</f>
        <v>51645120</v>
      </c>
      <c r="K12" s="50">
        <f t="shared" ref="K12" si="1">+J12</f>
        <v>51645120</v>
      </c>
      <c r="L12" s="51">
        <v>42090</v>
      </c>
      <c r="M12" s="51">
        <v>42090</v>
      </c>
      <c r="N12" s="52">
        <f t="shared" ref="N12:N47" si="2">-IF(L12=0,,IF(M12=0,($C$10-L12),M12-L12))</f>
        <v>0</v>
      </c>
      <c r="O12" s="50">
        <f>+J12-K12</f>
        <v>0</v>
      </c>
      <c r="P12" s="315">
        <f t="shared" ref="P12:P47" si="3">+IF($C$10&lt;L12,0,O12)</f>
        <v>0</v>
      </c>
      <c r="Q12" s="53"/>
      <c r="R12" s="316">
        <f t="shared" ref="R12:R47" si="4">IF(N12&gt;=0,0,(IF(-N12&lt;=60,O12,0)))</f>
        <v>0</v>
      </c>
      <c r="S12" s="316">
        <f t="shared" ref="S12:S47" si="5">IF(N12&gt;=0,0,(IF(N12&gt;=-60,0,IF(-60&gt;=N12,IF(N12&gt;=-120,O12,0)))))</f>
        <v>0</v>
      </c>
      <c r="T12" s="316">
        <f t="shared" ref="T12:T47" si="6">IF(N12&gt;=0,0,(IF(N12&gt;-60,0,IF(-60&gt;=N12,IF(N12&gt;=-120,0,IF(N12&gt;=-180,O12,0))))))</f>
        <v>0</v>
      </c>
      <c r="U12" s="316">
        <f t="shared" ref="U12:U47" si="7">IF(N12&gt;=0,0,(IF(N12&gt;-60,0,IF(-60&gt;=N12,IF(N12&gt;-120,0,IF(N12&gt;=-180,0,IF(N12&gt;=-365,O12,0)))))))</f>
        <v>0</v>
      </c>
      <c r="V12" s="316">
        <f t="shared" ref="V12:V47" si="8">IF(N12&gt;=0,0,IF(365&lt;-N12,O12,0))</f>
        <v>0</v>
      </c>
    </row>
    <row r="13" spans="1:22">
      <c r="A13" s="54">
        <v>1</v>
      </c>
      <c r="B13" s="143">
        <v>1133001549</v>
      </c>
      <c r="C13" s="56">
        <v>42074</v>
      </c>
      <c r="D13" s="57">
        <v>42036</v>
      </c>
      <c r="E13" s="50">
        <v>317351.53999999998</v>
      </c>
      <c r="F13" s="50">
        <f>+E13*-$F$10</f>
        <v>-31735.153999999999</v>
      </c>
      <c r="G13" s="50">
        <f t="shared" si="0"/>
        <v>0</v>
      </c>
      <c r="H13" s="50"/>
      <c r="I13" s="50">
        <f>+E13+F13-G13-H13</f>
        <v>285616.386</v>
      </c>
      <c r="J13" s="50">
        <f>+I13+(I13*$I$4)</f>
        <v>342739.66320000001</v>
      </c>
      <c r="K13" s="50">
        <v>342739.67</v>
      </c>
      <c r="L13" s="51">
        <f t="shared" ref="L13:L25" si="9">+D13+60</f>
        <v>42096</v>
      </c>
      <c r="M13" s="51">
        <v>42165</v>
      </c>
      <c r="N13" s="52">
        <f t="shared" si="2"/>
        <v>-69</v>
      </c>
      <c r="O13" s="50">
        <f>+J13-K13</f>
        <v>-6.7999999737367034E-3</v>
      </c>
      <c r="P13" s="50">
        <f t="shared" si="3"/>
        <v>-6.7999999737367034E-3</v>
      </c>
      <c r="Q13" s="53"/>
      <c r="R13" s="316">
        <f t="shared" si="4"/>
        <v>0</v>
      </c>
      <c r="S13" s="316">
        <f t="shared" si="5"/>
        <v>-6.7999999737367034E-3</v>
      </c>
      <c r="T13" s="316">
        <f t="shared" si="6"/>
        <v>0</v>
      </c>
      <c r="U13" s="316">
        <f t="shared" si="7"/>
        <v>0</v>
      </c>
      <c r="V13" s="316">
        <f t="shared" si="8"/>
        <v>0</v>
      </c>
    </row>
    <row r="14" spans="1:22">
      <c r="A14" s="317">
        <v>2</v>
      </c>
      <c r="B14" s="318">
        <v>1133001600</v>
      </c>
      <c r="C14" s="319">
        <v>42131</v>
      </c>
      <c r="D14" s="320">
        <v>42064</v>
      </c>
      <c r="E14" s="307">
        <v>1561950.39</v>
      </c>
      <c r="F14" s="307">
        <f t="shared" ref="F14:F25" si="10">-E14*$F$10</f>
        <v>-156195.03899999999</v>
      </c>
      <c r="G14" s="307">
        <f t="shared" si="0"/>
        <v>0</v>
      </c>
      <c r="H14" s="307"/>
      <c r="I14" s="307">
        <f t="shared" ref="I14:I25" si="11">+E14+F14-G14-H14</f>
        <v>1405755.3509999998</v>
      </c>
      <c r="J14" s="307">
        <f t="shared" ref="J14:J25" si="12">+I14+(I14*$I$4)</f>
        <v>1686906.4211999997</v>
      </c>
      <c r="K14" s="307">
        <v>1686906.42</v>
      </c>
      <c r="L14" s="308">
        <f t="shared" si="9"/>
        <v>42124</v>
      </c>
      <c r="M14" s="308">
        <v>42180</v>
      </c>
      <c r="N14" s="52">
        <f t="shared" si="2"/>
        <v>-56</v>
      </c>
      <c r="O14" s="50">
        <f t="shared" ref="O14:O47" si="13">+J14-K14</f>
        <v>1.1999998241662979E-3</v>
      </c>
      <c r="P14" s="50">
        <f t="shared" si="3"/>
        <v>1.1999998241662979E-3</v>
      </c>
      <c r="Q14" s="53"/>
      <c r="R14" s="316">
        <f t="shared" si="4"/>
        <v>1.1999998241662979E-3</v>
      </c>
      <c r="S14" s="316">
        <f t="shared" si="5"/>
        <v>0</v>
      </c>
      <c r="T14" s="316">
        <f t="shared" si="6"/>
        <v>0</v>
      </c>
      <c r="U14" s="316">
        <f t="shared" si="7"/>
        <v>0</v>
      </c>
      <c r="V14" s="316">
        <f t="shared" si="8"/>
        <v>0</v>
      </c>
    </row>
    <row r="15" spans="1:22">
      <c r="A15" s="317">
        <v>3</v>
      </c>
      <c r="B15" s="321">
        <v>1133001625</v>
      </c>
      <c r="C15" s="319">
        <v>42139</v>
      </c>
      <c r="D15" s="320">
        <v>42095</v>
      </c>
      <c r="E15" s="307">
        <f>2826944.65+1057443.25</f>
        <v>3884387.9</v>
      </c>
      <c r="F15" s="307">
        <f t="shared" si="10"/>
        <v>-388438.79000000004</v>
      </c>
      <c r="G15" s="307">
        <f t="shared" si="0"/>
        <v>0</v>
      </c>
      <c r="H15" s="307"/>
      <c r="I15" s="307">
        <f t="shared" si="11"/>
        <v>3495949.11</v>
      </c>
      <c r="J15" s="307">
        <f t="shared" si="12"/>
        <v>4195138.932</v>
      </c>
      <c r="K15" s="307">
        <v>4195138.9400000004</v>
      </c>
      <c r="L15" s="308">
        <f t="shared" si="9"/>
        <v>42155</v>
      </c>
      <c r="M15" s="308">
        <v>42180</v>
      </c>
      <c r="N15" s="52">
        <f t="shared" si="2"/>
        <v>-25</v>
      </c>
      <c r="O15" s="50">
        <f t="shared" si="13"/>
        <v>-8.0000003799796104E-3</v>
      </c>
      <c r="P15" s="50">
        <f t="shared" si="3"/>
        <v>-8.0000003799796104E-3</v>
      </c>
      <c r="Q15" s="53"/>
      <c r="R15" s="316">
        <f t="shared" si="4"/>
        <v>-8.0000003799796104E-3</v>
      </c>
      <c r="S15" s="316">
        <f t="shared" si="5"/>
        <v>0</v>
      </c>
      <c r="T15" s="316">
        <f t="shared" si="6"/>
        <v>0</v>
      </c>
      <c r="U15" s="316">
        <f t="shared" si="7"/>
        <v>0</v>
      </c>
      <c r="V15" s="316">
        <f t="shared" si="8"/>
        <v>0</v>
      </c>
    </row>
    <row r="16" spans="1:22">
      <c r="A16" s="322">
        <v>4</v>
      </c>
      <c r="B16" s="321">
        <v>1133001689</v>
      </c>
      <c r="C16" s="323">
        <v>42184</v>
      </c>
      <c r="D16" s="324">
        <v>42125</v>
      </c>
      <c r="E16" s="325">
        <v>13389061.82</v>
      </c>
      <c r="F16" s="325">
        <f t="shared" si="10"/>
        <v>-1338906.182</v>
      </c>
      <c r="G16" s="325">
        <f t="shared" si="0"/>
        <v>0</v>
      </c>
      <c r="H16" s="325"/>
      <c r="I16" s="325">
        <f t="shared" si="11"/>
        <v>12050155.638</v>
      </c>
      <c r="J16" s="325">
        <f t="shared" si="12"/>
        <v>14460186.7656</v>
      </c>
      <c r="K16" s="325">
        <v>14460186.77</v>
      </c>
      <c r="L16" s="326">
        <f t="shared" si="9"/>
        <v>42185</v>
      </c>
      <c r="M16" s="326">
        <v>42219</v>
      </c>
      <c r="N16" s="52">
        <f t="shared" si="2"/>
        <v>-34</v>
      </c>
      <c r="O16" s="50">
        <f t="shared" si="13"/>
        <v>-4.3999999761581421E-3</v>
      </c>
      <c r="P16" s="50">
        <f t="shared" si="3"/>
        <v>-4.3999999761581421E-3</v>
      </c>
      <c r="Q16" s="53"/>
      <c r="R16" s="316">
        <f t="shared" si="4"/>
        <v>-4.3999999761581421E-3</v>
      </c>
      <c r="S16" s="316">
        <f t="shared" si="5"/>
        <v>0</v>
      </c>
      <c r="T16" s="316">
        <f t="shared" si="6"/>
        <v>0</v>
      </c>
      <c r="U16" s="316">
        <f t="shared" si="7"/>
        <v>0</v>
      </c>
      <c r="V16" s="316">
        <f t="shared" si="8"/>
        <v>0</v>
      </c>
    </row>
    <row r="17" spans="1:22">
      <c r="A17" s="54">
        <v>5</v>
      </c>
      <c r="B17" s="138">
        <v>1133001717</v>
      </c>
      <c r="C17" s="56">
        <v>42205</v>
      </c>
      <c r="D17" s="57">
        <v>42156</v>
      </c>
      <c r="E17" s="50">
        <v>11535046.68</v>
      </c>
      <c r="F17" s="50">
        <f t="shared" si="10"/>
        <v>-1153504.6680000001</v>
      </c>
      <c r="G17" s="50">
        <f t="shared" si="0"/>
        <v>0</v>
      </c>
      <c r="H17" s="50"/>
      <c r="I17" s="50">
        <f t="shared" si="11"/>
        <v>10381542.012</v>
      </c>
      <c r="J17" s="50">
        <f t="shared" si="12"/>
        <v>12457850.4144</v>
      </c>
      <c r="K17" s="50">
        <v>12457850.41</v>
      </c>
      <c r="L17" s="51">
        <f t="shared" si="9"/>
        <v>42216</v>
      </c>
      <c r="M17" s="51">
        <v>42216</v>
      </c>
      <c r="N17" s="52">
        <f t="shared" si="2"/>
        <v>0</v>
      </c>
      <c r="O17" s="50">
        <f t="shared" si="13"/>
        <v>4.3999999761581421E-3</v>
      </c>
      <c r="P17" s="50">
        <f t="shared" si="3"/>
        <v>4.3999999761581421E-3</v>
      </c>
      <c r="Q17" s="53"/>
      <c r="R17" s="316">
        <f t="shared" si="4"/>
        <v>0</v>
      </c>
      <c r="S17" s="316">
        <f t="shared" si="5"/>
        <v>0</v>
      </c>
      <c r="T17" s="316">
        <f t="shared" si="6"/>
        <v>0</v>
      </c>
      <c r="U17" s="316">
        <f t="shared" si="7"/>
        <v>0</v>
      </c>
      <c r="V17" s="316">
        <f t="shared" si="8"/>
        <v>0</v>
      </c>
    </row>
    <row r="18" spans="1:22">
      <c r="A18" s="54">
        <v>6</v>
      </c>
      <c r="B18" s="138">
        <v>1133001798</v>
      </c>
      <c r="C18" s="56">
        <v>42231</v>
      </c>
      <c r="D18" s="57">
        <v>42186</v>
      </c>
      <c r="E18" s="50">
        <f>8682723.07+3247848.14</f>
        <v>11930571.210000001</v>
      </c>
      <c r="F18" s="50">
        <f t="shared" si="10"/>
        <v>-1193057.121</v>
      </c>
      <c r="G18" s="50">
        <f t="shared" si="0"/>
        <v>0</v>
      </c>
      <c r="H18" s="50"/>
      <c r="I18" s="50">
        <f t="shared" si="11"/>
        <v>10737514.089000002</v>
      </c>
      <c r="J18" s="50">
        <f t="shared" si="12"/>
        <v>12885016.906800002</v>
      </c>
      <c r="K18" s="50">
        <v>12885016.91</v>
      </c>
      <c r="L18" s="51">
        <f t="shared" si="9"/>
        <v>42246</v>
      </c>
      <c r="M18" s="51">
        <v>42278</v>
      </c>
      <c r="N18" s="52">
        <f t="shared" si="2"/>
        <v>-32</v>
      </c>
      <c r="O18" s="50">
        <f t="shared" si="13"/>
        <v>-3.1999982893466949E-3</v>
      </c>
      <c r="P18" s="50">
        <f t="shared" si="3"/>
        <v>-3.1999982893466949E-3</v>
      </c>
      <c r="Q18" s="53"/>
      <c r="R18" s="316">
        <f t="shared" si="4"/>
        <v>-3.1999982893466949E-3</v>
      </c>
      <c r="S18" s="316">
        <f t="shared" si="5"/>
        <v>0</v>
      </c>
      <c r="T18" s="316">
        <f t="shared" si="6"/>
        <v>0</v>
      </c>
      <c r="U18" s="316">
        <f t="shared" si="7"/>
        <v>0</v>
      </c>
      <c r="V18" s="316">
        <f t="shared" si="8"/>
        <v>0</v>
      </c>
    </row>
    <row r="19" spans="1:22">
      <c r="A19" s="54">
        <v>7</v>
      </c>
      <c r="B19" s="54">
        <v>1133001825</v>
      </c>
      <c r="C19" s="56">
        <v>42247</v>
      </c>
      <c r="D19" s="57">
        <v>42217</v>
      </c>
      <c r="E19" s="50">
        <v>12735089.15</v>
      </c>
      <c r="F19" s="50">
        <f t="shared" si="10"/>
        <v>-1273508.915</v>
      </c>
      <c r="G19" s="50">
        <f t="shared" si="0"/>
        <v>0</v>
      </c>
      <c r="H19" s="50"/>
      <c r="I19" s="50">
        <f t="shared" si="11"/>
        <v>11461580.234999999</v>
      </c>
      <c r="J19" s="50">
        <f t="shared" si="12"/>
        <v>13753896.282</v>
      </c>
      <c r="K19" s="50">
        <v>13753896.279999999</v>
      </c>
      <c r="L19" s="51">
        <f t="shared" si="9"/>
        <v>42277</v>
      </c>
      <c r="M19" s="51">
        <v>42297</v>
      </c>
      <c r="N19" s="52">
        <f t="shared" si="2"/>
        <v>-20</v>
      </c>
      <c r="O19" s="50">
        <f t="shared" si="13"/>
        <v>2.0000003278255463E-3</v>
      </c>
      <c r="P19" s="50">
        <f t="shared" si="3"/>
        <v>2.0000003278255463E-3</v>
      </c>
      <c r="Q19" s="53"/>
      <c r="R19" s="316">
        <f t="shared" si="4"/>
        <v>2.0000003278255463E-3</v>
      </c>
      <c r="S19" s="316">
        <f t="shared" si="5"/>
        <v>0</v>
      </c>
      <c r="T19" s="316">
        <f t="shared" si="6"/>
        <v>0</v>
      </c>
      <c r="U19" s="316">
        <f t="shared" si="7"/>
        <v>0</v>
      </c>
      <c r="V19" s="316">
        <f t="shared" si="8"/>
        <v>0</v>
      </c>
    </row>
    <row r="20" spans="1:22">
      <c r="A20" s="54">
        <v>8</v>
      </c>
      <c r="B20" s="54">
        <v>1133001893</v>
      </c>
      <c r="C20" s="56">
        <v>42318</v>
      </c>
      <c r="D20" s="57">
        <v>42248</v>
      </c>
      <c r="E20" s="50">
        <f>3395735.37+1270204.38</f>
        <v>4665939.75</v>
      </c>
      <c r="F20" s="50">
        <f t="shared" si="10"/>
        <v>-466593.97500000003</v>
      </c>
      <c r="G20" s="50">
        <f t="shared" si="0"/>
        <v>0</v>
      </c>
      <c r="H20" s="50"/>
      <c r="I20" s="50">
        <f t="shared" si="11"/>
        <v>4199345.7750000004</v>
      </c>
      <c r="J20" s="50">
        <f t="shared" si="12"/>
        <v>5039214.9300000006</v>
      </c>
      <c r="K20" s="50">
        <v>5039214.92</v>
      </c>
      <c r="L20" s="51">
        <f t="shared" si="9"/>
        <v>42308</v>
      </c>
      <c r="M20" s="51">
        <v>42338</v>
      </c>
      <c r="N20" s="52">
        <f t="shared" si="2"/>
        <v>-30</v>
      </c>
      <c r="O20" s="50">
        <f t="shared" si="13"/>
        <v>1.0000000707805157E-2</v>
      </c>
      <c r="P20" s="50">
        <f t="shared" si="3"/>
        <v>1.0000000707805157E-2</v>
      </c>
      <c r="Q20" s="53"/>
      <c r="R20" s="316">
        <f t="shared" si="4"/>
        <v>1.0000000707805157E-2</v>
      </c>
      <c r="S20" s="316">
        <f t="shared" si="5"/>
        <v>0</v>
      </c>
      <c r="T20" s="316">
        <f t="shared" si="6"/>
        <v>0</v>
      </c>
      <c r="U20" s="316">
        <f t="shared" si="7"/>
        <v>0</v>
      </c>
      <c r="V20" s="316">
        <f t="shared" si="8"/>
        <v>0</v>
      </c>
    </row>
    <row r="21" spans="1:22">
      <c r="A21" s="54">
        <v>9</v>
      </c>
      <c r="B21" s="54">
        <v>1133001978</v>
      </c>
      <c r="C21" s="56">
        <v>42341</v>
      </c>
      <c r="D21" s="57">
        <v>42278</v>
      </c>
      <c r="E21" s="50">
        <f>3505989.17+1311445.77</f>
        <v>4817434.9399999995</v>
      </c>
      <c r="F21" s="50">
        <f t="shared" si="10"/>
        <v>-481743.49399999995</v>
      </c>
      <c r="G21" s="50">
        <f t="shared" si="0"/>
        <v>0</v>
      </c>
      <c r="H21" s="50"/>
      <c r="I21" s="50">
        <f t="shared" si="11"/>
        <v>4335691.4459999995</v>
      </c>
      <c r="J21" s="50">
        <f t="shared" si="12"/>
        <v>5202829.7351999991</v>
      </c>
      <c r="K21" s="50">
        <v>5202829.74</v>
      </c>
      <c r="L21" s="51">
        <f t="shared" si="9"/>
        <v>42338</v>
      </c>
      <c r="M21" s="51">
        <v>42367</v>
      </c>
      <c r="N21" s="52">
        <f t="shared" si="2"/>
        <v>-29</v>
      </c>
      <c r="O21" s="50">
        <f t="shared" si="13"/>
        <v>-4.8000011593103409E-3</v>
      </c>
      <c r="P21" s="50">
        <f t="shared" si="3"/>
        <v>-4.8000011593103409E-3</v>
      </c>
      <c r="Q21" s="53"/>
      <c r="R21" s="316">
        <f t="shared" si="4"/>
        <v>-4.8000011593103409E-3</v>
      </c>
      <c r="S21" s="316">
        <f t="shared" si="5"/>
        <v>0</v>
      </c>
      <c r="T21" s="316">
        <f t="shared" si="6"/>
        <v>0</v>
      </c>
      <c r="U21" s="316">
        <f t="shared" si="7"/>
        <v>0</v>
      </c>
      <c r="V21" s="316">
        <f t="shared" si="8"/>
        <v>0</v>
      </c>
    </row>
    <row r="22" spans="1:22">
      <c r="A22" s="54">
        <v>10</v>
      </c>
      <c r="B22" s="54">
        <v>1133001997</v>
      </c>
      <c r="C22" s="56">
        <v>42360</v>
      </c>
      <c r="D22" s="57">
        <v>42309</v>
      </c>
      <c r="E22" s="50">
        <v>5627540.2800000003</v>
      </c>
      <c r="F22" s="50">
        <f t="shared" si="10"/>
        <v>-562754.02800000005</v>
      </c>
      <c r="G22" s="50">
        <f t="shared" si="0"/>
        <v>0</v>
      </c>
      <c r="H22" s="50"/>
      <c r="I22" s="50">
        <f t="shared" si="11"/>
        <v>5064786.2520000003</v>
      </c>
      <c r="J22" s="50">
        <f t="shared" si="12"/>
        <v>6077743.5024000006</v>
      </c>
      <c r="K22" s="50">
        <v>6077743.5</v>
      </c>
      <c r="L22" s="51">
        <f t="shared" si="9"/>
        <v>42369</v>
      </c>
      <c r="M22" s="51">
        <v>42396</v>
      </c>
      <c r="N22" s="52">
        <f t="shared" si="2"/>
        <v>-27</v>
      </c>
      <c r="O22" s="50">
        <f t="shared" si="13"/>
        <v>2.4000005796551704E-3</v>
      </c>
      <c r="P22" s="50">
        <f t="shared" si="3"/>
        <v>2.4000005796551704E-3</v>
      </c>
      <c r="Q22" s="53"/>
      <c r="R22" s="316">
        <f t="shared" si="4"/>
        <v>2.4000005796551704E-3</v>
      </c>
      <c r="S22" s="316">
        <f t="shared" si="5"/>
        <v>0</v>
      </c>
      <c r="T22" s="316">
        <f t="shared" si="6"/>
        <v>0</v>
      </c>
      <c r="U22" s="316">
        <f t="shared" si="7"/>
        <v>0</v>
      </c>
      <c r="V22" s="316">
        <f t="shared" si="8"/>
        <v>0</v>
      </c>
    </row>
    <row r="23" spans="1:22">
      <c r="A23" s="54">
        <v>11</v>
      </c>
      <c r="B23" s="54">
        <v>1133002144</v>
      </c>
      <c r="C23" s="56">
        <v>42401</v>
      </c>
      <c r="D23" s="57">
        <v>42339</v>
      </c>
      <c r="E23" s="50">
        <f>2771413.62+1036671.39</f>
        <v>3808085.0100000002</v>
      </c>
      <c r="F23" s="50">
        <f t="shared" si="10"/>
        <v>-380808.50100000005</v>
      </c>
      <c r="G23" s="50">
        <f t="shared" si="0"/>
        <v>0</v>
      </c>
      <c r="H23" s="50"/>
      <c r="I23" s="50">
        <f t="shared" si="11"/>
        <v>3427276.5090000001</v>
      </c>
      <c r="J23" s="50">
        <f t="shared" si="12"/>
        <v>4112731.8108000001</v>
      </c>
      <c r="K23" s="50">
        <f>+J23</f>
        <v>4112731.8108000001</v>
      </c>
      <c r="L23" s="51">
        <f t="shared" si="9"/>
        <v>42399</v>
      </c>
      <c r="M23" s="51">
        <v>42430</v>
      </c>
      <c r="N23" s="52">
        <f t="shared" si="2"/>
        <v>-31</v>
      </c>
      <c r="O23" s="50">
        <f t="shared" si="13"/>
        <v>0</v>
      </c>
      <c r="P23" s="50">
        <f t="shared" si="3"/>
        <v>0</v>
      </c>
      <c r="Q23" s="53"/>
      <c r="R23" s="316">
        <f t="shared" si="4"/>
        <v>0</v>
      </c>
      <c r="S23" s="316">
        <f t="shared" si="5"/>
        <v>0</v>
      </c>
      <c r="T23" s="316">
        <f t="shared" si="6"/>
        <v>0</v>
      </c>
      <c r="U23" s="316">
        <f t="shared" si="7"/>
        <v>0</v>
      </c>
      <c r="V23" s="316">
        <f t="shared" si="8"/>
        <v>0</v>
      </c>
    </row>
    <row r="24" spans="1:22">
      <c r="A24" s="54">
        <v>12</v>
      </c>
      <c r="B24" s="55">
        <v>1133002202</v>
      </c>
      <c r="C24" s="56">
        <v>42426</v>
      </c>
      <c r="D24" s="57">
        <v>42370</v>
      </c>
      <c r="E24" s="50">
        <f>3555060.08+1329801.16</f>
        <v>4884861.24</v>
      </c>
      <c r="F24" s="50">
        <f t="shared" si="10"/>
        <v>-488486.12400000007</v>
      </c>
      <c r="G24" s="50">
        <f t="shared" si="0"/>
        <v>0</v>
      </c>
      <c r="H24" s="50"/>
      <c r="I24" s="50">
        <f t="shared" si="11"/>
        <v>4396375.1160000004</v>
      </c>
      <c r="J24" s="50">
        <f t="shared" si="12"/>
        <v>5275650.1392000001</v>
      </c>
      <c r="K24" s="50">
        <v>5275650.1399999997</v>
      </c>
      <c r="L24" s="51">
        <f t="shared" si="9"/>
        <v>42430</v>
      </c>
      <c r="M24" s="51">
        <v>42451</v>
      </c>
      <c r="N24" s="52">
        <f t="shared" si="2"/>
        <v>-21</v>
      </c>
      <c r="O24" s="50">
        <f t="shared" si="13"/>
        <v>-7.9999957233667374E-4</v>
      </c>
      <c r="P24" s="50">
        <f t="shared" si="3"/>
        <v>-7.9999957233667374E-4</v>
      </c>
      <c r="Q24" s="53"/>
      <c r="R24" s="316">
        <f t="shared" si="4"/>
        <v>-7.9999957233667374E-4</v>
      </c>
      <c r="S24" s="316">
        <f t="shared" si="5"/>
        <v>0</v>
      </c>
      <c r="T24" s="316">
        <f t="shared" si="6"/>
        <v>0</v>
      </c>
      <c r="U24" s="316">
        <f t="shared" si="7"/>
        <v>0</v>
      </c>
      <c r="V24" s="316">
        <f t="shared" si="8"/>
        <v>0</v>
      </c>
    </row>
    <row r="25" spans="1:22">
      <c r="A25" s="54">
        <v>13</v>
      </c>
      <c r="B25" s="55">
        <v>1133002292</v>
      </c>
      <c r="C25" s="56">
        <v>42460</v>
      </c>
      <c r="D25" s="57">
        <v>42428</v>
      </c>
      <c r="E25" s="50">
        <f>8885842.27+3323826.65</f>
        <v>12209668.92</v>
      </c>
      <c r="F25" s="50">
        <f t="shared" si="10"/>
        <v>-1220966.892</v>
      </c>
      <c r="G25" s="50">
        <f t="shared" si="0"/>
        <v>0</v>
      </c>
      <c r="H25" s="50"/>
      <c r="I25" s="50">
        <f t="shared" si="11"/>
        <v>10988702.028000001</v>
      </c>
      <c r="J25" s="50">
        <f t="shared" si="12"/>
        <v>13186442.433600001</v>
      </c>
      <c r="K25" s="50">
        <v>13186442.439999999</v>
      </c>
      <c r="L25" s="51">
        <f t="shared" si="9"/>
        <v>42488</v>
      </c>
      <c r="M25" s="51">
        <v>42494</v>
      </c>
      <c r="N25" s="52">
        <f t="shared" si="2"/>
        <v>-6</v>
      </c>
      <c r="O25" s="50">
        <f t="shared" si="13"/>
        <v>-6.3999984413385391E-3</v>
      </c>
      <c r="P25" s="50">
        <f t="shared" si="3"/>
        <v>-6.3999984413385391E-3</v>
      </c>
      <c r="Q25" s="53"/>
      <c r="R25" s="316">
        <f t="shared" si="4"/>
        <v>-6.3999984413385391E-3</v>
      </c>
      <c r="S25" s="316">
        <f t="shared" si="5"/>
        <v>0</v>
      </c>
      <c r="T25" s="316">
        <f t="shared" si="6"/>
        <v>0</v>
      </c>
      <c r="U25" s="316">
        <f t="shared" si="7"/>
        <v>0</v>
      </c>
      <c r="V25" s="316">
        <f t="shared" si="8"/>
        <v>0</v>
      </c>
    </row>
    <row r="26" spans="1:22">
      <c r="A26" s="54">
        <v>12</v>
      </c>
      <c r="B26" s="55">
        <v>1133002271</v>
      </c>
      <c r="C26" s="56">
        <v>42458</v>
      </c>
      <c r="D26" s="57">
        <v>42458</v>
      </c>
      <c r="E26" s="50">
        <v>869345.02</v>
      </c>
      <c r="F26" s="50"/>
      <c r="G26" s="50">
        <f>E26*$G$10</f>
        <v>0</v>
      </c>
      <c r="H26" s="50"/>
      <c r="I26" s="50">
        <f>+E26+F26-G26-H26</f>
        <v>869345.02</v>
      </c>
      <c r="J26" s="50">
        <f>+I26+(I26*$I$4)</f>
        <v>1043214.024</v>
      </c>
      <c r="K26" s="50">
        <v>1043214.02</v>
      </c>
      <c r="L26" s="51">
        <f>+D26</f>
        <v>42458</v>
      </c>
      <c r="M26" s="51">
        <v>42478</v>
      </c>
      <c r="N26" s="52">
        <f t="shared" si="2"/>
        <v>-20</v>
      </c>
      <c r="O26" s="50">
        <f t="shared" si="13"/>
        <v>3.9999999571591616E-3</v>
      </c>
      <c r="P26" s="50">
        <f t="shared" si="3"/>
        <v>3.9999999571591616E-3</v>
      </c>
      <c r="Q26" s="53"/>
      <c r="R26" s="316">
        <f t="shared" si="4"/>
        <v>3.9999999571591616E-3</v>
      </c>
      <c r="S26" s="316">
        <f t="shared" si="5"/>
        <v>0</v>
      </c>
      <c r="T26" s="316">
        <f t="shared" si="6"/>
        <v>0</v>
      </c>
      <c r="U26" s="316">
        <f t="shared" si="7"/>
        <v>0</v>
      </c>
      <c r="V26" s="316">
        <f t="shared" si="8"/>
        <v>0</v>
      </c>
    </row>
    <row r="27" spans="1:22">
      <c r="A27" s="54" t="s">
        <v>248</v>
      </c>
      <c r="B27" s="55">
        <v>1133002293</v>
      </c>
      <c r="C27" s="56">
        <v>42460</v>
      </c>
      <c r="D27" s="57">
        <v>42460</v>
      </c>
      <c r="E27" s="50">
        <v>3800000</v>
      </c>
      <c r="F27" s="50"/>
      <c r="G27" s="50">
        <f t="shared" ref="G27:G44" si="14">E27*$G$10</f>
        <v>0</v>
      </c>
      <c r="H27" s="50"/>
      <c r="I27" s="50">
        <f t="shared" ref="I27:I47" si="15">+E27+F27-G27-H27</f>
        <v>3800000</v>
      </c>
      <c r="J27" s="50">
        <f t="shared" ref="J27:J47" si="16">+I27+(I27*$I$4)</f>
        <v>4560000</v>
      </c>
      <c r="K27" s="50">
        <v>4560000</v>
      </c>
      <c r="L27" s="51">
        <f>+D27</f>
        <v>42460</v>
      </c>
      <c r="M27" s="51">
        <v>42494</v>
      </c>
      <c r="N27" s="52">
        <f t="shared" si="2"/>
        <v>-34</v>
      </c>
      <c r="O27" s="50">
        <f t="shared" si="13"/>
        <v>0</v>
      </c>
      <c r="P27" s="50">
        <f t="shared" si="3"/>
        <v>0</v>
      </c>
      <c r="Q27" s="53"/>
      <c r="R27" s="316">
        <f t="shared" si="4"/>
        <v>0</v>
      </c>
      <c r="S27" s="316">
        <f t="shared" si="5"/>
        <v>0</v>
      </c>
      <c r="T27" s="316">
        <f t="shared" si="6"/>
        <v>0</v>
      </c>
      <c r="U27" s="316">
        <f t="shared" si="7"/>
        <v>0</v>
      </c>
      <c r="V27" s="316">
        <f t="shared" si="8"/>
        <v>0</v>
      </c>
    </row>
    <row r="28" spans="1:22">
      <c r="A28" s="54">
        <v>14</v>
      </c>
      <c r="B28" s="55">
        <v>1133002312</v>
      </c>
      <c r="C28" s="56">
        <v>42487</v>
      </c>
      <c r="D28" s="57">
        <v>42459</v>
      </c>
      <c r="E28" s="50">
        <f>16397620.09+6133672.54</f>
        <v>22531292.629999999</v>
      </c>
      <c r="F28" s="50">
        <f t="shared" ref="F28:F34" si="17">-E28*$F$10</f>
        <v>-2253129.2629999998</v>
      </c>
      <c r="G28" s="50">
        <f t="shared" si="14"/>
        <v>0</v>
      </c>
      <c r="H28" s="50"/>
      <c r="I28" s="50">
        <f t="shared" si="15"/>
        <v>20278163.366999999</v>
      </c>
      <c r="J28" s="50">
        <f t="shared" si="16"/>
        <v>24333796.040399998</v>
      </c>
      <c r="K28" s="50">
        <v>24333796.039999999</v>
      </c>
      <c r="L28" s="51">
        <f t="shared" ref="L28:L37" si="18">+D28+60</f>
        <v>42519</v>
      </c>
      <c r="M28" s="51">
        <v>42517</v>
      </c>
      <c r="N28" s="52">
        <f t="shared" si="2"/>
        <v>2</v>
      </c>
      <c r="O28" s="50">
        <f t="shared" si="13"/>
        <v>3.9999932050704956E-4</v>
      </c>
      <c r="P28" s="50">
        <f t="shared" si="3"/>
        <v>3.9999932050704956E-4</v>
      </c>
      <c r="Q28" s="53"/>
      <c r="R28" s="316">
        <f t="shared" si="4"/>
        <v>0</v>
      </c>
      <c r="S28" s="316">
        <f t="shared" si="5"/>
        <v>0</v>
      </c>
      <c r="T28" s="316">
        <f t="shared" si="6"/>
        <v>0</v>
      </c>
      <c r="U28" s="316">
        <f t="shared" si="7"/>
        <v>0</v>
      </c>
      <c r="V28" s="316">
        <f t="shared" si="8"/>
        <v>0</v>
      </c>
    </row>
    <row r="29" spans="1:22">
      <c r="A29" s="54">
        <v>15</v>
      </c>
      <c r="B29" s="55">
        <v>1133002355</v>
      </c>
      <c r="C29" s="56">
        <v>42521</v>
      </c>
      <c r="D29" s="57">
        <v>42490</v>
      </c>
      <c r="E29" s="50">
        <f>14477357.39+5415381.55</f>
        <v>19892738.940000001</v>
      </c>
      <c r="F29" s="50">
        <f t="shared" si="17"/>
        <v>-1989273.8940000003</v>
      </c>
      <c r="G29" s="50">
        <f t="shared" si="14"/>
        <v>0</v>
      </c>
      <c r="H29" s="50"/>
      <c r="I29" s="50">
        <f t="shared" si="15"/>
        <v>17903465.046</v>
      </c>
      <c r="J29" s="50">
        <f t="shared" si="16"/>
        <v>21484158.055199999</v>
      </c>
      <c r="K29" s="50">
        <v>21484158.059999999</v>
      </c>
      <c r="L29" s="51">
        <f t="shared" si="18"/>
        <v>42550</v>
      </c>
      <c r="M29" s="51">
        <v>42549</v>
      </c>
      <c r="N29" s="52">
        <f t="shared" si="2"/>
        <v>1</v>
      </c>
      <c r="O29" s="50">
        <f t="shared" si="13"/>
        <v>-4.7999992966651917E-3</v>
      </c>
      <c r="P29" s="50">
        <f t="shared" si="3"/>
        <v>-4.7999992966651917E-3</v>
      </c>
      <c r="Q29" s="53"/>
      <c r="R29" s="316">
        <f t="shared" si="4"/>
        <v>0</v>
      </c>
      <c r="S29" s="316">
        <f t="shared" si="5"/>
        <v>0</v>
      </c>
      <c r="T29" s="316">
        <f t="shared" si="6"/>
        <v>0</v>
      </c>
      <c r="U29" s="316">
        <f t="shared" si="7"/>
        <v>0</v>
      </c>
      <c r="V29" s="316">
        <f t="shared" si="8"/>
        <v>0</v>
      </c>
    </row>
    <row r="30" spans="1:22">
      <c r="A30" s="54">
        <v>16</v>
      </c>
      <c r="B30" s="55">
        <v>1133002392</v>
      </c>
      <c r="C30" s="56">
        <v>42541</v>
      </c>
      <c r="D30" s="57">
        <v>42521</v>
      </c>
      <c r="E30" s="50">
        <f>12258879.51+4585540.59</f>
        <v>16844420.100000001</v>
      </c>
      <c r="F30" s="50">
        <f t="shared" si="17"/>
        <v>-1684442.0100000002</v>
      </c>
      <c r="G30" s="50">
        <f t="shared" si="14"/>
        <v>0</v>
      </c>
      <c r="H30" s="50"/>
      <c r="I30" s="50">
        <f t="shared" si="15"/>
        <v>15159978.090000002</v>
      </c>
      <c r="J30" s="50">
        <f t="shared" si="16"/>
        <v>18191973.708000004</v>
      </c>
      <c r="K30" s="50">
        <v>18191973.710000001</v>
      </c>
      <c r="L30" s="51">
        <f t="shared" si="18"/>
        <v>42581</v>
      </c>
      <c r="M30" s="51">
        <v>42592</v>
      </c>
      <c r="N30" s="52">
        <f t="shared" si="2"/>
        <v>-11</v>
      </c>
      <c r="O30" s="50">
        <f t="shared" si="13"/>
        <v>-1.9999966025352478E-3</v>
      </c>
      <c r="P30" s="50">
        <f t="shared" si="3"/>
        <v>-1.9999966025352478E-3</v>
      </c>
      <c r="Q30" s="53"/>
      <c r="R30" s="316">
        <f t="shared" si="4"/>
        <v>-1.9999966025352478E-3</v>
      </c>
      <c r="S30" s="316">
        <f t="shared" si="5"/>
        <v>0</v>
      </c>
      <c r="T30" s="316">
        <f t="shared" si="6"/>
        <v>0</v>
      </c>
      <c r="U30" s="316">
        <f t="shared" si="7"/>
        <v>0</v>
      </c>
      <c r="V30" s="316">
        <f t="shared" si="8"/>
        <v>0</v>
      </c>
    </row>
    <row r="31" spans="1:22">
      <c r="A31" s="54">
        <v>17</v>
      </c>
      <c r="B31" s="55">
        <v>1133002451</v>
      </c>
      <c r="C31" s="56">
        <v>42600</v>
      </c>
      <c r="D31" s="57">
        <v>42551</v>
      </c>
      <c r="E31" s="50">
        <v>16012296.890000001</v>
      </c>
      <c r="F31" s="50">
        <f t="shared" si="17"/>
        <v>-1601229.6890000002</v>
      </c>
      <c r="G31" s="50">
        <f t="shared" si="14"/>
        <v>0</v>
      </c>
      <c r="H31" s="50"/>
      <c r="I31" s="50">
        <f t="shared" si="15"/>
        <v>14411067.201000001</v>
      </c>
      <c r="J31" s="50">
        <f t="shared" si="16"/>
        <v>17293280.641200002</v>
      </c>
      <c r="K31" s="50">
        <v>17293280.640000001</v>
      </c>
      <c r="L31" s="51">
        <f t="shared" si="18"/>
        <v>42611</v>
      </c>
      <c r="M31" s="51">
        <v>42614</v>
      </c>
      <c r="N31" s="52">
        <f t="shared" si="2"/>
        <v>-3</v>
      </c>
      <c r="O31" s="50">
        <f t="shared" si="13"/>
        <v>1.2000016868114471E-3</v>
      </c>
      <c r="P31" s="50">
        <f t="shared" si="3"/>
        <v>1.2000016868114471E-3</v>
      </c>
      <c r="Q31" s="53"/>
      <c r="R31" s="316">
        <f t="shared" si="4"/>
        <v>1.2000016868114471E-3</v>
      </c>
      <c r="S31" s="316">
        <f t="shared" si="5"/>
        <v>0</v>
      </c>
      <c r="T31" s="316">
        <f t="shared" si="6"/>
        <v>0</v>
      </c>
      <c r="U31" s="316">
        <f t="shared" si="7"/>
        <v>0</v>
      </c>
      <c r="V31" s="316">
        <f t="shared" si="8"/>
        <v>0</v>
      </c>
    </row>
    <row r="32" spans="1:22">
      <c r="A32" s="54">
        <v>18</v>
      </c>
      <c r="B32" s="55">
        <v>1133002466</v>
      </c>
      <c r="C32" s="56">
        <v>42613</v>
      </c>
      <c r="D32" s="57">
        <v>42582</v>
      </c>
      <c r="E32" s="50">
        <f>8082111.99+3023184.35</f>
        <v>11105296.34</v>
      </c>
      <c r="F32" s="50">
        <f t="shared" si="17"/>
        <v>-1110529.6340000001</v>
      </c>
      <c r="G32" s="50">
        <f t="shared" si="14"/>
        <v>0</v>
      </c>
      <c r="H32" s="50"/>
      <c r="I32" s="50">
        <f t="shared" si="15"/>
        <v>9994766.7060000002</v>
      </c>
      <c r="J32" s="50">
        <f t="shared" si="16"/>
        <v>11993720.0472</v>
      </c>
      <c r="K32" s="50">
        <v>11993720.050000001</v>
      </c>
      <c r="L32" s="51">
        <f t="shared" si="18"/>
        <v>42642</v>
      </c>
      <c r="M32" s="51">
        <v>42641</v>
      </c>
      <c r="N32" s="52">
        <f t="shared" si="2"/>
        <v>1</v>
      </c>
      <c r="O32" s="50">
        <f t="shared" si="13"/>
        <v>-2.8000008314847946E-3</v>
      </c>
      <c r="P32" s="50">
        <f t="shared" si="3"/>
        <v>-2.8000008314847946E-3</v>
      </c>
      <c r="Q32" s="53"/>
      <c r="R32" s="316">
        <f t="shared" si="4"/>
        <v>0</v>
      </c>
      <c r="S32" s="316">
        <f t="shared" si="5"/>
        <v>0</v>
      </c>
      <c r="T32" s="316">
        <f t="shared" si="6"/>
        <v>0</v>
      </c>
      <c r="U32" s="316">
        <f t="shared" si="7"/>
        <v>0</v>
      </c>
      <c r="V32" s="316">
        <f t="shared" si="8"/>
        <v>0</v>
      </c>
    </row>
    <row r="33" spans="1:22">
      <c r="A33" s="54">
        <v>19</v>
      </c>
      <c r="B33" s="55">
        <v>1133002486</v>
      </c>
      <c r="C33" s="56">
        <v>42632</v>
      </c>
      <c r="D33" s="57">
        <v>42613</v>
      </c>
      <c r="E33" s="50">
        <f>9203331.15+3442586.13</f>
        <v>12645917.280000001</v>
      </c>
      <c r="F33" s="50">
        <f t="shared" si="17"/>
        <v>-1264591.7280000001</v>
      </c>
      <c r="G33" s="50">
        <f t="shared" si="14"/>
        <v>0</v>
      </c>
      <c r="H33" s="50"/>
      <c r="I33" s="50">
        <f t="shared" si="15"/>
        <v>11381325.552000001</v>
      </c>
      <c r="J33" s="50">
        <f t="shared" si="16"/>
        <v>13657590.662400002</v>
      </c>
      <c r="K33" s="50">
        <f>+J33</f>
        <v>13657590.662400002</v>
      </c>
      <c r="L33" s="51">
        <f t="shared" si="18"/>
        <v>42673</v>
      </c>
      <c r="M33" s="51">
        <v>42675</v>
      </c>
      <c r="N33" s="52">
        <f t="shared" si="2"/>
        <v>-2</v>
      </c>
      <c r="O33" s="50">
        <f t="shared" si="13"/>
        <v>0</v>
      </c>
      <c r="P33" s="50">
        <f t="shared" si="3"/>
        <v>0</v>
      </c>
      <c r="Q33" s="53"/>
      <c r="R33" s="316">
        <f t="shared" si="4"/>
        <v>0</v>
      </c>
      <c r="S33" s="316">
        <f t="shared" si="5"/>
        <v>0</v>
      </c>
      <c r="T33" s="316">
        <f t="shared" si="6"/>
        <v>0</v>
      </c>
      <c r="U33" s="316">
        <f t="shared" si="7"/>
        <v>0</v>
      </c>
      <c r="V33" s="316">
        <f t="shared" si="8"/>
        <v>0</v>
      </c>
    </row>
    <row r="34" spans="1:22">
      <c r="A34" s="54">
        <v>20</v>
      </c>
      <c r="B34" s="55">
        <v>1133002548</v>
      </c>
      <c r="C34" s="56">
        <v>42674</v>
      </c>
      <c r="D34" s="57">
        <v>42643</v>
      </c>
      <c r="E34" s="50">
        <v>8996594.4700000007</v>
      </c>
      <c r="F34" s="50">
        <f t="shared" si="17"/>
        <v>-899659.44700000016</v>
      </c>
      <c r="G34" s="50">
        <f t="shared" si="14"/>
        <v>0</v>
      </c>
      <c r="H34" s="50"/>
      <c r="I34" s="50">
        <f t="shared" si="15"/>
        <v>8096935.023</v>
      </c>
      <c r="J34" s="50">
        <f t="shared" si="16"/>
        <v>9716322.0275999997</v>
      </c>
      <c r="K34" s="50">
        <v>9716322.0199999996</v>
      </c>
      <c r="L34" s="51">
        <f t="shared" si="18"/>
        <v>42703</v>
      </c>
      <c r="M34" s="51">
        <v>42704</v>
      </c>
      <c r="N34" s="52">
        <f t="shared" si="2"/>
        <v>-1</v>
      </c>
      <c r="O34" s="50">
        <f t="shared" si="13"/>
        <v>7.6000001281499863E-3</v>
      </c>
      <c r="P34" s="50">
        <f t="shared" si="3"/>
        <v>7.6000001281499863E-3</v>
      </c>
      <c r="Q34" s="53"/>
      <c r="R34" s="316">
        <f t="shared" si="4"/>
        <v>7.6000001281499863E-3</v>
      </c>
      <c r="S34" s="316">
        <f t="shared" si="5"/>
        <v>0</v>
      </c>
      <c r="T34" s="316">
        <f t="shared" si="6"/>
        <v>0</v>
      </c>
      <c r="U34" s="316">
        <f t="shared" si="7"/>
        <v>0</v>
      </c>
      <c r="V34" s="316">
        <f t="shared" si="8"/>
        <v>0</v>
      </c>
    </row>
    <row r="35" spans="1:22">
      <c r="A35" s="54">
        <v>21</v>
      </c>
      <c r="B35" s="55">
        <v>1133002667</v>
      </c>
      <c r="C35" s="56">
        <v>42718</v>
      </c>
      <c r="D35" s="57">
        <v>42674</v>
      </c>
      <c r="E35" s="50">
        <f>7406080.4+2770308.84-52000</f>
        <v>10124389.24</v>
      </c>
      <c r="F35" s="50">
        <v>-1017638.92</v>
      </c>
      <c r="G35" s="50">
        <f t="shared" si="14"/>
        <v>0</v>
      </c>
      <c r="H35" s="50"/>
      <c r="I35" s="50">
        <f t="shared" si="15"/>
        <v>9106750.3200000003</v>
      </c>
      <c r="J35" s="50">
        <f t="shared" si="16"/>
        <v>10928100.384</v>
      </c>
      <c r="K35" s="50">
        <v>10928100.380000001</v>
      </c>
      <c r="L35" s="51">
        <f t="shared" si="18"/>
        <v>42734</v>
      </c>
      <c r="M35" s="51">
        <v>42739</v>
      </c>
      <c r="N35" s="52">
        <f t="shared" si="2"/>
        <v>-5</v>
      </c>
      <c r="O35" s="50">
        <f t="shared" si="13"/>
        <v>3.9999987930059433E-3</v>
      </c>
      <c r="P35" s="50">
        <f t="shared" si="3"/>
        <v>3.9999987930059433E-3</v>
      </c>
      <c r="Q35" s="53"/>
      <c r="R35" s="316">
        <f t="shared" si="4"/>
        <v>3.9999987930059433E-3</v>
      </c>
      <c r="S35" s="316">
        <f t="shared" si="5"/>
        <v>0</v>
      </c>
      <c r="T35" s="316">
        <f t="shared" si="6"/>
        <v>0</v>
      </c>
      <c r="U35" s="316">
        <f t="shared" si="7"/>
        <v>0</v>
      </c>
      <c r="V35" s="316">
        <f t="shared" si="8"/>
        <v>0</v>
      </c>
    </row>
    <row r="36" spans="1:22">
      <c r="A36" s="54">
        <v>22</v>
      </c>
      <c r="B36" s="55">
        <v>1133002749</v>
      </c>
      <c r="C36" s="56">
        <v>42733</v>
      </c>
      <c r="D36" s="57">
        <v>42704</v>
      </c>
      <c r="E36" s="50">
        <f>4822588.63+1803931.26</f>
        <v>6626519.8899999997</v>
      </c>
      <c r="F36" s="50">
        <f t="shared" ref="F36:F37" si="19">-E36*$F$10</f>
        <v>-662651.98900000006</v>
      </c>
      <c r="G36" s="50">
        <f t="shared" si="14"/>
        <v>0</v>
      </c>
      <c r="H36" s="50"/>
      <c r="I36" s="50">
        <f t="shared" si="15"/>
        <v>5963867.9009999996</v>
      </c>
      <c r="J36" s="50">
        <f t="shared" si="16"/>
        <v>7156641.4811999993</v>
      </c>
      <c r="K36" s="50">
        <v>7156641.4800000004</v>
      </c>
      <c r="L36" s="51">
        <f t="shared" si="18"/>
        <v>42764</v>
      </c>
      <c r="M36" s="51">
        <v>42781</v>
      </c>
      <c r="N36" s="52">
        <f t="shared" si="2"/>
        <v>-17</v>
      </c>
      <c r="O36" s="50">
        <f t="shared" si="13"/>
        <v>1.1999988928437233E-3</v>
      </c>
      <c r="P36" s="50">
        <f t="shared" si="3"/>
        <v>1.1999988928437233E-3</v>
      </c>
      <c r="Q36" s="53"/>
      <c r="R36" s="316">
        <f t="shared" si="4"/>
        <v>1.1999988928437233E-3</v>
      </c>
      <c r="S36" s="316">
        <f t="shared" si="5"/>
        <v>0</v>
      </c>
      <c r="T36" s="316">
        <f t="shared" si="6"/>
        <v>0</v>
      </c>
      <c r="U36" s="316">
        <f t="shared" si="7"/>
        <v>0</v>
      </c>
      <c r="V36" s="316">
        <f t="shared" si="8"/>
        <v>0</v>
      </c>
    </row>
    <row r="37" spans="1:22">
      <c r="A37" s="54">
        <v>23</v>
      </c>
      <c r="B37" s="55">
        <v>1133002834</v>
      </c>
      <c r="C37" s="56">
        <v>42788</v>
      </c>
      <c r="D37" s="57">
        <v>42735</v>
      </c>
      <c r="E37" s="50">
        <v>3220891.08</v>
      </c>
      <c r="F37" s="50">
        <f t="shared" si="19"/>
        <v>-322089.10800000001</v>
      </c>
      <c r="G37" s="50">
        <f t="shared" si="14"/>
        <v>0</v>
      </c>
      <c r="H37" s="50"/>
      <c r="I37" s="50">
        <f t="shared" si="15"/>
        <v>2898801.9720000001</v>
      </c>
      <c r="J37" s="50">
        <f t="shared" si="16"/>
        <v>3478562.3664000002</v>
      </c>
      <c r="K37" s="50">
        <v>3478562.36</v>
      </c>
      <c r="L37" s="51">
        <f t="shared" si="18"/>
        <v>42795</v>
      </c>
      <c r="M37" s="51">
        <v>42797</v>
      </c>
      <c r="N37" s="52">
        <f t="shared" si="2"/>
        <v>-2</v>
      </c>
      <c r="O37" s="50">
        <f t="shared" si="13"/>
        <v>6.4000003039836884E-3</v>
      </c>
      <c r="P37" s="50">
        <f t="shared" si="3"/>
        <v>6.4000003039836884E-3</v>
      </c>
      <c r="Q37" s="53"/>
      <c r="R37" s="316">
        <f t="shared" si="4"/>
        <v>6.4000003039836884E-3</v>
      </c>
      <c r="S37" s="316">
        <f t="shared" si="5"/>
        <v>0</v>
      </c>
      <c r="T37" s="316">
        <f t="shared" si="6"/>
        <v>0</v>
      </c>
      <c r="U37" s="316">
        <f t="shared" si="7"/>
        <v>0</v>
      </c>
      <c r="V37" s="316">
        <f t="shared" si="8"/>
        <v>0</v>
      </c>
    </row>
    <row r="38" spans="1:22">
      <c r="A38" s="54">
        <v>24</v>
      </c>
      <c r="B38" s="55">
        <v>1133002878</v>
      </c>
      <c r="C38" s="56">
        <v>42807</v>
      </c>
      <c r="D38" s="57">
        <v>42766</v>
      </c>
      <c r="E38" s="50">
        <f>5151558.24+1926985.2-12000</f>
        <v>7066543.4400000004</v>
      </c>
      <c r="F38" s="50">
        <v>-707854.34</v>
      </c>
      <c r="G38" s="50">
        <f t="shared" si="14"/>
        <v>0</v>
      </c>
      <c r="H38" s="50"/>
      <c r="I38" s="50">
        <f t="shared" si="15"/>
        <v>6358689.1000000006</v>
      </c>
      <c r="J38" s="50">
        <f t="shared" si="16"/>
        <v>7630426.9200000009</v>
      </c>
      <c r="K38" s="50">
        <v>7630426.9199999999</v>
      </c>
      <c r="L38" s="51">
        <f>+D38+60</f>
        <v>42826</v>
      </c>
      <c r="M38" s="51">
        <v>42823</v>
      </c>
      <c r="N38" s="52">
        <f t="shared" si="2"/>
        <v>3</v>
      </c>
      <c r="O38" s="50">
        <f t="shared" si="13"/>
        <v>0</v>
      </c>
      <c r="P38" s="50">
        <f t="shared" si="3"/>
        <v>0</v>
      </c>
      <c r="Q38" s="53"/>
      <c r="R38" s="316">
        <f t="shared" si="4"/>
        <v>0</v>
      </c>
      <c r="S38" s="316">
        <f t="shared" si="5"/>
        <v>0</v>
      </c>
      <c r="T38" s="316">
        <f t="shared" si="6"/>
        <v>0</v>
      </c>
      <c r="U38" s="316">
        <f t="shared" si="7"/>
        <v>0</v>
      </c>
      <c r="V38" s="316">
        <f t="shared" si="8"/>
        <v>0</v>
      </c>
    </row>
    <row r="39" spans="1:22">
      <c r="A39" s="54">
        <v>25</v>
      </c>
      <c r="B39" s="55">
        <v>1133002918</v>
      </c>
      <c r="C39" s="56">
        <v>42843</v>
      </c>
      <c r="D39" s="57">
        <v>42794</v>
      </c>
      <c r="E39" s="50">
        <f>3897694.34+1457966.5</f>
        <v>5355660.84</v>
      </c>
      <c r="F39" s="50">
        <f t="shared" ref="F39:F40" si="20">-E39*$F$10</f>
        <v>-535566.08400000003</v>
      </c>
      <c r="G39" s="50">
        <f t="shared" si="14"/>
        <v>0</v>
      </c>
      <c r="H39" s="50"/>
      <c r="I39" s="50">
        <f t="shared" si="15"/>
        <v>4820094.7560000001</v>
      </c>
      <c r="J39" s="50">
        <f t="shared" si="16"/>
        <v>5784113.7072000001</v>
      </c>
      <c r="K39" s="50">
        <v>5784113.71</v>
      </c>
      <c r="L39" s="51">
        <f>+D39+60</f>
        <v>42854</v>
      </c>
      <c r="M39" s="51">
        <v>42860</v>
      </c>
      <c r="N39" s="52">
        <f t="shared" si="2"/>
        <v>-6</v>
      </c>
      <c r="O39" s="50">
        <f t="shared" si="13"/>
        <v>-2.79999990016222E-3</v>
      </c>
      <c r="P39" s="50">
        <f t="shared" si="3"/>
        <v>-2.79999990016222E-3</v>
      </c>
      <c r="Q39" s="53"/>
      <c r="R39" s="316">
        <f t="shared" si="4"/>
        <v>-2.79999990016222E-3</v>
      </c>
      <c r="S39" s="316">
        <f t="shared" si="5"/>
        <v>0</v>
      </c>
      <c r="T39" s="316">
        <f t="shared" si="6"/>
        <v>0</v>
      </c>
      <c r="U39" s="316">
        <f t="shared" si="7"/>
        <v>0</v>
      </c>
      <c r="V39" s="316">
        <f t="shared" si="8"/>
        <v>0</v>
      </c>
    </row>
    <row r="40" spans="1:22">
      <c r="A40" s="54">
        <v>26</v>
      </c>
      <c r="B40" s="55">
        <v>1133002950</v>
      </c>
      <c r="C40" s="56">
        <v>42866</v>
      </c>
      <c r="D40" s="57">
        <v>42825</v>
      </c>
      <c r="E40" s="50">
        <f>5708606.8+2135354.06</f>
        <v>7843960.8599999994</v>
      </c>
      <c r="F40" s="50">
        <f t="shared" si="20"/>
        <v>-784396.08600000001</v>
      </c>
      <c r="G40" s="50">
        <f t="shared" si="14"/>
        <v>0</v>
      </c>
      <c r="H40" s="50"/>
      <c r="I40" s="50">
        <f t="shared" si="15"/>
        <v>7059564.7739999993</v>
      </c>
      <c r="J40" s="50">
        <f t="shared" si="16"/>
        <v>8471477.7287999988</v>
      </c>
      <c r="K40" s="50">
        <v>8471477.7200000007</v>
      </c>
      <c r="L40" s="51">
        <f>+D40+60</f>
        <v>42885</v>
      </c>
      <c r="M40" s="51">
        <v>42915</v>
      </c>
      <c r="N40" s="52">
        <f t="shared" si="2"/>
        <v>-30</v>
      </c>
      <c r="O40" s="50">
        <f t="shared" si="13"/>
        <v>8.7999980896711349E-3</v>
      </c>
      <c r="P40" s="50">
        <f t="shared" si="3"/>
        <v>8.7999980896711349E-3</v>
      </c>
      <c r="Q40" s="53"/>
      <c r="R40" s="316">
        <f t="shared" si="4"/>
        <v>8.7999980896711349E-3</v>
      </c>
      <c r="S40" s="316">
        <f t="shared" si="5"/>
        <v>0</v>
      </c>
      <c r="T40" s="316">
        <f t="shared" si="6"/>
        <v>0</v>
      </c>
      <c r="U40" s="316">
        <f t="shared" si="7"/>
        <v>0</v>
      </c>
      <c r="V40" s="316">
        <f t="shared" si="8"/>
        <v>0</v>
      </c>
    </row>
    <row r="41" spans="1:22">
      <c r="A41" s="54">
        <v>27</v>
      </c>
      <c r="B41" s="55">
        <v>1133002984</v>
      </c>
      <c r="C41" s="56">
        <v>42898</v>
      </c>
      <c r="D41" s="57">
        <v>42855</v>
      </c>
      <c r="E41" s="50">
        <f>3902685.01+1459833.3-12000</f>
        <v>5350518.3099999996</v>
      </c>
      <c r="F41" s="50">
        <v>-536251.82999999996</v>
      </c>
      <c r="G41" s="50">
        <f t="shared" si="14"/>
        <v>0</v>
      </c>
      <c r="H41" s="50"/>
      <c r="I41" s="50">
        <f t="shared" si="15"/>
        <v>4814266.4799999995</v>
      </c>
      <c r="J41" s="50">
        <f t="shared" si="16"/>
        <v>5777119.7759999996</v>
      </c>
      <c r="K41" s="50">
        <v>5777119.7800000003</v>
      </c>
      <c r="L41" s="51">
        <f>+D41+60</f>
        <v>42915</v>
      </c>
      <c r="M41" s="51">
        <v>42934</v>
      </c>
      <c r="N41" s="52">
        <f t="shared" si="2"/>
        <v>-19</v>
      </c>
      <c r="O41" s="50">
        <f t="shared" si="13"/>
        <v>-4.0000006556510925E-3</v>
      </c>
      <c r="P41" s="50">
        <f t="shared" si="3"/>
        <v>-4.0000006556510925E-3</v>
      </c>
      <c r="Q41" s="53"/>
      <c r="R41" s="316">
        <f t="shared" si="4"/>
        <v>-4.0000006556510925E-3</v>
      </c>
      <c r="S41" s="316">
        <f t="shared" si="5"/>
        <v>0</v>
      </c>
      <c r="T41" s="316">
        <f t="shared" si="6"/>
        <v>0</v>
      </c>
      <c r="U41" s="316">
        <f t="shared" si="7"/>
        <v>0</v>
      </c>
      <c r="V41" s="316">
        <f t="shared" si="8"/>
        <v>0</v>
      </c>
    </row>
    <row r="42" spans="1:22">
      <c r="A42" s="54">
        <v>28</v>
      </c>
      <c r="B42" s="55">
        <v>1133003027</v>
      </c>
      <c r="C42" s="56">
        <v>42928</v>
      </c>
      <c r="D42" s="57">
        <v>42886</v>
      </c>
      <c r="E42" s="50">
        <v>13820194.82</v>
      </c>
      <c r="F42" s="50">
        <f t="shared" ref="F42:F43" si="21">-E42*$F$10</f>
        <v>-1382019.4820000001</v>
      </c>
      <c r="G42" s="50">
        <f t="shared" si="14"/>
        <v>0</v>
      </c>
      <c r="H42" s="50"/>
      <c r="I42" s="50">
        <f t="shared" si="15"/>
        <v>12438175.338</v>
      </c>
      <c r="J42" s="50">
        <f t="shared" si="16"/>
        <v>14925810.4056</v>
      </c>
      <c r="K42" s="50">
        <v>14925810.41</v>
      </c>
      <c r="L42" s="51">
        <f>+D42+60</f>
        <v>42946</v>
      </c>
      <c r="M42" s="51">
        <v>42976</v>
      </c>
      <c r="N42" s="52">
        <f t="shared" si="2"/>
        <v>-30</v>
      </c>
      <c r="O42" s="50">
        <f t="shared" si="13"/>
        <v>-4.3999999761581421E-3</v>
      </c>
      <c r="P42" s="50">
        <f t="shared" si="3"/>
        <v>-4.3999999761581421E-3</v>
      </c>
      <c r="Q42" s="53"/>
      <c r="R42" s="316">
        <f t="shared" si="4"/>
        <v>-4.3999999761581421E-3</v>
      </c>
      <c r="S42" s="316">
        <f t="shared" si="5"/>
        <v>0</v>
      </c>
      <c r="T42" s="316">
        <f t="shared" si="6"/>
        <v>0</v>
      </c>
      <c r="U42" s="316">
        <f t="shared" si="7"/>
        <v>0</v>
      </c>
      <c r="V42" s="316">
        <f t="shared" si="8"/>
        <v>0</v>
      </c>
    </row>
    <row r="43" spans="1:22">
      <c r="A43" s="54">
        <v>29</v>
      </c>
      <c r="B43" s="55">
        <v>1133003048</v>
      </c>
      <c r="C43" s="56">
        <v>42943</v>
      </c>
      <c r="D43" s="57">
        <v>42916</v>
      </c>
      <c r="E43" s="50">
        <f>3127691.08+1169940.08+4731387.24</f>
        <v>9029018.4000000004</v>
      </c>
      <c r="F43" s="50">
        <f t="shared" si="21"/>
        <v>-902901.84000000008</v>
      </c>
      <c r="G43" s="50">
        <f t="shared" si="14"/>
        <v>0</v>
      </c>
      <c r="H43" s="50"/>
      <c r="I43" s="50">
        <f t="shared" si="15"/>
        <v>8126116.5600000005</v>
      </c>
      <c r="J43" s="50">
        <f t="shared" si="16"/>
        <v>9751339.8720000014</v>
      </c>
      <c r="K43" s="50">
        <f>+J43</f>
        <v>9751339.8720000014</v>
      </c>
      <c r="L43" s="51">
        <f>+C43+45</f>
        <v>42988</v>
      </c>
      <c r="M43" s="51">
        <v>43010</v>
      </c>
      <c r="N43" s="52">
        <f t="shared" si="2"/>
        <v>-22</v>
      </c>
      <c r="O43" s="50">
        <f t="shared" si="13"/>
        <v>0</v>
      </c>
      <c r="P43" s="50">
        <f t="shared" si="3"/>
        <v>0</v>
      </c>
      <c r="Q43" s="53"/>
      <c r="R43" s="316">
        <f t="shared" si="4"/>
        <v>0</v>
      </c>
      <c r="S43" s="316">
        <f t="shared" si="5"/>
        <v>0</v>
      </c>
      <c r="T43" s="316">
        <f t="shared" si="6"/>
        <v>0</v>
      </c>
      <c r="U43" s="316">
        <f t="shared" si="7"/>
        <v>0</v>
      </c>
      <c r="V43" s="316">
        <f t="shared" si="8"/>
        <v>0</v>
      </c>
    </row>
    <row r="44" spans="1:22">
      <c r="A44" s="54">
        <v>30</v>
      </c>
      <c r="B44" s="55">
        <v>1133003147</v>
      </c>
      <c r="C44" s="56">
        <v>42978</v>
      </c>
      <c r="D44" s="57">
        <v>42947</v>
      </c>
      <c r="E44" s="50">
        <v>13315809.24</v>
      </c>
      <c r="F44" s="50">
        <v>-1332780.92</v>
      </c>
      <c r="G44" s="50">
        <f t="shared" si="14"/>
        <v>0</v>
      </c>
      <c r="H44" s="50"/>
      <c r="I44" s="50">
        <f t="shared" si="15"/>
        <v>11983028.32</v>
      </c>
      <c r="J44" s="50">
        <f t="shared" si="16"/>
        <v>14379633.984000001</v>
      </c>
      <c r="K44" s="50">
        <f>+J44</f>
        <v>14379633.984000001</v>
      </c>
      <c r="L44" s="51">
        <f>+C44+45</f>
        <v>43023</v>
      </c>
      <c r="M44" s="51">
        <v>43035</v>
      </c>
      <c r="N44" s="52">
        <f t="shared" si="2"/>
        <v>-12</v>
      </c>
      <c r="O44" s="50">
        <f t="shared" si="13"/>
        <v>0</v>
      </c>
      <c r="P44" s="50">
        <f t="shared" si="3"/>
        <v>0</v>
      </c>
      <c r="Q44" s="53"/>
      <c r="R44" s="316">
        <f t="shared" si="4"/>
        <v>0</v>
      </c>
      <c r="S44" s="316">
        <f t="shared" si="5"/>
        <v>0</v>
      </c>
      <c r="T44" s="316">
        <f t="shared" si="6"/>
        <v>0</v>
      </c>
      <c r="U44" s="316">
        <f t="shared" si="7"/>
        <v>0</v>
      </c>
      <c r="V44" s="316">
        <f t="shared" si="8"/>
        <v>0</v>
      </c>
    </row>
    <row r="45" spans="1:22">
      <c r="A45" s="54">
        <v>31</v>
      </c>
      <c r="B45" s="55">
        <v>1133003165</v>
      </c>
      <c r="C45" s="56">
        <v>43007</v>
      </c>
      <c r="D45" s="57">
        <v>42978</v>
      </c>
      <c r="E45" s="50">
        <f>4741024.77+1773421.58+6337147.81-19602</f>
        <v>12831992.16</v>
      </c>
      <c r="F45" s="50">
        <v>-1285159.42</v>
      </c>
      <c r="G45" s="50"/>
      <c r="H45" s="50"/>
      <c r="I45" s="50">
        <f t="shared" si="15"/>
        <v>11546832.74</v>
      </c>
      <c r="J45" s="50">
        <f t="shared" si="16"/>
        <v>13856199.288000001</v>
      </c>
      <c r="K45" s="50"/>
      <c r="L45" s="51">
        <f>+C45+45</f>
        <v>43052</v>
      </c>
      <c r="M45" s="51"/>
      <c r="N45" s="52">
        <f t="shared" si="2"/>
        <v>-17</v>
      </c>
      <c r="O45" s="50">
        <f t="shared" si="13"/>
        <v>13856199.288000001</v>
      </c>
      <c r="P45" s="50">
        <f t="shared" si="3"/>
        <v>13856199.288000001</v>
      </c>
      <c r="Q45" s="53"/>
      <c r="R45" s="316">
        <f t="shared" si="4"/>
        <v>13856199.288000001</v>
      </c>
      <c r="S45" s="316">
        <f t="shared" si="5"/>
        <v>0</v>
      </c>
      <c r="T45" s="316">
        <f t="shared" si="6"/>
        <v>0</v>
      </c>
      <c r="U45" s="316">
        <f t="shared" si="7"/>
        <v>0</v>
      </c>
      <c r="V45" s="316">
        <f t="shared" si="8"/>
        <v>0</v>
      </c>
    </row>
    <row r="46" spans="1:22">
      <c r="A46" s="54">
        <v>32</v>
      </c>
      <c r="B46" s="55">
        <v>113303221</v>
      </c>
      <c r="C46" s="56">
        <v>43041</v>
      </c>
      <c r="D46" s="57">
        <v>43008</v>
      </c>
      <c r="E46" s="50">
        <f>2976785.34+1113492.47+3978955.95</f>
        <v>8069233.7599999998</v>
      </c>
      <c r="F46" s="50">
        <f t="shared" ref="F46:F47" si="22">-E46*$F$10</f>
        <v>-806923.37600000005</v>
      </c>
      <c r="G46" s="50"/>
      <c r="H46" s="50"/>
      <c r="I46" s="50">
        <f t="shared" si="15"/>
        <v>7262310.3839999996</v>
      </c>
      <c r="J46" s="50">
        <f t="shared" si="16"/>
        <v>8714772.4607999995</v>
      </c>
      <c r="K46" s="50"/>
      <c r="L46" s="51">
        <f>+C46+45</f>
        <v>43086</v>
      </c>
      <c r="M46" s="51"/>
      <c r="N46" s="52">
        <f t="shared" si="2"/>
        <v>17</v>
      </c>
      <c r="O46" s="50">
        <f t="shared" si="13"/>
        <v>8714772.4607999995</v>
      </c>
      <c r="P46" s="50">
        <f t="shared" si="3"/>
        <v>0</v>
      </c>
      <c r="Q46" s="53"/>
      <c r="R46" s="316">
        <f t="shared" si="4"/>
        <v>0</v>
      </c>
      <c r="S46" s="316">
        <f t="shared" si="5"/>
        <v>0</v>
      </c>
      <c r="T46" s="316">
        <f t="shared" si="6"/>
        <v>0</v>
      </c>
      <c r="U46" s="316">
        <f t="shared" si="7"/>
        <v>0</v>
      </c>
      <c r="V46" s="316">
        <f t="shared" si="8"/>
        <v>0</v>
      </c>
    </row>
    <row r="47" spans="1:22">
      <c r="A47" s="54"/>
      <c r="B47" s="55"/>
      <c r="C47" s="56"/>
      <c r="D47" s="57"/>
      <c r="E47" s="50"/>
      <c r="F47" s="50">
        <f t="shared" si="22"/>
        <v>0</v>
      </c>
      <c r="G47" s="50"/>
      <c r="H47" s="50"/>
      <c r="I47" s="50">
        <f t="shared" si="15"/>
        <v>0</v>
      </c>
      <c r="J47" s="50">
        <f t="shared" si="16"/>
        <v>0</v>
      </c>
      <c r="K47" s="50"/>
      <c r="L47" s="51"/>
      <c r="M47" s="51"/>
      <c r="N47" s="52">
        <f t="shared" si="2"/>
        <v>0</v>
      </c>
      <c r="O47" s="50">
        <f t="shared" si="13"/>
        <v>0</v>
      </c>
      <c r="P47" s="50">
        <f t="shared" si="3"/>
        <v>0</v>
      </c>
      <c r="Q47" s="53"/>
      <c r="R47" s="316">
        <f t="shared" si="4"/>
        <v>0</v>
      </c>
      <c r="S47" s="316">
        <f t="shared" si="5"/>
        <v>0</v>
      </c>
      <c r="T47" s="316">
        <f t="shared" si="6"/>
        <v>0</v>
      </c>
      <c r="U47" s="316">
        <f t="shared" si="7"/>
        <v>0</v>
      </c>
      <c r="V47" s="316">
        <f t="shared" si="8"/>
        <v>0</v>
      </c>
    </row>
    <row r="48" spans="1:22" ht="17.25" thickBot="1">
      <c r="A48" s="54"/>
      <c r="B48" s="55"/>
      <c r="C48" s="56"/>
      <c r="D48" s="57"/>
      <c r="E48" s="50"/>
      <c r="F48" s="50"/>
      <c r="G48" s="50"/>
      <c r="H48" s="50"/>
      <c r="I48" s="50"/>
      <c r="J48" s="50"/>
      <c r="K48" s="50"/>
      <c r="L48" s="51"/>
      <c r="M48" s="51"/>
      <c r="N48" s="59"/>
      <c r="O48" s="50"/>
      <c r="P48" s="55"/>
      <c r="Q48" s="53"/>
      <c r="R48" s="316"/>
      <c r="S48" s="316"/>
      <c r="T48" s="316"/>
      <c r="U48" s="316"/>
      <c r="V48" s="316"/>
    </row>
    <row r="49" spans="1:24" s="53" customFormat="1" ht="20.100000000000001" customHeight="1" thickBot="1">
      <c r="A49" s="60"/>
      <c r="B49" s="61" t="s">
        <v>58</v>
      </c>
      <c r="C49" s="61"/>
      <c r="D49" s="61"/>
      <c r="E49" s="62">
        <f t="shared" ref="E49:K49" si="23">SUM(E12:E48)</f>
        <v>306719622.53999996</v>
      </c>
      <c r="F49" s="62">
        <f>SUM(F12:F48)</f>
        <v>12821812.057000013</v>
      </c>
      <c r="G49" s="62">
        <f t="shared" si="23"/>
        <v>0</v>
      </c>
      <c r="H49" s="62">
        <f t="shared" si="23"/>
        <v>0</v>
      </c>
      <c r="I49" s="62">
        <f t="shared" si="23"/>
        <v>319541434.597</v>
      </c>
      <c r="J49" s="62">
        <f t="shared" si="23"/>
        <v>383449721.51640004</v>
      </c>
      <c r="K49" s="62">
        <f t="shared" si="23"/>
        <v>360878749.76920003</v>
      </c>
      <c r="L49" s="63"/>
      <c r="M49" s="63"/>
      <c r="N49" s="63"/>
      <c r="O49" s="62">
        <f>SUM(O12:O48)</f>
        <v>22570971.747200005</v>
      </c>
      <c r="P49" s="64">
        <f>SUM(P12:P48)</f>
        <v>13856199.286400003</v>
      </c>
      <c r="R49" s="65">
        <f>SUM(R12:R48)</f>
        <v>13856199.296000006</v>
      </c>
      <c r="S49" s="65">
        <f t="shared" ref="S49:V49" si="24">SUM(S12:S48)</f>
        <v>-6.7999999737367034E-3</v>
      </c>
      <c r="T49" s="65">
        <f t="shared" si="24"/>
        <v>0</v>
      </c>
      <c r="U49" s="65">
        <f t="shared" si="24"/>
        <v>0</v>
      </c>
      <c r="V49" s="65">
        <f t="shared" si="24"/>
        <v>0</v>
      </c>
      <c r="X49" s="65"/>
    </row>
    <row r="50" spans="1:24" ht="21" customHeight="1">
      <c r="A50" s="66"/>
      <c r="B50" s="67"/>
      <c r="C50" s="67"/>
      <c r="D50" s="68" t="s">
        <v>59</v>
      </c>
      <c r="E50" s="69">
        <f>+E49/$M$7</f>
        <v>0.99194479019699899</v>
      </c>
      <c r="F50" s="67"/>
      <c r="G50" s="67"/>
      <c r="H50" s="67"/>
      <c r="I50" s="67"/>
      <c r="J50" s="68" t="s">
        <v>60</v>
      </c>
      <c r="K50" s="69">
        <f>+K49/J49</f>
        <v>0.94113707617796594</v>
      </c>
      <c r="L50" s="67"/>
      <c r="M50" s="67"/>
      <c r="N50" s="67"/>
      <c r="O50" s="67"/>
      <c r="P50" s="70"/>
      <c r="Q50" s="53"/>
      <c r="R50" s="53"/>
      <c r="S50" s="53"/>
      <c r="T50" s="53"/>
      <c r="U50" s="53"/>
      <c r="V50" s="53"/>
    </row>
    <row r="51" spans="1:24" ht="21" customHeight="1" thickBot="1">
      <c r="A51" s="71"/>
      <c r="B51" s="72"/>
      <c r="C51" s="72"/>
      <c r="D51" s="73" t="s">
        <v>61</v>
      </c>
      <c r="E51" s="74">
        <f>+$M$7-$E$49</f>
        <v>2490754.4600000381</v>
      </c>
      <c r="F51" s="75">
        <f>+E51/M7</f>
        <v>8.0552098030010101E-3</v>
      </c>
      <c r="G51" s="72"/>
      <c r="H51" s="72"/>
      <c r="I51" s="72"/>
      <c r="J51" s="72"/>
      <c r="K51" s="72"/>
      <c r="L51" s="72"/>
      <c r="M51" s="72"/>
      <c r="N51" s="72"/>
      <c r="O51" s="72"/>
      <c r="P51" s="76"/>
      <c r="Q51" s="53"/>
      <c r="R51" s="53"/>
      <c r="S51" s="53"/>
      <c r="T51" s="53"/>
      <c r="U51" s="53"/>
      <c r="V51" s="53"/>
    </row>
    <row r="52" spans="1:24">
      <c r="A52" s="53"/>
      <c r="B52" s="66"/>
      <c r="C52" s="67"/>
      <c r="D52" s="67"/>
      <c r="E52" s="67"/>
      <c r="F52" s="67"/>
      <c r="G52" s="67"/>
      <c r="H52" s="67"/>
      <c r="I52" s="67"/>
      <c r="J52" s="67"/>
      <c r="K52" s="67"/>
      <c r="L52" s="67"/>
      <c r="M52" s="67"/>
      <c r="N52" s="70"/>
      <c r="O52" s="53"/>
      <c r="P52" s="53"/>
      <c r="Q52" s="53"/>
      <c r="R52" s="53"/>
      <c r="S52" s="53"/>
      <c r="T52" s="53"/>
      <c r="U52" s="53"/>
      <c r="V52" s="53"/>
    </row>
    <row r="53" spans="1:24" ht="21">
      <c r="A53" s="53"/>
      <c r="B53" s="275"/>
      <c r="C53" s="182" t="s">
        <v>62</v>
      </c>
      <c r="D53" s="182"/>
      <c r="E53" s="182"/>
      <c r="F53" s="182"/>
      <c r="G53" s="182"/>
      <c r="H53" s="182" t="s">
        <v>249</v>
      </c>
      <c r="I53" s="145"/>
      <c r="J53" s="145"/>
      <c r="K53" s="145"/>
      <c r="L53" s="145"/>
      <c r="M53" s="145"/>
      <c r="N53" s="146"/>
      <c r="O53" s="53"/>
      <c r="P53" s="53"/>
      <c r="Q53" s="53"/>
      <c r="R53" s="53"/>
      <c r="S53" s="53"/>
      <c r="T53" s="53"/>
      <c r="U53" s="53"/>
      <c r="V53" s="53"/>
    </row>
    <row r="54" spans="1:24" ht="17.25" thickBot="1">
      <c r="A54" s="53"/>
      <c r="B54" s="275"/>
      <c r="C54" s="145"/>
      <c r="D54" s="145"/>
      <c r="E54" s="145"/>
      <c r="F54" s="145"/>
      <c r="G54" s="147"/>
      <c r="H54" s="145"/>
      <c r="I54" s="145"/>
      <c r="J54" s="145"/>
      <c r="K54" s="145"/>
      <c r="L54" s="145"/>
      <c r="M54" s="145"/>
      <c r="N54" s="146"/>
      <c r="O54" s="53"/>
      <c r="P54" s="53"/>
      <c r="Q54" s="53"/>
      <c r="R54" s="53"/>
      <c r="S54" s="53"/>
      <c r="T54" s="53"/>
      <c r="U54" s="53"/>
      <c r="V54" s="53"/>
    </row>
    <row r="55" spans="1:24" ht="18" customHeight="1" thickBot="1">
      <c r="A55" s="53"/>
      <c r="B55" s="275"/>
      <c r="C55" s="379" t="s">
        <v>63</v>
      </c>
      <c r="D55" s="380"/>
      <c r="E55" s="381"/>
      <c r="F55" s="148" t="s">
        <v>64</v>
      </c>
      <c r="G55" s="149">
        <f>+M7</f>
        <v>309210377</v>
      </c>
      <c r="H55" s="150"/>
      <c r="I55" s="151"/>
      <c r="J55" s="150"/>
      <c r="K55" s="150"/>
      <c r="L55" s="150"/>
      <c r="M55" s="150"/>
      <c r="N55" s="152"/>
      <c r="O55" s="53"/>
      <c r="P55" s="53"/>
      <c r="Q55" s="53"/>
      <c r="R55" s="53"/>
      <c r="S55" s="53"/>
      <c r="T55" s="53"/>
      <c r="U55" s="53"/>
      <c r="V55" s="53"/>
    </row>
    <row r="56" spans="1:24" ht="17.25" thickBot="1">
      <c r="A56" s="53"/>
      <c r="B56" s="275"/>
      <c r="C56" s="148"/>
      <c r="D56" s="148"/>
      <c r="E56" s="148"/>
      <c r="F56" s="148"/>
      <c r="G56" s="150"/>
      <c r="H56" s="150"/>
      <c r="I56" s="150"/>
      <c r="J56" s="150"/>
      <c r="K56" s="150"/>
      <c r="L56" s="150"/>
      <c r="M56" s="150"/>
      <c r="N56" s="152"/>
      <c r="O56" s="53"/>
      <c r="P56" s="53"/>
      <c r="Q56" s="53"/>
      <c r="R56" s="53"/>
      <c r="S56" s="53"/>
      <c r="T56" s="53"/>
      <c r="U56" s="53"/>
      <c r="V56" s="53"/>
    </row>
    <row r="57" spans="1:24" ht="18" customHeight="1" thickBot="1">
      <c r="A57" s="53"/>
      <c r="B57" s="275"/>
      <c r="C57" s="382" t="s">
        <v>65</v>
      </c>
      <c r="D57" s="383"/>
      <c r="E57" s="384"/>
      <c r="F57" s="148" t="s">
        <v>64</v>
      </c>
      <c r="G57" s="154">
        <f>+E49</f>
        <v>306719622.53999996</v>
      </c>
      <c r="H57" s="150"/>
      <c r="I57" s="150"/>
      <c r="J57" s="91">
        <f>G57/G55</f>
        <v>0.99194479019699899</v>
      </c>
      <c r="K57" s="155" t="s">
        <v>66</v>
      </c>
      <c r="L57" s="156"/>
      <c r="M57" s="156"/>
      <c r="N57" s="152"/>
      <c r="O57" s="53"/>
      <c r="P57" s="53"/>
      <c r="Q57" s="53"/>
      <c r="R57" s="53"/>
      <c r="S57" s="53"/>
      <c r="T57" s="53"/>
      <c r="U57" s="53"/>
      <c r="V57" s="53"/>
    </row>
    <row r="58" spans="1:24" ht="17.25" thickBot="1">
      <c r="B58" s="276"/>
      <c r="C58" s="148"/>
      <c r="D58" s="148"/>
      <c r="E58" s="148"/>
      <c r="F58" s="148"/>
      <c r="G58" s="150"/>
      <c r="H58" s="150"/>
      <c r="I58" s="150"/>
      <c r="J58" s="150"/>
      <c r="K58" s="157"/>
      <c r="L58" s="150"/>
      <c r="M58" s="150"/>
      <c r="N58" s="152"/>
    </row>
    <row r="59" spans="1:24" ht="18" customHeight="1" thickBot="1">
      <c r="B59" s="276"/>
      <c r="C59" s="376" t="s">
        <v>91</v>
      </c>
      <c r="D59" s="377"/>
      <c r="E59" s="378"/>
      <c r="F59" s="148" t="s">
        <v>68</v>
      </c>
      <c r="G59" s="96">
        <f>+K49</f>
        <v>360878749.76920003</v>
      </c>
      <c r="H59" s="150"/>
      <c r="I59" s="150"/>
      <c r="J59" s="97">
        <f>G59/J49</f>
        <v>0.94113707617796594</v>
      </c>
      <c r="K59" s="277" t="s">
        <v>69</v>
      </c>
      <c r="L59" s="158"/>
      <c r="M59" s="158"/>
      <c r="N59" s="152"/>
    </row>
    <row r="60" spans="1:24" ht="17.25" thickBot="1">
      <c r="B60" s="276"/>
      <c r="C60" s="148"/>
      <c r="D60" s="148"/>
      <c r="E60" s="148"/>
      <c r="F60" s="148"/>
      <c r="G60" s="150"/>
      <c r="H60" s="150"/>
      <c r="I60" s="150"/>
      <c r="J60" s="150"/>
      <c r="K60" s="157"/>
      <c r="L60" s="150"/>
      <c r="M60" s="150"/>
      <c r="N60" s="152"/>
    </row>
    <row r="61" spans="1:24" ht="18" customHeight="1" thickBot="1">
      <c r="B61" s="276"/>
      <c r="C61" s="376" t="s">
        <v>70</v>
      </c>
      <c r="D61" s="377"/>
      <c r="E61" s="378"/>
      <c r="F61" s="148" t="s">
        <v>68</v>
      </c>
      <c r="G61" s="100">
        <f>+O49</f>
        <v>22570971.747200005</v>
      </c>
      <c r="H61" s="150"/>
      <c r="I61" s="150"/>
      <c r="J61" s="101">
        <f>G61/J49</f>
        <v>5.8862923822033994E-2</v>
      </c>
      <c r="K61" s="277" t="s">
        <v>69</v>
      </c>
      <c r="L61" s="159"/>
      <c r="M61" s="159"/>
      <c r="N61" s="152"/>
    </row>
    <row r="62" spans="1:24" ht="17.25" thickBot="1">
      <c r="B62" s="276"/>
      <c r="C62" s="148"/>
      <c r="D62" s="148"/>
      <c r="E62" s="148"/>
      <c r="F62" s="148"/>
      <c r="G62" s="150"/>
      <c r="H62" s="150"/>
      <c r="I62" s="150"/>
      <c r="J62" s="150"/>
      <c r="K62" s="157"/>
      <c r="L62" s="150"/>
      <c r="M62" s="150"/>
      <c r="N62" s="152"/>
    </row>
    <row r="63" spans="1:24" ht="18" customHeight="1" thickBot="1">
      <c r="B63" s="276"/>
      <c r="C63" s="376" t="s">
        <v>92</v>
      </c>
      <c r="D63" s="377"/>
      <c r="E63" s="378"/>
      <c r="F63" s="148" t="s">
        <v>68</v>
      </c>
      <c r="G63" s="104">
        <f>+P49</f>
        <v>13856199.286400003</v>
      </c>
      <c r="H63" s="150"/>
      <c r="I63" s="150"/>
      <c r="J63" s="105">
        <f>+G63/J49</f>
        <v>3.6135635283822673E-2</v>
      </c>
      <c r="K63" s="277" t="s">
        <v>69</v>
      </c>
      <c r="L63" s="158"/>
      <c r="M63" s="158"/>
      <c r="N63" s="152"/>
    </row>
    <row r="64" spans="1:24" ht="5.25" customHeight="1" thickBot="1">
      <c r="B64" s="160"/>
      <c r="C64" s="161"/>
      <c r="D64" s="161"/>
      <c r="E64" s="161"/>
      <c r="F64" s="161"/>
      <c r="G64" s="161"/>
      <c r="H64" s="161"/>
      <c r="I64" s="161"/>
      <c r="J64" s="161"/>
      <c r="K64" s="161"/>
      <c r="L64" s="161"/>
      <c r="M64" s="161"/>
      <c r="N64" s="162"/>
    </row>
    <row r="66" spans="5:16" s="328" customFormat="1" ht="13.5">
      <c r="E66" s="327">
        <v>541800513.23000002</v>
      </c>
      <c r="F66" s="327">
        <v>12821812.053000014</v>
      </c>
      <c r="G66" s="327">
        <v>0</v>
      </c>
      <c r="H66" s="327">
        <v>0</v>
      </c>
      <c r="I66" s="327">
        <v>554622325.28299999</v>
      </c>
      <c r="J66" s="327">
        <v>665546790.33960009</v>
      </c>
      <c r="K66" s="327">
        <v>637744960.39760005</v>
      </c>
      <c r="O66" s="327">
        <v>27801829.941999998</v>
      </c>
      <c r="P66" s="327">
        <v>19087057.481199995</v>
      </c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C61:E61"/>
    <mergeCell ref="C63:E63"/>
    <mergeCell ref="M7:N7"/>
    <mergeCell ref="M8:N8"/>
    <mergeCell ref="O10:P10"/>
    <mergeCell ref="C55:E55"/>
    <mergeCell ref="C57:E57"/>
    <mergeCell ref="C59:E5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X40"/>
  <sheetViews>
    <sheetView workbookViewId="0">
      <selection sqref="A1:B2"/>
    </sheetView>
  </sheetViews>
  <sheetFormatPr baseColWidth="10" defaultRowHeight="16.5"/>
  <cols>
    <col min="1" max="1" width="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2.28515625" style="5" bestFit="1" customWidth="1"/>
    <col min="9" max="9" width="13.28515625" style="5" customWidth="1"/>
    <col min="10" max="10" width="13.5703125" style="5" customWidth="1"/>
    <col min="11" max="12" width="13.7109375" style="5" customWidth="1"/>
    <col min="13" max="13" width="11.42578125" style="5"/>
    <col min="14" max="14" width="7" style="5" customWidth="1"/>
    <col min="15" max="15" width="13.42578125" style="5" customWidth="1"/>
    <col min="16" max="16" width="13.5703125" style="5" customWidth="1"/>
    <col min="17" max="17" width="6.140625" style="5" customWidth="1"/>
    <col min="18" max="18" width="9.7109375" style="5" customWidth="1"/>
    <col min="19" max="19" width="9.7109375" style="5" bestFit="1" customWidth="1"/>
    <col min="20" max="20" width="9.7109375" style="5" customWidth="1"/>
    <col min="21" max="22" width="9.5703125" style="5" customWidth="1"/>
    <col min="23" max="16384" width="11.42578125" style="5"/>
  </cols>
  <sheetData>
    <row r="1" spans="1:24" ht="21" customHeight="1">
      <c r="A1" s="364" t="s">
        <v>11</v>
      </c>
      <c r="B1" s="365"/>
      <c r="C1" s="368" t="s">
        <v>83</v>
      </c>
      <c r="D1" s="368" t="s">
        <v>84</v>
      </c>
      <c r="E1" s="368" t="s">
        <v>84</v>
      </c>
      <c r="F1" s="370" t="s">
        <v>241</v>
      </c>
      <c r="G1" s="372" t="s">
        <v>12</v>
      </c>
      <c r="H1" s="373"/>
      <c r="I1" s="373"/>
      <c r="J1" s="374"/>
      <c r="K1" s="1" t="s">
        <v>13</v>
      </c>
      <c r="L1" s="2"/>
      <c r="M1" s="375">
        <v>345000000</v>
      </c>
      <c r="N1" s="375"/>
      <c r="O1" s="3" t="s">
        <v>14</v>
      </c>
      <c r="P1" s="4">
        <v>34726</v>
      </c>
    </row>
    <row r="2" spans="1:24" ht="21">
      <c r="A2" s="366"/>
      <c r="B2" s="367"/>
      <c r="C2" s="369" t="s">
        <v>84</v>
      </c>
      <c r="D2" s="369" t="s">
        <v>84</v>
      </c>
      <c r="E2" s="369" t="s">
        <v>84</v>
      </c>
      <c r="F2" s="371"/>
      <c r="G2" s="6" t="s">
        <v>15</v>
      </c>
      <c r="H2" s="7"/>
      <c r="I2" s="8">
        <v>90</v>
      </c>
      <c r="J2" s="9"/>
      <c r="K2" s="10" t="s">
        <v>16</v>
      </c>
      <c r="L2" s="11"/>
      <c r="M2" s="363">
        <v>0</v>
      </c>
      <c r="N2" s="363"/>
      <c r="O2" s="11"/>
      <c r="P2" s="12"/>
    </row>
    <row r="3" spans="1:24" ht="16.5" customHeight="1">
      <c r="A3" s="366" t="s">
        <v>17</v>
      </c>
      <c r="B3" s="367"/>
      <c r="C3" s="369" t="s">
        <v>85</v>
      </c>
      <c r="D3" s="369"/>
      <c r="E3" s="369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63">
        <v>0</v>
      </c>
      <c r="N3" s="363"/>
      <c r="O3" s="11"/>
      <c r="P3" s="12"/>
    </row>
    <row r="4" spans="1:24">
      <c r="A4" s="366"/>
      <c r="B4" s="367"/>
      <c r="C4" s="369"/>
      <c r="D4" s="369"/>
      <c r="E4" s="369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63">
        <v>0</v>
      </c>
      <c r="N4" s="363"/>
      <c r="O4" s="11"/>
      <c r="P4" s="12"/>
    </row>
    <row r="5" spans="1:24">
      <c r="A5" s="304" t="s">
        <v>24</v>
      </c>
      <c r="B5" s="18"/>
      <c r="C5" s="18"/>
      <c r="D5" s="19"/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63">
        <v>0</v>
      </c>
      <c r="N5" s="363"/>
      <c r="O5" s="11"/>
      <c r="P5" s="12"/>
    </row>
    <row r="6" spans="1:24">
      <c r="A6" s="304" t="s">
        <v>86</v>
      </c>
      <c r="B6" s="18"/>
      <c r="C6" s="18"/>
      <c r="D6" s="22">
        <v>42571</v>
      </c>
      <c r="E6" s="23"/>
      <c r="F6" s="24"/>
      <c r="G6" s="6"/>
      <c r="H6" s="14" t="s">
        <v>28</v>
      </c>
      <c r="I6" s="25">
        <v>0.05</v>
      </c>
      <c r="J6" s="15" t="s">
        <v>29</v>
      </c>
      <c r="K6" s="26"/>
      <c r="L6" s="11"/>
      <c r="M6" s="363"/>
      <c r="N6" s="363"/>
      <c r="O6" s="11"/>
      <c r="P6" s="12"/>
    </row>
    <row r="7" spans="1:24">
      <c r="A7" s="304" t="s">
        <v>87</v>
      </c>
      <c r="B7" s="18"/>
      <c r="C7" s="18"/>
      <c r="D7" s="22">
        <v>43364</v>
      </c>
      <c r="E7" s="23"/>
      <c r="F7" s="24"/>
      <c r="G7" s="6"/>
      <c r="H7" s="14" t="s">
        <v>30</v>
      </c>
      <c r="I7" s="27">
        <v>0.05</v>
      </c>
      <c r="J7" s="15" t="s">
        <v>29</v>
      </c>
      <c r="K7" s="28" t="s">
        <v>31</v>
      </c>
      <c r="L7" s="29"/>
      <c r="M7" s="353">
        <f>SUM(M1:M6)</f>
        <v>345000000</v>
      </c>
      <c r="N7" s="353"/>
      <c r="O7" s="11"/>
      <c r="P7" s="12"/>
    </row>
    <row r="8" spans="1:24">
      <c r="A8" s="30" t="s">
        <v>88</v>
      </c>
      <c r="B8" s="31"/>
      <c r="C8" s="31"/>
      <c r="D8" s="32">
        <v>43371</v>
      </c>
      <c r="E8" s="33"/>
      <c r="F8" s="34"/>
      <c r="G8" s="35"/>
      <c r="H8" s="36" t="s">
        <v>32</v>
      </c>
      <c r="I8" s="37">
        <v>0</v>
      </c>
      <c r="J8" s="38" t="s">
        <v>89</v>
      </c>
      <c r="K8" s="39" t="s">
        <v>33</v>
      </c>
      <c r="L8" s="40"/>
      <c r="M8" s="354">
        <f>M7*(1+$I$4)</f>
        <v>414000000</v>
      </c>
      <c r="N8" s="354"/>
      <c r="O8" s="41"/>
      <c r="P8" s="42"/>
    </row>
    <row r="10" spans="1:24">
      <c r="B10" s="5" t="s">
        <v>34</v>
      </c>
      <c r="C10" s="43">
        <v>43069</v>
      </c>
      <c r="E10" s="44"/>
      <c r="F10" s="45">
        <v>0.05</v>
      </c>
      <c r="G10" s="46"/>
      <c r="H10" s="47"/>
      <c r="O10" s="355" t="s">
        <v>35</v>
      </c>
      <c r="P10" s="356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90</v>
      </c>
      <c r="O11" s="49" t="s">
        <v>50</v>
      </c>
      <c r="P11" s="49" t="s">
        <v>51</v>
      </c>
      <c r="R11" s="305" t="s">
        <v>52</v>
      </c>
      <c r="S11" s="305" t="s">
        <v>53</v>
      </c>
      <c r="T11" s="305" t="s">
        <v>54</v>
      </c>
      <c r="U11" s="305" t="s">
        <v>55</v>
      </c>
      <c r="V11" s="305" t="s">
        <v>56</v>
      </c>
      <c r="X11" s="305"/>
    </row>
    <row r="12" spans="1:24" ht="19.5" customHeight="1">
      <c r="A12" s="138">
        <v>1</v>
      </c>
      <c r="B12" s="138">
        <v>1100000050</v>
      </c>
      <c r="C12" s="139">
        <v>42655</v>
      </c>
      <c r="D12" s="140">
        <v>42643</v>
      </c>
      <c r="E12" s="141">
        <v>13000000</v>
      </c>
      <c r="F12" s="141">
        <f t="shared" ref="F12:F23" si="0">IF(-E12*$F$10=0,"",-E12*$F$10)</f>
        <v>-650000</v>
      </c>
      <c r="G12" s="141" t="str">
        <f t="shared" ref="G12:G23" si="1">IF(E12*$G$10=0,"",E12*$G$10)</f>
        <v/>
      </c>
      <c r="H12" s="141"/>
      <c r="I12" s="141">
        <f t="shared" ref="I12:I23" si="2">IFERROR(IF(G12="",E12+F12-H12,E12+F12-G12-H12),"")</f>
        <v>12350000</v>
      </c>
      <c r="J12" s="141">
        <f t="shared" ref="J12:J23" si="3">IFERROR(I12+(I12*$I$4),"")</f>
        <v>14820000</v>
      </c>
      <c r="K12" s="141">
        <f>SUM(K13:K15)</f>
        <v>11280000</v>
      </c>
      <c r="L12" s="139">
        <f t="shared" ref="L12:L23" si="4">IFERROR(IF(C12="","",C12+$I$2),"")</f>
        <v>42745</v>
      </c>
      <c r="M12" s="139"/>
      <c r="N12" s="142"/>
      <c r="O12" s="141">
        <f>IFERROR(IF(J12=K12,"",J12-K12),"")</f>
        <v>3540000</v>
      </c>
      <c r="P12" s="141">
        <f t="shared" ref="P12:P23" si="5">IFERROR(IF($C$10&lt;L12,"",O12),"")</f>
        <v>3540000</v>
      </c>
      <c r="Q12" s="53"/>
      <c r="R12" s="164" t="str">
        <f t="shared" ref="R12:R24" si="6">IF(N12&gt;=0,"",(IF(-N12&lt;=60,O12,"")))</f>
        <v/>
      </c>
      <c r="S12" s="164" t="str">
        <f t="shared" ref="S12:S24" si="7">IF(N12&gt;=0,"",(IF(N12&gt;=-60,"",IF(-60&gt;=N12,IF(N12&gt;=-120,O12,"")))))</f>
        <v/>
      </c>
      <c r="T12" s="164" t="str">
        <f t="shared" ref="T12:T24" si="8">IF(N12&gt;=0,"",(IF(N12&gt;-60,"",IF(-60&gt;=N12,IF(N12&gt;=-120,"",IF(N12&gt;=-180,O12,""))))))</f>
        <v/>
      </c>
      <c r="U12" s="164" t="str">
        <f t="shared" ref="U12:U24" si="9">IF(N12&gt;=0,"",(IF(N12&gt;-60,"",IF(-60&gt;=N12,IF(N12&gt;-120,"",IF(N12&gt;=-180,"",IF(N12&gt;=-365,O12,"")))))))</f>
        <v/>
      </c>
      <c r="V12" s="164" t="str">
        <f t="shared" ref="V12:V24" si="10">IF(N12&gt;=0,"",IF(365&lt;-N12,O12,""))</f>
        <v/>
      </c>
    </row>
    <row r="13" spans="1:24" ht="19.5" customHeight="1">
      <c r="A13" s="306"/>
      <c r="B13" s="54"/>
      <c r="C13" s="51"/>
      <c r="D13" s="57"/>
      <c r="E13" s="50"/>
      <c r="F13" s="50" t="str">
        <f t="shared" si="0"/>
        <v/>
      </c>
      <c r="G13" s="50" t="str">
        <f t="shared" si="1"/>
        <v/>
      </c>
      <c r="H13" s="50"/>
      <c r="I13" s="50" t="str">
        <f t="shared" si="2"/>
        <v/>
      </c>
      <c r="J13" s="50" t="str">
        <f t="shared" si="3"/>
        <v/>
      </c>
      <c r="K13" s="307">
        <v>3000000</v>
      </c>
      <c r="L13" s="51">
        <v>42745</v>
      </c>
      <c r="M13" s="308">
        <v>42824</v>
      </c>
      <c r="N13" s="52">
        <f t="shared" ref="N13:N23" si="11">IFERROR(-IF(L13=0,,IF(M13=0,($C$10-L13),M13-L13)),"")</f>
        <v>-79</v>
      </c>
      <c r="O13" s="50"/>
      <c r="P13" s="50"/>
      <c r="Q13" s="53"/>
      <c r="R13" s="164" t="str">
        <f t="shared" si="6"/>
        <v/>
      </c>
      <c r="S13" s="164">
        <f t="shared" si="7"/>
        <v>0</v>
      </c>
      <c r="T13" s="164" t="str">
        <f t="shared" si="8"/>
        <v/>
      </c>
      <c r="U13" s="164" t="str">
        <f t="shared" si="9"/>
        <v/>
      </c>
      <c r="V13" s="164" t="str">
        <f t="shared" si="10"/>
        <v/>
      </c>
    </row>
    <row r="14" spans="1:24" ht="19.5" customHeight="1">
      <c r="A14" s="306"/>
      <c r="B14" s="54"/>
      <c r="C14" s="51"/>
      <c r="D14" s="57"/>
      <c r="E14" s="50"/>
      <c r="F14" s="50" t="str">
        <f t="shared" si="0"/>
        <v/>
      </c>
      <c r="G14" s="50" t="str">
        <f t="shared" si="1"/>
        <v/>
      </c>
      <c r="H14" s="50"/>
      <c r="I14" s="50" t="str">
        <f t="shared" si="2"/>
        <v/>
      </c>
      <c r="J14" s="50" t="str">
        <f t="shared" si="3"/>
        <v/>
      </c>
      <c r="K14" s="307">
        <v>5280000</v>
      </c>
      <c r="L14" s="51">
        <v>42745</v>
      </c>
      <c r="M14" s="308">
        <v>42830</v>
      </c>
      <c r="N14" s="52">
        <f t="shared" si="11"/>
        <v>-85</v>
      </c>
      <c r="O14" s="50"/>
      <c r="P14" s="50"/>
      <c r="Q14" s="53"/>
      <c r="R14" s="164" t="str">
        <f t="shared" si="6"/>
        <v/>
      </c>
      <c r="S14" s="164">
        <f t="shared" si="7"/>
        <v>0</v>
      </c>
      <c r="T14" s="164" t="str">
        <f t="shared" si="8"/>
        <v/>
      </c>
      <c r="U14" s="164" t="str">
        <f t="shared" si="9"/>
        <v/>
      </c>
      <c r="V14" s="164" t="str">
        <f t="shared" si="10"/>
        <v/>
      </c>
    </row>
    <row r="15" spans="1:24" ht="19.5" customHeight="1">
      <c r="A15" s="306"/>
      <c r="B15" s="54"/>
      <c r="C15" s="51"/>
      <c r="D15" s="57"/>
      <c r="E15" s="50"/>
      <c r="F15" s="50" t="str">
        <f t="shared" si="0"/>
        <v/>
      </c>
      <c r="G15" s="50" t="str">
        <f t="shared" si="1"/>
        <v/>
      </c>
      <c r="H15" s="50"/>
      <c r="I15" s="50" t="str">
        <f t="shared" si="2"/>
        <v/>
      </c>
      <c r="J15" s="50" t="str">
        <f t="shared" si="3"/>
        <v/>
      </c>
      <c r="K15" s="307">
        <v>3000000</v>
      </c>
      <c r="L15" s="51">
        <v>42745</v>
      </c>
      <c r="M15" s="308">
        <v>42840</v>
      </c>
      <c r="N15" s="52">
        <f t="shared" si="11"/>
        <v>-95</v>
      </c>
      <c r="O15" s="50"/>
      <c r="P15" s="50"/>
      <c r="Q15" s="53"/>
      <c r="R15" s="164" t="str">
        <f t="shared" si="6"/>
        <v/>
      </c>
      <c r="S15" s="164">
        <f t="shared" si="7"/>
        <v>0</v>
      </c>
      <c r="T15" s="164" t="str">
        <f t="shared" si="8"/>
        <v/>
      </c>
      <c r="U15" s="164" t="str">
        <f t="shared" si="9"/>
        <v/>
      </c>
      <c r="V15" s="164" t="str">
        <f t="shared" si="10"/>
        <v/>
      </c>
    </row>
    <row r="16" spans="1:24" ht="19.5" customHeight="1">
      <c r="A16" s="306"/>
      <c r="B16" s="54"/>
      <c r="C16" s="51"/>
      <c r="D16" s="57"/>
      <c r="E16" s="50"/>
      <c r="F16" s="50" t="str">
        <f t="shared" si="0"/>
        <v/>
      </c>
      <c r="G16" s="50" t="str">
        <f t="shared" si="1"/>
        <v/>
      </c>
      <c r="H16" s="50"/>
      <c r="I16" s="50" t="str">
        <f t="shared" si="2"/>
        <v/>
      </c>
      <c r="J16" s="50" t="str">
        <f t="shared" si="3"/>
        <v/>
      </c>
      <c r="K16" s="307">
        <v>3540000</v>
      </c>
      <c r="L16" s="51">
        <v>42745</v>
      </c>
      <c r="M16" s="308">
        <v>42855</v>
      </c>
      <c r="N16" s="52">
        <f t="shared" si="11"/>
        <v>-110</v>
      </c>
      <c r="O16" s="50"/>
      <c r="P16" s="50"/>
      <c r="Q16" s="53"/>
      <c r="R16" s="164" t="str">
        <f t="shared" si="6"/>
        <v/>
      </c>
      <c r="S16" s="164">
        <f t="shared" si="7"/>
        <v>0</v>
      </c>
      <c r="T16" s="164" t="str">
        <f t="shared" si="8"/>
        <v/>
      </c>
      <c r="U16" s="164" t="str">
        <f t="shared" si="9"/>
        <v/>
      </c>
      <c r="V16" s="164" t="str">
        <f t="shared" si="10"/>
        <v/>
      </c>
    </row>
    <row r="17" spans="1:24" ht="19.5" customHeight="1">
      <c r="A17" s="138">
        <v>2</v>
      </c>
      <c r="B17" s="138">
        <v>1100000051</v>
      </c>
      <c r="C17" s="139">
        <v>42759</v>
      </c>
      <c r="D17" s="140">
        <v>42736</v>
      </c>
      <c r="E17" s="141">
        <v>11500000</v>
      </c>
      <c r="F17" s="141">
        <f t="shared" si="0"/>
        <v>-575000</v>
      </c>
      <c r="G17" s="141" t="str">
        <f t="shared" si="1"/>
        <v/>
      </c>
      <c r="H17" s="141"/>
      <c r="I17" s="141">
        <f t="shared" si="2"/>
        <v>10925000</v>
      </c>
      <c r="J17" s="141">
        <f t="shared" si="3"/>
        <v>13110000</v>
      </c>
      <c r="K17" s="141">
        <v>13110000</v>
      </c>
      <c r="L17" s="139">
        <f t="shared" si="4"/>
        <v>42849</v>
      </c>
      <c r="M17" s="308">
        <v>42926</v>
      </c>
      <c r="N17" s="142">
        <f t="shared" si="11"/>
        <v>-77</v>
      </c>
      <c r="O17" s="141" t="str">
        <f t="shared" ref="O17:O23" si="12">IFERROR(IF(J17=K17,"",J17-K17),"")</f>
        <v/>
      </c>
      <c r="P17" s="141" t="str">
        <f t="shared" si="5"/>
        <v/>
      </c>
      <c r="Q17" s="53"/>
      <c r="R17" s="164" t="str">
        <f t="shared" si="6"/>
        <v/>
      </c>
      <c r="S17" s="164" t="str">
        <f t="shared" si="7"/>
        <v/>
      </c>
      <c r="T17" s="164" t="str">
        <f t="shared" si="8"/>
        <v/>
      </c>
      <c r="U17" s="164" t="str">
        <f t="shared" si="9"/>
        <v/>
      </c>
      <c r="V17" s="164" t="str">
        <f t="shared" si="10"/>
        <v/>
      </c>
    </row>
    <row r="18" spans="1:24" ht="19.5" customHeight="1">
      <c r="A18" s="138">
        <v>3</v>
      </c>
      <c r="B18" s="138">
        <v>1100000052</v>
      </c>
      <c r="C18" s="139">
        <v>42817</v>
      </c>
      <c r="D18" s="140">
        <v>42767</v>
      </c>
      <c r="E18" s="141">
        <v>6730000</v>
      </c>
      <c r="F18" s="141">
        <f t="shared" si="0"/>
        <v>-336500</v>
      </c>
      <c r="G18" s="50" t="str">
        <f t="shared" si="1"/>
        <v/>
      </c>
      <c r="H18" s="50"/>
      <c r="I18" s="141">
        <f t="shared" si="2"/>
        <v>6393500</v>
      </c>
      <c r="J18" s="141">
        <f t="shared" si="3"/>
        <v>7672200</v>
      </c>
      <c r="K18" s="141"/>
      <c r="L18" s="139">
        <f t="shared" si="4"/>
        <v>42907</v>
      </c>
      <c r="M18" s="309">
        <v>43044</v>
      </c>
      <c r="N18" s="142">
        <f t="shared" si="11"/>
        <v>-137</v>
      </c>
      <c r="O18" s="141">
        <f t="shared" si="12"/>
        <v>7672200</v>
      </c>
      <c r="P18" s="141">
        <f t="shared" si="5"/>
        <v>7672200</v>
      </c>
      <c r="Q18" s="53"/>
      <c r="R18" s="164" t="str">
        <f t="shared" si="6"/>
        <v/>
      </c>
      <c r="S18" s="164" t="str">
        <f t="shared" si="7"/>
        <v/>
      </c>
      <c r="T18" s="164">
        <f t="shared" si="8"/>
        <v>7672200</v>
      </c>
      <c r="U18" s="164" t="str">
        <f t="shared" si="9"/>
        <v/>
      </c>
      <c r="V18" s="164" t="str">
        <f t="shared" si="10"/>
        <v/>
      </c>
    </row>
    <row r="19" spans="1:24" ht="19.5" customHeight="1">
      <c r="A19" s="138">
        <v>4</v>
      </c>
      <c r="B19" s="138">
        <v>1100000053</v>
      </c>
      <c r="C19" s="139">
        <v>42836</v>
      </c>
      <c r="D19" s="140">
        <v>42795</v>
      </c>
      <c r="E19" s="141">
        <v>7250000</v>
      </c>
      <c r="F19" s="141">
        <f t="shared" si="0"/>
        <v>-362500</v>
      </c>
      <c r="G19" s="141" t="str">
        <f t="shared" si="1"/>
        <v/>
      </c>
      <c r="H19" s="141"/>
      <c r="I19" s="141">
        <f t="shared" si="2"/>
        <v>6887500</v>
      </c>
      <c r="J19" s="141">
        <f t="shared" si="3"/>
        <v>8265000</v>
      </c>
      <c r="K19" s="141">
        <v>8265000</v>
      </c>
      <c r="L19" s="139">
        <f t="shared" si="4"/>
        <v>42926</v>
      </c>
      <c r="M19" s="308">
        <v>43044</v>
      </c>
      <c r="N19" s="142">
        <f t="shared" si="11"/>
        <v>-118</v>
      </c>
      <c r="O19" s="141" t="str">
        <f t="shared" si="12"/>
        <v/>
      </c>
      <c r="P19" s="50" t="str">
        <f t="shared" si="5"/>
        <v/>
      </c>
      <c r="Q19" s="53"/>
      <c r="R19" s="164" t="str">
        <f t="shared" si="6"/>
        <v/>
      </c>
      <c r="S19" s="164" t="str">
        <f t="shared" si="7"/>
        <v/>
      </c>
      <c r="T19" s="164" t="str">
        <f t="shared" si="8"/>
        <v/>
      </c>
      <c r="U19" s="164" t="str">
        <f t="shared" si="9"/>
        <v/>
      </c>
      <c r="V19" s="164" t="str">
        <f t="shared" si="10"/>
        <v/>
      </c>
    </row>
    <row r="20" spans="1:24" ht="19.5" customHeight="1">
      <c r="A20" s="138">
        <v>5</v>
      </c>
      <c r="B20" s="138">
        <v>1100000054</v>
      </c>
      <c r="C20" s="310">
        <v>42853</v>
      </c>
      <c r="D20" s="140">
        <v>42826</v>
      </c>
      <c r="E20" s="141">
        <v>13200000</v>
      </c>
      <c r="F20" s="141">
        <f t="shared" si="0"/>
        <v>-660000</v>
      </c>
      <c r="G20" s="141" t="str">
        <f t="shared" si="1"/>
        <v/>
      </c>
      <c r="H20" s="141"/>
      <c r="I20" s="141">
        <f t="shared" si="2"/>
        <v>12540000</v>
      </c>
      <c r="J20" s="141">
        <f t="shared" si="3"/>
        <v>15048000</v>
      </c>
      <c r="K20" s="141">
        <f>K21</f>
        <v>7000000</v>
      </c>
      <c r="L20" s="139">
        <f t="shared" si="4"/>
        <v>42943</v>
      </c>
      <c r="M20" s="139"/>
      <c r="N20" s="142"/>
      <c r="O20" s="141">
        <f t="shared" si="12"/>
        <v>8048000</v>
      </c>
      <c r="P20" s="141">
        <f t="shared" si="5"/>
        <v>8048000</v>
      </c>
      <c r="Q20" s="53"/>
      <c r="R20" s="164" t="str">
        <f t="shared" si="6"/>
        <v/>
      </c>
      <c r="S20" s="164" t="str">
        <f t="shared" si="7"/>
        <v/>
      </c>
      <c r="T20" s="164" t="str">
        <f t="shared" si="8"/>
        <v/>
      </c>
      <c r="U20" s="164" t="str">
        <f t="shared" si="9"/>
        <v/>
      </c>
      <c r="V20" s="164" t="str">
        <f t="shared" si="10"/>
        <v/>
      </c>
    </row>
    <row r="21" spans="1:24" ht="19.5" customHeight="1">
      <c r="A21" s="306"/>
      <c r="B21" s="143"/>
      <c r="C21" s="310"/>
      <c r="D21" s="140"/>
      <c r="E21" s="141"/>
      <c r="F21" s="141"/>
      <c r="G21" s="141"/>
      <c r="H21" s="141"/>
      <c r="I21" s="141"/>
      <c r="J21" s="141"/>
      <c r="K21" s="307">
        <v>7000000</v>
      </c>
      <c r="L21" s="139">
        <v>42943</v>
      </c>
      <c r="M21" s="308">
        <v>43008</v>
      </c>
      <c r="N21" s="52">
        <f t="shared" si="11"/>
        <v>-65</v>
      </c>
      <c r="O21" s="141"/>
      <c r="P21" s="141"/>
      <c r="Q21" s="53"/>
      <c r="R21" s="164" t="str">
        <f t="shared" si="6"/>
        <v/>
      </c>
      <c r="S21" s="164">
        <f t="shared" si="7"/>
        <v>0</v>
      </c>
      <c r="T21" s="164" t="str">
        <f t="shared" si="8"/>
        <v/>
      </c>
      <c r="U21" s="164" t="str">
        <f t="shared" si="9"/>
        <v/>
      </c>
      <c r="V21" s="164" t="str">
        <f t="shared" si="10"/>
        <v/>
      </c>
    </row>
    <row r="22" spans="1:24" ht="19.5" customHeight="1">
      <c r="A22" s="306"/>
      <c r="B22" s="143"/>
      <c r="C22" s="310"/>
      <c r="D22" s="140"/>
      <c r="E22" s="141"/>
      <c r="F22" s="141"/>
      <c r="G22" s="141"/>
      <c r="H22" s="141"/>
      <c r="I22" s="141"/>
      <c r="J22" s="141"/>
      <c r="K22" s="307">
        <v>8048000</v>
      </c>
      <c r="L22" s="139">
        <v>42943</v>
      </c>
      <c r="M22" s="308">
        <v>43023</v>
      </c>
      <c r="N22" s="52">
        <f t="shared" si="11"/>
        <v>-80</v>
      </c>
      <c r="O22" s="141"/>
      <c r="P22" s="141"/>
      <c r="Q22" s="53"/>
      <c r="R22" s="164" t="str">
        <f t="shared" si="6"/>
        <v/>
      </c>
      <c r="S22" s="164">
        <f t="shared" si="7"/>
        <v>0</v>
      </c>
      <c r="T22" s="164" t="str">
        <f t="shared" si="8"/>
        <v/>
      </c>
      <c r="U22" s="164" t="str">
        <f t="shared" si="9"/>
        <v/>
      </c>
      <c r="V22" s="164" t="str">
        <f t="shared" si="10"/>
        <v/>
      </c>
    </row>
    <row r="23" spans="1:24" ht="19.5" customHeight="1">
      <c r="A23" s="138"/>
      <c r="B23" s="55"/>
      <c r="C23" s="51"/>
      <c r="D23" s="57"/>
      <c r="E23" s="50"/>
      <c r="F23" s="50" t="str">
        <f t="shared" si="0"/>
        <v/>
      </c>
      <c r="G23" s="50" t="str">
        <f t="shared" si="1"/>
        <v/>
      </c>
      <c r="H23" s="50"/>
      <c r="I23" s="50" t="str">
        <f t="shared" si="2"/>
        <v/>
      </c>
      <c r="J23" s="50" t="str">
        <f t="shared" si="3"/>
        <v/>
      </c>
      <c r="K23" s="50"/>
      <c r="L23" s="51" t="str">
        <f t="shared" si="4"/>
        <v/>
      </c>
      <c r="M23" s="51"/>
      <c r="N23" s="52" t="str">
        <f t="shared" si="11"/>
        <v/>
      </c>
      <c r="O23" s="50" t="str">
        <f t="shared" si="12"/>
        <v/>
      </c>
      <c r="P23" s="50" t="str">
        <f t="shared" si="5"/>
        <v/>
      </c>
      <c r="Q23" s="53"/>
      <c r="R23" s="164" t="str">
        <f t="shared" si="6"/>
        <v/>
      </c>
      <c r="S23" s="164" t="str">
        <f t="shared" si="7"/>
        <v/>
      </c>
      <c r="T23" s="164" t="str">
        <f t="shared" si="8"/>
        <v/>
      </c>
      <c r="U23" s="164" t="str">
        <f t="shared" si="9"/>
        <v/>
      </c>
      <c r="V23" s="164" t="str">
        <f t="shared" si="10"/>
        <v/>
      </c>
    </row>
    <row r="24" spans="1:24" ht="19.5" customHeight="1" thickBot="1">
      <c r="A24" s="54"/>
      <c r="B24" s="55"/>
      <c r="C24" s="56"/>
      <c r="D24" s="57"/>
      <c r="E24" s="50"/>
      <c r="F24" s="50"/>
      <c r="G24" s="50"/>
      <c r="H24" s="50"/>
      <c r="I24" s="50"/>
      <c r="J24" s="50"/>
      <c r="K24" s="50"/>
      <c r="L24" s="51"/>
      <c r="M24" s="51"/>
      <c r="N24" s="59"/>
      <c r="O24" s="50"/>
      <c r="P24" s="55"/>
      <c r="Q24" s="53"/>
      <c r="R24" s="164" t="str">
        <f t="shared" si="6"/>
        <v/>
      </c>
      <c r="S24" s="164" t="str">
        <f t="shared" si="7"/>
        <v/>
      </c>
      <c r="T24" s="164" t="str">
        <f t="shared" si="8"/>
        <v/>
      </c>
      <c r="U24" s="164" t="str">
        <f t="shared" si="9"/>
        <v/>
      </c>
      <c r="V24" s="164" t="str">
        <f t="shared" si="10"/>
        <v/>
      </c>
    </row>
    <row r="25" spans="1:24" s="53" customFormat="1" ht="20.100000000000001" customHeight="1" thickBot="1">
      <c r="A25" s="60"/>
      <c r="B25" s="61" t="s">
        <v>58</v>
      </c>
      <c r="C25" s="61"/>
      <c r="D25" s="61"/>
      <c r="E25" s="62">
        <f t="shared" ref="E25:J25" si="13">SUM(E12:E24)</f>
        <v>51680000</v>
      </c>
      <c r="F25" s="62">
        <f t="shared" si="13"/>
        <v>-2584000</v>
      </c>
      <c r="G25" s="62">
        <f t="shared" si="13"/>
        <v>0</v>
      </c>
      <c r="H25" s="62">
        <f t="shared" si="13"/>
        <v>0</v>
      </c>
      <c r="I25" s="62">
        <f t="shared" si="13"/>
        <v>49096000</v>
      </c>
      <c r="J25" s="62">
        <f t="shared" si="13"/>
        <v>58915200</v>
      </c>
      <c r="K25" s="62">
        <f>K12+K17+K18+K19+K20</f>
        <v>39655000</v>
      </c>
      <c r="L25" s="63"/>
      <c r="M25" s="63"/>
      <c r="N25" s="63"/>
      <c r="O25" s="62">
        <f>SUM(O12:O24)</f>
        <v>19260200</v>
      </c>
      <c r="P25" s="64">
        <f>SUM(P12:P24)</f>
        <v>19260200</v>
      </c>
      <c r="R25" s="65">
        <f>SUM(R12:R24)</f>
        <v>0</v>
      </c>
      <c r="S25" s="65">
        <f>SUM(S12:S24)</f>
        <v>0</v>
      </c>
      <c r="T25" s="65">
        <f>SUM(T12:T24)</f>
        <v>7672200</v>
      </c>
      <c r="U25" s="65">
        <f>SUM(U12:U24)</f>
        <v>0</v>
      </c>
      <c r="V25" s="65">
        <f>SUM(V12:V24)</f>
        <v>0</v>
      </c>
      <c r="X25" s="65"/>
    </row>
    <row r="26" spans="1:24" ht="21" customHeight="1">
      <c r="A26" s="66"/>
      <c r="B26" s="67"/>
      <c r="C26" s="67"/>
      <c r="D26" s="68" t="s">
        <v>59</v>
      </c>
      <c r="E26" s="69">
        <f>+E25/$M$7</f>
        <v>0.14979710144927535</v>
      </c>
      <c r="F26" s="67"/>
      <c r="G26" s="67"/>
      <c r="H26" s="67"/>
      <c r="I26" s="67"/>
      <c r="J26" s="68" t="s">
        <v>60</v>
      </c>
      <c r="K26" s="69">
        <f>+K25/J25</f>
        <v>0.67308606267991966</v>
      </c>
      <c r="L26" s="67"/>
      <c r="M26" s="67"/>
      <c r="N26" s="67"/>
      <c r="O26" s="67"/>
      <c r="P26" s="70"/>
      <c r="Q26" s="53"/>
      <c r="R26" s="53"/>
      <c r="S26" s="53"/>
      <c r="T26" s="53"/>
      <c r="U26" s="53"/>
      <c r="V26" s="53"/>
    </row>
    <row r="27" spans="1:24" ht="21" customHeight="1" thickBot="1">
      <c r="A27" s="71"/>
      <c r="B27" s="72"/>
      <c r="C27" s="72"/>
      <c r="D27" s="73" t="s">
        <v>61</v>
      </c>
      <c r="E27" s="74">
        <f>+$M$7-$E$25</f>
        <v>293320000</v>
      </c>
      <c r="F27" s="75">
        <f>+E27/M7</f>
        <v>0.85020289855072462</v>
      </c>
      <c r="G27" s="72"/>
      <c r="H27" s="72"/>
      <c r="I27" s="72"/>
      <c r="J27" s="72"/>
      <c r="K27" s="72"/>
      <c r="L27" s="72"/>
      <c r="M27" s="72"/>
      <c r="N27" s="72"/>
      <c r="O27" s="72"/>
      <c r="P27" s="76"/>
      <c r="Q27" s="53"/>
      <c r="R27" s="53"/>
      <c r="S27" s="53"/>
      <c r="T27" s="53"/>
      <c r="U27" s="53"/>
      <c r="V27" s="53"/>
    </row>
    <row r="28" spans="1:24">
      <c r="A28" s="53"/>
      <c r="C28" s="66"/>
      <c r="D28" s="67"/>
      <c r="E28" s="67"/>
      <c r="F28" s="67"/>
      <c r="G28" s="67"/>
      <c r="H28" s="67"/>
      <c r="I28" s="67"/>
      <c r="J28" s="67"/>
      <c r="K28" s="67"/>
      <c r="L28" s="67"/>
      <c r="M28" s="67"/>
      <c r="N28" s="67"/>
      <c r="O28" s="70"/>
      <c r="P28" s="53"/>
      <c r="Q28" s="53"/>
      <c r="R28" s="53"/>
      <c r="S28" s="53"/>
      <c r="T28" s="53"/>
      <c r="U28" s="53"/>
      <c r="V28" s="53"/>
    </row>
    <row r="29" spans="1:24" ht="21">
      <c r="A29" s="53"/>
      <c r="C29" s="275"/>
      <c r="D29" s="144" t="s">
        <v>62</v>
      </c>
      <c r="E29" s="144"/>
      <c r="F29" s="144"/>
      <c r="G29" s="144"/>
      <c r="H29" s="144"/>
      <c r="I29" s="144"/>
      <c r="J29" s="145"/>
      <c r="K29" s="145"/>
      <c r="L29" s="145"/>
      <c r="M29" s="145"/>
      <c r="N29" s="145"/>
      <c r="O29" s="146"/>
      <c r="P29" s="53"/>
      <c r="Q29" s="53"/>
      <c r="R29" s="53"/>
      <c r="S29" s="53"/>
      <c r="T29" s="53"/>
      <c r="U29" s="53"/>
      <c r="V29" s="53"/>
    </row>
    <row r="30" spans="1:24" ht="17.25" thickBot="1">
      <c r="A30" s="53"/>
      <c r="C30" s="275"/>
      <c r="D30" s="145"/>
      <c r="E30" s="145"/>
      <c r="F30" s="145"/>
      <c r="G30" s="145"/>
      <c r="H30" s="147"/>
      <c r="I30" s="145"/>
      <c r="J30" s="145"/>
      <c r="K30" s="145"/>
      <c r="L30" s="145"/>
      <c r="M30" s="145"/>
      <c r="N30" s="145"/>
      <c r="O30" s="146"/>
      <c r="P30" s="53"/>
      <c r="Q30" s="53"/>
      <c r="R30" s="53"/>
      <c r="S30" s="53"/>
      <c r="T30" s="53"/>
      <c r="U30" s="53"/>
      <c r="V30" s="53"/>
    </row>
    <row r="31" spans="1:24" ht="18" customHeight="1" thickBot="1">
      <c r="A31" s="53"/>
      <c r="C31" s="275"/>
      <c r="D31" s="379" t="s">
        <v>63</v>
      </c>
      <c r="E31" s="380"/>
      <c r="F31" s="381"/>
      <c r="G31" s="148" t="s">
        <v>64</v>
      </c>
      <c r="H31" s="149">
        <f>M7</f>
        <v>345000000</v>
      </c>
      <c r="I31" s="150"/>
      <c r="J31" s="151"/>
      <c r="K31" s="150"/>
      <c r="L31" s="150"/>
      <c r="M31" s="150"/>
      <c r="N31" s="150"/>
      <c r="O31" s="152"/>
      <c r="P31" s="53"/>
      <c r="Q31" s="53"/>
      <c r="R31" s="53"/>
      <c r="S31" s="53"/>
      <c r="T31" s="153"/>
      <c r="U31" s="53"/>
      <c r="V31" s="53"/>
    </row>
    <row r="32" spans="1:24" ht="18" customHeight="1" thickBot="1">
      <c r="A32" s="53"/>
      <c r="C32" s="275"/>
      <c r="D32" s="148"/>
      <c r="E32" s="148"/>
      <c r="F32" s="148"/>
      <c r="G32" s="148"/>
      <c r="H32" s="150"/>
      <c r="I32" s="150"/>
      <c r="J32" s="150"/>
      <c r="K32" s="150"/>
      <c r="L32" s="150"/>
      <c r="M32" s="150"/>
      <c r="N32" s="150"/>
      <c r="O32" s="152"/>
      <c r="P32" s="53"/>
      <c r="Q32" s="53"/>
      <c r="R32" s="53"/>
      <c r="S32" s="53"/>
      <c r="T32" s="53"/>
      <c r="U32" s="53"/>
      <c r="V32" s="53"/>
    </row>
    <row r="33" spans="1:22" ht="17.25" thickBot="1">
      <c r="A33" s="53"/>
      <c r="C33" s="275"/>
      <c r="D33" s="382" t="s">
        <v>65</v>
      </c>
      <c r="E33" s="383"/>
      <c r="F33" s="384"/>
      <c r="G33" s="148" t="s">
        <v>64</v>
      </c>
      <c r="H33" s="154">
        <f>E25</f>
        <v>51680000</v>
      </c>
      <c r="I33" s="150"/>
      <c r="J33" s="150"/>
      <c r="K33" s="91">
        <f>H33/H31</f>
        <v>0.14979710144927535</v>
      </c>
      <c r="L33" s="155" t="s">
        <v>66</v>
      </c>
      <c r="M33" s="156"/>
      <c r="N33" s="156"/>
      <c r="O33" s="152"/>
      <c r="P33" s="53"/>
      <c r="Q33" s="53"/>
      <c r="R33" s="53"/>
      <c r="S33" s="53"/>
      <c r="T33" s="53"/>
      <c r="U33" s="53"/>
      <c r="V33" s="53"/>
    </row>
    <row r="34" spans="1:22" ht="17.25" thickBot="1">
      <c r="C34" s="276"/>
      <c r="D34" s="148"/>
      <c r="E34" s="148"/>
      <c r="F34" s="148"/>
      <c r="G34" s="148"/>
      <c r="H34" s="150"/>
      <c r="I34" s="150"/>
      <c r="J34" s="150"/>
      <c r="K34" s="150"/>
      <c r="L34" s="157"/>
      <c r="M34" s="150"/>
      <c r="N34" s="150"/>
      <c r="O34" s="152"/>
    </row>
    <row r="35" spans="1:22" ht="17.25" thickBot="1">
      <c r="C35" s="276"/>
      <c r="D35" s="376" t="s">
        <v>91</v>
      </c>
      <c r="E35" s="377"/>
      <c r="F35" s="378"/>
      <c r="G35" s="148" t="s">
        <v>68</v>
      </c>
      <c r="H35" s="96">
        <f>K25</f>
        <v>39655000</v>
      </c>
      <c r="I35" s="150"/>
      <c r="J35" s="150"/>
      <c r="K35" s="97">
        <f>H35/J25</f>
        <v>0.67308606267991966</v>
      </c>
      <c r="L35" s="277" t="s">
        <v>69</v>
      </c>
      <c r="M35" s="158"/>
      <c r="N35" s="158"/>
      <c r="O35" s="152"/>
    </row>
    <row r="36" spans="1:22" ht="17.25" thickBot="1">
      <c r="C36" s="276"/>
      <c r="D36" s="148"/>
      <c r="E36" s="148"/>
      <c r="F36" s="148"/>
      <c r="G36" s="148"/>
      <c r="H36" s="150"/>
      <c r="I36" s="150"/>
      <c r="J36" s="150"/>
      <c r="K36" s="150"/>
      <c r="L36" s="157"/>
      <c r="M36" s="150"/>
      <c r="N36" s="150"/>
      <c r="O36" s="152"/>
    </row>
    <row r="37" spans="1:22" ht="17.25" thickBot="1">
      <c r="C37" s="276"/>
      <c r="D37" s="376" t="s">
        <v>70</v>
      </c>
      <c r="E37" s="377"/>
      <c r="F37" s="378"/>
      <c r="G37" s="148" t="s">
        <v>68</v>
      </c>
      <c r="H37" s="100">
        <f>O25</f>
        <v>19260200</v>
      </c>
      <c r="I37" s="150"/>
      <c r="J37" s="150"/>
      <c r="K37" s="101">
        <f>H37/J25</f>
        <v>0.32691393732008039</v>
      </c>
      <c r="L37" s="277" t="s">
        <v>69</v>
      </c>
      <c r="M37" s="159"/>
      <c r="N37" s="159"/>
      <c r="O37" s="152"/>
    </row>
    <row r="38" spans="1:22" ht="17.25" thickBot="1">
      <c r="C38" s="276"/>
      <c r="D38" s="148"/>
      <c r="E38" s="148"/>
      <c r="F38" s="148"/>
      <c r="G38" s="148"/>
      <c r="H38" s="150"/>
      <c r="I38" s="150"/>
      <c r="J38" s="150"/>
      <c r="K38" s="150"/>
      <c r="L38" s="157"/>
      <c r="M38" s="150"/>
      <c r="N38" s="150"/>
      <c r="O38" s="152"/>
    </row>
    <row r="39" spans="1:22" ht="17.25" thickBot="1">
      <c r="C39" s="276"/>
      <c r="D39" s="376" t="s">
        <v>92</v>
      </c>
      <c r="E39" s="377"/>
      <c r="F39" s="378"/>
      <c r="G39" s="148" t="s">
        <v>68</v>
      </c>
      <c r="H39" s="104">
        <f>P25</f>
        <v>19260200</v>
      </c>
      <c r="I39" s="150"/>
      <c r="J39" s="150"/>
      <c r="K39" s="105">
        <f>H39/J25</f>
        <v>0.32691393732008039</v>
      </c>
      <c r="L39" s="277" t="s">
        <v>69</v>
      </c>
      <c r="M39" s="158"/>
      <c r="N39" s="158"/>
      <c r="O39" s="152"/>
    </row>
    <row r="40" spans="1:22" ht="17.25" thickBot="1">
      <c r="C40" s="160"/>
      <c r="D40" s="161"/>
      <c r="E40" s="161"/>
      <c r="F40" s="161"/>
      <c r="G40" s="161"/>
      <c r="H40" s="161"/>
      <c r="I40" s="161"/>
      <c r="J40" s="161"/>
      <c r="K40" s="161"/>
      <c r="L40" s="161"/>
      <c r="M40" s="161"/>
      <c r="N40" s="161"/>
      <c r="O40" s="162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D37:F37"/>
    <mergeCell ref="D39:F39"/>
    <mergeCell ref="M7:N7"/>
    <mergeCell ref="M8:N8"/>
    <mergeCell ref="O10:P10"/>
    <mergeCell ref="D31:F31"/>
    <mergeCell ref="D33:F33"/>
    <mergeCell ref="D35:F3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38"/>
  <sheetViews>
    <sheetView workbookViewId="0">
      <selection sqref="A1:B2"/>
    </sheetView>
  </sheetViews>
  <sheetFormatPr baseColWidth="10" defaultRowHeight="16.5"/>
  <cols>
    <col min="1" max="1" width="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2.28515625" style="5" bestFit="1" customWidth="1"/>
    <col min="9" max="9" width="13.28515625" style="5" customWidth="1"/>
    <col min="10" max="10" width="13.5703125" style="5" customWidth="1"/>
    <col min="11" max="12" width="13.7109375" style="5" customWidth="1"/>
    <col min="13" max="13" width="11.42578125" style="5"/>
    <col min="14" max="14" width="7" style="5" customWidth="1"/>
    <col min="15" max="15" width="13.42578125" style="5" customWidth="1"/>
    <col min="16" max="16" width="13.5703125" style="5" customWidth="1"/>
    <col min="17" max="17" width="6.140625" style="5" customWidth="1"/>
    <col min="18" max="18" width="9.7109375" style="5" customWidth="1"/>
    <col min="19" max="19" width="9.7109375" style="5" bestFit="1" customWidth="1"/>
    <col min="20" max="20" width="9.7109375" style="5" customWidth="1"/>
    <col min="21" max="22" width="9.5703125" style="5" customWidth="1"/>
    <col min="23" max="16384" width="11.42578125" style="5"/>
  </cols>
  <sheetData>
    <row r="1" spans="1:24" ht="21" customHeight="1">
      <c r="A1" s="364" t="s">
        <v>11</v>
      </c>
      <c r="B1" s="365"/>
      <c r="C1" s="368" t="s">
        <v>240</v>
      </c>
      <c r="D1" s="368" t="s">
        <v>84</v>
      </c>
      <c r="E1" s="368" t="s">
        <v>84</v>
      </c>
      <c r="F1" s="370" t="s">
        <v>241</v>
      </c>
      <c r="G1" s="372" t="s">
        <v>12</v>
      </c>
      <c r="H1" s="373"/>
      <c r="I1" s="373"/>
      <c r="J1" s="374"/>
      <c r="K1" s="1" t="s">
        <v>13</v>
      </c>
      <c r="L1" s="2"/>
      <c r="M1" s="375">
        <v>328000000</v>
      </c>
      <c r="N1" s="375"/>
      <c r="O1" s="3" t="s">
        <v>14</v>
      </c>
      <c r="P1" s="4">
        <v>34726</v>
      </c>
    </row>
    <row r="2" spans="1:24" ht="21">
      <c r="A2" s="366"/>
      <c r="B2" s="367"/>
      <c r="C2" s="369" t="s">
        <v>84</v>
      </c>
      <c r="D2" s="369" t="s">
        <v>84</v>
      </c>
      <c r="E2" s="369" t="s">
        <v>84</v>
      </c>
      <c r="F2" s="371"/>
      <c r="G2" s="6" t="s">
        <v>15</v>
      </c>
      <c r="H2" s="7"/>
      <c r="I2" s="8">
        <v>90</v>
      </c>
      <c r="J2" s="9"/>
      <c r="K2" s="10" t="s">
        <v>16</v>
      </c>
      <c r="L2" s="11"/>
      <c r="M2" s="363">
        <v>0</v>
      </c>
      <c r="N2" s="363"/>
      <c r="O2" s="11"/>
      <c r="P2" s="12"/>
    </row>
    <row r="3" spans="1:24" ht="16.5" customHeight="1">
      <c r="A3" s="366" t="s">
        <v>17</v>
      </c>
      <c r="B3" s="367"/>
      <c r="C3" s="369" t="s">
        <v>85</v>
      </c>
      <c r="D3" s="369"/>
      <c r="E3" s="369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63">
        <v>0</v>
      </c>
      <c r="N3" s="363"/>
      <c r="O3" s="11"/>
      <c r="P3" s="12"/>
    </row>
    <row r="4" spans="1:24">
      <c r="A4" s="366"/>
      <c r="B4" s="367"/>
      <c r="C4" s="369"/>
      <c r="D4" s="369"/>
      <c r="E4" s="369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63">
        <v>0</v>
      </c>
      <c r="N4" s="363"/>
      <c r="O4" s="11"/>
      <c r="P4" s="12"/>
    </row>
    <row r="5" spans="1:24">
      <c r="A5" s="304" t="s">
        <v>24</v>
      </c>
      <c r="B5" s="18"/>
      <c r="C5" s="18"/>
      <c r="D5" s="19"/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63">
        <v>0</v>
      </c>
      <c r="N5" s="363"/>
      <c r="O5" s="11"/>
      <c r="P5" s="12"/>
    </row>
    <row r="6" spans="1:24">
      <c r="A6" s="304" t="s">
        <v>86</v>
      </c>
      <c r="B6" s="18"/>
      <c r="C6" s="18"/>
      <c r="D6" s="22">
        <v>42571</v>
      </c>
      <c r="E6" s="23"/>
      <c r="F6" s="24"/>
      <c r="G6" s="6"/>
      <c r="H6" s="14" t="s">
        <v>28</v>
      </c>
      <c r="I6" s="25">
        <v>0.05</v>
      </c>
      <c r="J6" s="15" t="s">
        <v>29</v>
      </c>
      <c r="K6" s="26"/>
      <c r="L6" s="11"/>
      <c r="M6" s="363"/>
      <c r="N6" s="363"/>
      <c r="O6" s="11"/>
      <c r="P6" s="12"/>
    </row>
    <row r="7" spans="1:24">
      <c r="A7" s="304" t="s">
        <v>87</v>
      </c>
      <c r="B7" s="18"/>
      <c r="C7" s="18"/>
      <c r="D7" s="22">
        <v>43364</v>
      </c>
      <c r="E7" s="23"/>
      <c r="F7" s="24"/>
      <c r="G7" s="6"/>
      <c r="H7" s="14" t="s">
        <v>30</v>
      </c>
      <c r="I7" s="27">
        <v>0.05</v>
      </c>
      <c r="J7" s="15" t="s">
        <v>29</v>
      </c>
      <c r="K7" s="28" t="s">
        <v>31</v>
      </c>
      <c r="L7" s="29"/>
      <c r="M7" s="353">
        <f>SUM(M1:M6)</f>
        <v>328000000</v>
      </c>
      <c r="N7" s="353"/>
      <c r="O7" s="11"/>
      <c r="P7" s="12"/>
    </row>
    <row r="8" spans="1:24">
      <c r="A8" s="30" t="s">
        <v>88</v>
      </c>
      <c r="B8" s="31"/>
      <c r="C8" s="31"/>
      <c r="D8" s="32">
        <v>43371</v>
      </c>
      <c r="E8" s="33"/>
      <c r="F8" s="34"/>
      <c r="G8" s="35"/>
      <c r="H8" s="36" t="s">
        <v>32</v>
      </c>
      <c r="I8" s="37">
        <v>0</v>
      </c>
      <c r="J8" s="38" t="s">
        <v>89</v>
      </c>
      <c r="K8" s="39" t="s">
        <v>33</v>
      </c>
      <c r="L8" s="40"/>
      <c r="M8" s="354">
        <f>M7*(1+$I$4)</f>
        <v>393600000</v>
      </c>
      <c r="N8" s="354"/>
      <c r="O8" s="41"/>
      <c r="P8" s="42"/>
    </row>
    <row r="10" spans="1:24">
      <c r="B10" s="5" t="s">
        <v>34</v>
      </c>
      <c r="C10" s="43">
        <v>43069</v>
      </c>
      <c r="E10" s="44"/>
      <c r="F10" s="45">
        <v>0.05</v>
      </c>
      <c r="G10" s="46"/>
      <c r="H10" s="47"/>
      <c r="O10" s="355" t="s">
        <v>35</v>
      </c>
      <c r="P10" s="356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90</v>
      </c>
      <c r="O11" s="49" t="s">
        <v>50</v>
      </c>
      <c r="P11" s="49" t="s">
        <v>51</v>
      </c>
      <c r="R11" s="305" t="s">
        <v>52</v>
      </c>
      <c r="S11" s="305" t="s">
        <v>53</v>
      </c>
      <c r="T11" s="305" t="s">
        <v>54</v>
      </c>
      <c r="U11" s="305" t="s">
        <v>55</v>
      </c>
      <c r="V11" s="305" t="s">
        <v>56</v>
      </c>
      <c r="X11" s="305"/>
    </row>
    <row r="12" spans="1:24" ht="19.5" customHeight="1">
      <c r="A12" s="138">
        <v>1</v>
      </c>
      <c r="B12" s="138">
        <v>1100000062</v>
      </c>
      <c r="C12" s="139">
        <v>42655</v>
      </c>
      <c r="D12" s="140">
        <v>42643</v>
      </c>
      <c r="E12" s="141">
        <v>11500000</v>
      </c>
      <c r="F12" s="141">
        <f t="shared" ref="F12:F21" si="0">IF(-E12*$F$10=0,"",-E12*$F$10)</f>
        <v>-575000</v>
      </c>
      <c r="G12" s="141" t="str">
        <f t="shared" ref="G12:G21" si="1">IF(E12*$G$10=0,"",E12*$G$10)</f>
        <v/>
      </c>
      <c r="H12" s="141"/>
      <c r="I12" s="141">
        <f t="shared" ref="I12:I21" si="2">IFERROR(IF(G12="",E12+F12-H12,E12+F12-G12-H12),"")</f>
        <v>10925000</v>
      </c>
      <c r="J12" s="141">
        <f t="shared" ref="J12:J21" si="3">IFERROR(I12+(I12*$I$4),"")</f>
        <v>13110000</v>
      </c>
      <c r="K12" s="141">
        <f>SUM(K13:K14)</f>
        <v>13110000</v>
      </c>
      <c r="L12" s="139">
        <f t="shared" ref="L12:L21" si="4">IFERROR(IF(C12="","",C12+$I$2),"")</f>
        <v>42745</v>
      </c>
      <c r="M12" s="139"/>
      <c r="N12" s="142"/>
      <c r="O12" s="141" t="str">
        <f>IFERROR(IF(J12=K12,"",J12-K12),"")</f>
        <v/>
      </c>
      <c r="P12" s="141" t="str">
        <f t="shared" ref="P12:P21" si="5">IFERROR(IF($C$10&lt;L12,"",O12),"")</f>
        <v/>
      </c>
      <c r="Q12" s="53"/>
      <c r="R12" s="164" t="str">
        <f t="shared" ref="R12:R22" si="6">IF(N12&gt;=0,"",(IF(-N12&lt;=60,O12,"")))</f>
        <v/>
      </c>
      <c r="S12" s="164" t="str">
        <f t="shared" ref="S12:S22" si="7">IF(N12&gt;=0,"",(IF(N12&gt;=-60,"",IF(-60&gt;=N12,IF(N12&gt;=-120,O12,"")))))</f>
        <v/>
      </c>
      <c r="T12" s="164" t="str">
        <f t="shared" ref="T12:T22" si="8">IF(N12&gt;=0,"",(IF(N12&gt;-60,"",IF(-60&gt;=N12,IF(N12&gt;=-120,"",IF(N12&gt;=-180,O12,""))))))</f>
        <v/>
      </c>
      <c r="U12" s="164" t="str">
        <f t="shared" ref="U12:U22" si="9">IF(N12&gt;=0,"",(IF(N12&gt;-60,"",IF(-60&gt;=N12,IF(N12&gt;-120,"",IF(N12&gt;=-180,"",IF(N12&gt;=-365,O12,"")))))))</f>
        <v/>
      </c>
      <c r="V12" s="164" t="str">
        <f t="shared" ref="V12:V22" si="10">IF(N12&gt;=0,"",IF(365&lt;-N12,O12,""))</f>
        <v/>
      </c>
    </row>
    <row r="13" spans="1:24" ht="19.5" customHeight="1">
      <c r="A13" s="306"/>
      <c r="B13" s="54"/>
      <c r="C13" s="51"/>
      <c r="D13" s="57"/>
      <c r="E13" s="50"/>
      <c r="F13" s="50" t="str">
        <f t="shared" si="0"/>
        <v/>
      </c>
      <c r="G13" s="50" t="str">
        <f t="shared" si="1"/>
        <v/>
      </c>
      <c r="H13" s="50"/>
      <c r="I13" s="50" t="str">
        <f t="shared" si="2"/>
        <v/>
      </c>
      <c r="J13" s="50"/>
      <c r="K13" s="307">
        <v>3000000</v>
      </c>
      <c r="L13" s="51">
        <v>42745</v>
      </c>
      <c r="M13" s="308">
        <v>42824</v>
      </c>
      <c r="N13" s="52">
        <f t="shared" ref="N13:N21" si="11">IFERROR(-IF(L13=0,,IF(M13=0,($C$10-L13),M13-L13)),"")</f>
        <v>-79</v>
      </c>
      <c r="O13" s="50"/>
      <c r="P13" s="50"/>
      <c r="Q13" s="53"/>
      <c r="R13" s="164" t="str">
        <f t="shared" si="6"/>
        <v/>
      </c>
      <c r="S13" s="164">
        <f t="shared" si="7"/>
        <v>0</v>
      </c>
      <c r="T13" s="164" t="str">
        <f t="shared" si="8"/>
        <v/>
      </c>
      <c r="U13" s="164" t="str">
        <f t="shared" si="9"/>
        <v/>
      </c>
      <c r="V13" s="164" t="str">
        <f t="shared" si="10"/>
        <v/>
      </c>
    </row>
    <row r="14" spans="1:24" ht="19.5" customHeight="1">
      <c r="A14" s="306"/>
      <c r="B14" s="54"/>
      <c r="C14" s="51"/>
      <c r="D14" s="57"/>
      <c r="E14" s="50"/>
      <c r="F14" s="50" t="str">
        <f t="shared" si="0"/>
        <v/>
      </c>
      <c r="G14" s="50" t="str">
        <f t="shared" si="1"/>
        <v/>
      </c>
      <c r="H14" s="50"/>
      <c r="I14" s="50" t="str">
        <f t="shared" si="2"/>
        <v/>
      </c>
      <c r="J14" s="50" t="str">
        <f t="shared" si="3"/>
        <v/>
      </c>
      <c r="K14" s="307">
        <f>5280000+4830000</f>
        <v>10110000</v>
      </c>
      <c r="L14" s="51">
        <v>42745</v>
      </c>
      <c r="M14" s="308">
        <v>42830</v>
      </c>
      <c r="N14" s="52">
        <f t="shared" si="11"/>
        <v>-85</v>
      </c>
      <c r="O14" s="50"/>
      <c r="P14" s="50"/>
      <c r="Q14" s="53"/>
      <c r="R14" s="164" t="str">
        <f t="shared" si="6"/>
        <v/>
      </c>
      <c r="S14" s="164">
        <f t="shared" si="7"/>
        <v>0</v>
      </c>
      <c r="T14" s="164" t="str">
        <f t="shared" si="8"/>
        <v/>
      </c>
      <c r="U14" s="164" t="str">
        <f t="shared" si="9"/>
        <v/>
      </c>
      <c r="V14" s="164" t="str">
        <f t="shared" si="10"/>
        <v/>
      </c>
    </row>
    <row r="15" spans="1:24" ht="19.5" customHeight="1">
      <c r="A15" s="138">
        <v>2</v>
      </c>
      <c r="B15" s="138">
        <v>1100000051</v>
      </c>
      <c r="C15" s="139">
        <v>42759</v>
      </c>
      <c r="D15" s="140">
        <v>42736</v>
      </c>
      <c r="E15" s="141">
        <v>11500000</v>
      </c>
      <c r="F15" s="141">
        <f t="shared" si="0"/>
        <v>-575000</v>
      </c>
      <c r="G15" s="141" t="str">
        <f t="shared" si="1"/>
        <v/>
      </c>
      <c r="H15" s="141"/>
      <c r="I15" s="141">
        <f t="shared" si="2"/>
        <v>10925000</v>
      </c>
      <c r="J15" s="141">
        <f t="shared" si="3"/>
        <v>13110000</v>
      </c>
      <c r="K15" s="141">
        <v>13110000</v>
      </c>
      <c r="L15" s="139">
        <f t="shared" si="4"/>
        <v>42849</v>
      </c>
      <c r="M15" s="308">
        <v>42926</v>
      </c>
      <c r="N15" s="142">
        <f t="shared" si="11"/>
        <v>-77</v>
      </c>
      <c r="O15" s="141" t="str">
        <f t="shared" ref="O15:O21" si="12">IFERROR(IF(J15=K15,"",J15-K15),"")</f>
        <v/>
      </c>
      <c r="P15" s="141" t="str">
        <f t="shared" si="5"/>
        <v/>
      </c>
      <c r="Q15" s="53"/>
      <c r="R15" s="164" t="str">
        <f t="shared" si="6"/>
        <v/>
      </c>
      <c r="S15" s="164" t="str">
        <f t="shared" si="7"/>
        <v/>
      </c>
      <c r="T15" s="164" t="str">
        <f t="shared" si="8"/>
        <v/>
      </c>
      <c r="U15" s="164" t="str">
        <f t="shared" si="9"/>
        <v/>
      </c>
      <c r="V15" s="164" t="str">
        <f t="shared" si="10"/>
        <v/>
      </c>
    </row>
    <row r="16" spans="1:24" ht="19.5" customHeight="1">
      <c r="A16" s="138">
        <v>3</v>
      </c>
      <c r="B16" s="138">
        <v>1100000052</v>
      </c>
      <c r="C16" s="139">
        <v>42817</v>
      </c>
      <c r="D16" s="140">
        <v>42767</v>
      </c>
      <c r="E16" s="141">
        <v>5975300</v>
      </c>
      <c r="F16" s="141">
        <f t="shared" si="0"/>
        <v>-298765</v>
      </c>
      <c r="G16" s="50" t="str">
        <f t="shared" si="1"/>
        <v/>
      </c>
      <c r="H16" s="50"/>
      <c r="I16" s="141">
        <f t="shared" si="2"/>
        <v>5676535</v>
      </c>
      <c r="J16" s="141">
        <f t="shared" si="3"/>
        <v>6811842</v>
      </c>
      <c r="K16" s="141"/>
      <c r="L16" s="139">
        <f t="shared" si="4"/>
        <v>42907</v>
      </c>
      <c r="M16" s="309">
        <v>43044</v>
      </c>
      <c r="N16" s="142">
        <f t="shared" si="11"/>
        <v>-137</v>
      </c>
      <c r="O16" s="141">
        <f t="shared" si="12"/>
        <v>6811842</v>
      </c>
      <c r="P16" s="141">
        <f t="shared" si="5"/>
        <v>6811842</v>
      </c>
      <c r="Q16" s="53"/>
      <c r="R16" s="164" t="str">
        <f t="shared" si="6"/>
        <v/>
      </c>
      <c r="S16" s="164" t="str">
        <f t="shared" si="7"/>
        <v/>
      </c>
      <c r="T16" s="164">
        <f t="shared" si="8"/>
        <v>6811842</v>
      </c>
      <c r="U16" s="164" t="str">
        <f t="shared" si="9"/>
        <v/>
      </c>
      <c r="V16" s="164" t="str">
        <f t="shared" si="10"/>
        <v/>
      </c>
    </row>
    <row r="17" spans="1:24" ht="19.5" customHeight="1">
      <c r="A17" s="138">
        <v>4</v>
      </c>
      <c r="B17" s="138">
        <v>1100000053</v>
      </c>
      <c r="C17" s="139">
        <v>42836</v>
      </c>
      <c r="D17" s="140">
        <v>42795</v>
      </c>
      <c r="E17" s="141">
        <v>7250000</v>
      </c>
      <c r="F17" s="141">
        <f t="shared" si="0"/>
        <v>-362500</v>
      </c>
      <c r="G17" s="141" t="str">
        <f t="shared" si="1"/>
        <v/>
      </c>
      <c r="H17" s="141"/>
      <c r="I17" s="141">
        <f t="shared" si="2"/>
        <v>6887500</v>
      </c>
      <c r="J17" s="141">
        <f t="shared" si="3"/>
        <v>8265000</v>
      </c>
      <c r="K17" s="141">
        <v>8265000</v>
      </c>
      <c r="L17" s="139">
        <f t="shared" si="4"/>
        <v>42926</v>
      </c>
      <c r="M17" s="308">
        <v>43044</v>
      </c>
      <c r="N17" s="142">
        <f t="shared" si="11"/>
        <v>-118</v>
      </c>
      <c r="O17" s="141" t="str">
        <f t="shared" si="12"/>
        <v/>
      </c>
      <c r="P17" s="50" t="str">
        <f t="shared" si="5"/>
        <v/>
      </c>
      <c r="Q17" s="53"/>
      <c r="R17" s="164" t="str">
        <f t="shared" si="6"/>
        <v/>
      </c>
      <c r="S17" s="164" t="str">
        <f t="shared" si="7"/>
        <v/>
      </c>
      <c r="T17" s="164" t="str">
        <f t="shared" si="8"/>
        <v/>
      </c>
      <c r="U17" s="164" t="str">
        <f t="shared" si="9"/>
        <v/>
      </c>
      <c r="V17" s="164" t="str">
        <f t="shared" si="10"/>
        <v/>
      </c>
    </row>
    <row r="18" spans="1:24" ht="19.5" customHeight="1">
      <c r="A18" s="138">
        <v>5</v>
      </c>
      <c r="B18" s="138">
        <v>1100000054</v>
      </c>
      <c r="C18" s="310">
        <v>42853</v>
      </c>
      <c r="D18" s="140">
        <v>42826</v>
      </c>
      <c r="E18" s="141">
        <v>13200000</v>
      </c>
      <c r="F18" s="141">
        <f t="shared" si="0"/>
        <v>-660000</v>
      </c>
      <c r="G18" s="141" t="str">
        <f t="shared" si="1"/>
        <v/>
      </c>
      <c r="H18" s="141"/>
      <c r="I18" s="141">
        <f t="shared" si="2"/>
        <v>12540000</v>
      </c>
      <c r="J18" s="141">
        <f t="shared" si="3"/>
        <v>15048000</v>
      </c>
      <c r="K18" s="141">
        <f>K19</f>
        <v>7000000</v>
      </c>
      <c r="L18" s="139">
        <f t="shared" si="4"/>
        <v>42943</v>
      </c>
      <c r="M18" s="139"/>
      <c r="N18" s="142"/>
      <c r="O18" s="141">
        <f t="shared" si="12"/>
        <v>8048000</v>
      </c>
      <c r="P18" s="141">
        <f t="shared" si="5"/>
        <v>8048000</v>
      </c>
      <c r="Q18" s="53"/>
      <c r="R18" s="164" t="str">
        <f t="shared" si="6"/>
        <v/>
      </c>
      <c r="S18" s="164" t="str">
        <f t="shared" si="7"/>
        <v/>
      </c>
      <c r="T18" s="164" t="str">
        <f t="shared" si="8"/>
        <v/>
      </c>
      <c r="U18" s="164" t="str">
        <f t="shared" si="9"/>
        <v/>
      </c>
      <c r="V18" s="164" t="str">
        <f t="shared" si="10"/>
        <v/>
      </c>
    </row>
    <row r="19" spans="1:24" ht="19.5" customHeight="1">
      <c r="A19" s="306"/>
      <c r="B19" s="143"/>
      <c r="C19" s="310"/>
      <c r="D19" s="140"/>
      <c r="E19" s="141"/>
      <c r="F19" s="141"/>
      <c r="G19" s="141"/>
      <c r="H19" s="141"/>
      <c r="I19" s="141"/>
      <c r="J19" s="141"/>
      <c r="K19" s="307">
        <v>7000000</v>
      </c>
      <c r="L19" s="139">
        <v>42943</v>
      </c>
      <c r="M19" s="308">
        <v>43008</v>
      </c>
      <c r="N19" s="52">
        <f t="shared" si="11"/>
        <v>-65</v>
      </c>
      <c r="O19" s="141"/>
      <c r="P19" s="141"/>
      <c r="Q19" s="53"/>
      <c r="R19" s="164" t="str">
        <f t="shared" si="6"/>
        <v/>
      </c>
      <c r="S19" s="164">
        <f t="shared" si="7"/>
        <v>0</v>
      </c>
      <c r="T19" s="164" t="str">
        <f t="shared" si="8"/>
        <v/>
      </c>
      <c r="U19" s="164" t="str">
        <f t="shared" si="9"/>
        <v/>
      </c>
      <c r="V19" s="164" t="str">
        <f t="shared" si="10"/>
        <v/>
      </c>
    </row>
    <row r="20" spans="1:24" ht="19.5" customHeight="1">
      <c r="A20" s="306"/>
      <c r="B20" s="143"/>
      <c r="C20" s="310"/>
      <c r="D20" s="140"/>
      <c r="E20" s="141"/>
      <c r="F20" s="141"/>
      <c r="G20" s="141"/>
      <c r="H20" s="141"/>
      <c r="I20" s="141"/>
      <c r="J20" s="141"/>
      <c r="K20" s="307">
        <v>8048000</v>
      </c>
      <c r="L20" s="139">
        <v>42943</v>
      </c>
      <c r="M20" s="308">
        <v>43023</v>
      </c>
      <c r="N20" s="52">
        <f t="shared" si="11"/>
        <v>-80</v>
      </c>
      <c r="O20" s="141"/>
      <c r="P20" s="141"/>
      <c r="Q20" s="53"/>
      <c r="R20" s="164" t="str">
        <f t="shared" si="6"/>
        <v/>
      </c>
      <c r="S20" s="164">
        <f t="shared" si="7"/>
        <v>0</v>
      </c>
      <c r="T20" s="164" t="str">
        <f t="shared" si="8"/>
        <v/>
      </c>
      <c r="U20" s="164" t="str">
        <f t="shared" si="9"/>
        <v/>
      </c>
      <c r="V20" s="164" t="str">
        <f t="shared" si="10"/>
        <v/>
      </c>
    </row>
    <row r="21" spans="1:24" ht="19.5" customHeight="1">
      <c r="A21" s="138"/>
      <c r="B21" s="55"/>
      <c r="C21" s="51"/>
      <c r="D21" s="57"/>
      <c r="E21" s="50"/>
      <c r="F21" s="50" t="str">
        <f t="shared" si="0"/>
        <v/>
      </c>
      <c r="G21" s="50" t="str">
        <f t="shared" si="1"/>
        <v/>
      </c>
      <c r="H21" s="50"/>
      <c r="I21" s="50" t="str">
        <f t="shared" si="2"/>
        <v/>
      </c>
      <c r="J21" s="50" t="str">
        <f t="shared" si="3"/>
        <v/>
      </c>
      <c r="K21" s="50"/>
      <c r="L21" s="51" t="str">
        <f t="shared" si="4"/>
        <v/>
      </c>
      <c r="M21" s="51"/>
      <c r="N21" s="52" t="str">
        <f t="shared" si="11"/>
        <v/>
      </c>
      <c r="O21" s="50" t="str">
        <f t="shared" si="12"/>
        <v/>
      </c>
      <c r="P21" s="50" t="str">
        <f t="shared" si="5"/>
        <v/>
      </c>
      <c r="Q21" s="53"/>
      <c r="R21" s="164" t="str">
        <f t="shared" si="6"/>
        <v/>
      </c>
      <c r="S21" s="164" t="str">
        <f t="shared" si="7"/>
        <v/>
      </c>
      <c r="T21" s="164" t="str">
        <f t="shared" si="8"/>
        <v/>
      </c>
      <c r="U21" s="164" t="str">
        <f t="shared" si="9"/>
        <v/>
      </c>
      <c r="V21" s="164" t="str">
        <f t="shared" si="10"/>
        <v/>
      </c>
    </row>
    <row r="22" spans="1:24" ht="19.5" customHeight="1" thickBot="1">
      <c r="A22" s="54"/>
      <c r="B22" s="55"/>
      <c r="C22" s="56"/>
      <c r="D22" s="57"/>
      <c r="E22" s="50"/>
      <c r="F22" s="50"/>
      <c r="G22" s="50"/>
      <c r="H22" s="50"/>
      <c r="I22" s="50"/>
      <c r="J22" s="50"/>
      <c r="K22" s="50"/>
      <c r="L22" s="51"/>
      <c r="M22" s="51"/>
      <c r="N22" s="59"/>
      <c r="O22" s="50"/>
      <c r="P22" s="55"/>
      <c r="Q22" s="53"/>
      <c r="R22" s="164" t="str">
        <f t="shared" si="6"/>
        <v/>
      </c>
      <c r="S22" s="164" t="str">
        <f t="shared" si="7"/>
        <v/>
      </c>
      <c r="T22" s="164" t="str">
        <f t="shared" si="8"/>
        <v/>
      </c>
      <c r="U22" s="164" t="str">
        <f t="shared" si="9"/>
        <v/>
      </c>
      <c r="V22" s="164" t="str">
        <f t="shared" si="10"/>
        <v/>
      </c>
    </row>
    <row r="23" spans="1:24" s="53" customFormat="1" ht="20.100000000000001" customHeight="1" thickBot="1">
      <c r="A23" s="60"/>
      <c r="B23" s="61" t="s">
        <v>58</v>
      </c>
      <c r="C23" s="61"/>
      <c r="D23" s="61"/>
      <c r="E23" s="62">
        <f t="shared" ref="E23:J23" si="13">SUM(E12:E22)</f>
        <v>49425300</v>
      </c>
      <c r="F23" s="62">
        <f t="shared" si="13"/>
        <v>-2471265</v>
      </c>
      <c r="G23" s="62">
        <f t="shared" si="13"/>
        <v>0</v>
      </c>
      <c r="H23" s="62">
        <f t="shared" si="13"/>
        <v>0</v>
      </c>
      <c r="I23" s="62">
        <f t="shared" si="13"/>
        <v>46954035</v>
      </c>
      <c r="J23" s="62">
        <f t="shared" si="13"/>
        <v>56344842</v>
      </c>
      <c r="K23" s="62">
        <f>K12+K15+K16+K17+K18</f>
        <v>41485000</v>
      </c>
      <c r="L23" s="63"/>
      <c r="M23" s="63"/>
      <c r="N23" s="63"/>
      <c r="O23" s="62">
        <f>SUM(O12:O22)</f>
        <v>14859842</v>
      </c>
      <c r="P23" s="64">
        <f>SUM(P12:P22)</f>
        <v>14859842</v>
      </c>
      <c r="R23" s="65">
        <f>SUM(R12:R22)</f>
        <v>0</v>
      </c>
      <c r="S23" s="65">
        <f>SUM(S12:S22)</f>
        <v>0</v>
      </c>
      <c r="T23" s="65">
        <f>SUM(T12:T22)</f>
        <v>6811842</v>
      </c>
      <c r="U23" s="65">
        <f>SUM(U12:U22)</f>
        <v>0</v>
      </c>
      <c r="V23" s="65">
        <f>SUM(V12:V22)</f>
        <v>0</v>
      </c>
      <c r="X23" s="65"/>
    </row>
    <row r="24" spans="1:24" ht="21" customHeight="1">
      <c r="A24" s="66"/>
      <c r="B24" s="67"/>
      <c r="C24" s="67"/>
      <c r="D24" s="68" t="s">
        <v>59</v>
      </c>
      <c r="E24" s="69">
        <f>+E23/$M$7</f>
        <v>0.15068689024390244</v>
      </c>
      <c r="F24" s="67"/>
      <c r="G24" s="67"/>
      <c r="H24" s="67"/>
      <c r="I24" s="67"/>
      <c r="J24" s="68" t="s">
        <v>60</v>
      </c>
      <c r="K24" s="69">
        <f>+K23/J23</f>
        <v>0.73626970149281812</v>
      </c>
      <c r="L24" s="67"/>
      <c r="M24" s="67"/>
      <c r="N24" s="67"/>
      <c r="O24" s="67"/>
      <c r="P24" s="70"/>
      <c r="Q24" s="53"/>
      <c r="R24" s="53"/>
      <c r="S24" s="53"/>
      <c r="T24" s="53"/>
      <c r="U24" s="53"/>
      <c r="V24" s="53"/>
    </row>
    <row r="25" spans="1:24" ht="21" customHeight="1" thickBot="1">
      <c r="A25" s="71"/>
      <c r="B25" s="72"/>
      <c r="C25" s="72"/>
      <c r="D25" s="73" t="s">
        <v>61</v>
      </c>
      <c r="E25" s="74">
        <f>+$M$7-$E$23</f>
        <v>278574700</v>
      </c>
      <c r="F25" s="75">
        <f>+E25/M7</f>
        <v>0.84931310975609753</v>
      </c>
      <c r="G25" s="72"/>
      <c r="H25" s="72"/>
      <c r="I25" s="72"/>
      <c r="J25" s="72"/>
      <c r="K25" s="72"/>
      <c r="L25" s="72"/>
      <c r="M25" s="72"/>
      <c r="N25" s="72"/>
      <c r="O25" s="72"/>
      <c r="P25" s="76"/>
      <c r="Q25" s="53"/>
      <c r="R25" s="53"/>
      <c r="S25" s="53"/>
      <c r="T25" s="53"/>
      <c r="U25" s="53"/>
      <c r="V25" s="53"/>
    </row>
    <row r="26" spans="1:24">
      <c r="A26" s="53"/>
      <c r="C26" s="66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67"/>
      <c r="O26" s="70"/>
      <c r="P26" s="53"/>
      <c r="Q26" s="53"/>
      <c r="R26" s="53"/>
      <c r="S26" s="53"/>
      <c r="T26" s="53"/>
      <c r="U26" s="53"/>
      <c r="V26" s="53"/>
    </row>
    <row r="27" spans="1:24" ht="21">
      <c r="A27" s="53"/>
      <c r="C27" s="275"/>
      <c r="D27" s="144" t="s">
        <v>62</v>
      </c>
      <c r="E27" s="144"/>
      <c r="F27" s="144"/>
      <c r="G27" s="144"/>
      <c r="H27" s="144"/>
      <c r="I27" s="144"/>
      <c r="J27" s="145"/>
      <c r="K27" s="145"/>
      <c r="L27" s="145"/>
      <c r="M27" s="145"/>
      <c r="N27" s="145"/>
      <c r="O27" s="146"/>
      <c r="P27" s="53"/>
      <c r="Q27" s="53"/>
      <c r="R27" s="53"/>
      <c r="S27" s="53"/>
      <c r="T27" s="53"/>
      <c r="U27" s="53"/>
      <c r="V27" s="53"/>
    </row>
    <row r="28" spans="1:24" ht="17.25" thickBot="1">
      <c r="A28" s="53"/>
      <c r="C28" s="275"/>
      <c r="D28" s="145"/>
      <c r="E28" s="145"/>
      <c r="F28" s="145"/>
      <c r="G28" s="145"/>
      <c r="H28" s="147"/>
      <c r="I28" s="145"/>
      <c r="J28" s="145"/>
      <c r="K28" s="145"/>
      <c r="L28" s="145"/>
      <c r="M28" s="145"/>
      <c r="N28" s="145"/>
      <c r="O28" s="146"/>
      <c r="P28" s="53"/>
      <c r="Q28" s="53"/>
      <c r="R28" s="53"/>
      <c r="S28" s="53"/>
      <c r="T28" s="53"/>
      <c r="U28" s="53"/>
      <c r="V28" s="53"/>
    </row>
    <row r="29" spans="1:24" ht="18" customHeight="1" thickBot="1">
      <c r="A29" s="53"/>
      <c r="C29" s="275"/>
      <c r="D29" s="379" t="s">
        <v>63</v>
      </c>
      <c r="E29" s="380"/>
      <c r="F29" s="381"/>
      <c r="G29" s="148" t="s">
        <v>64</v>
      </c>
      <c r="H29" s="149">
        <f>M7</f>
        <v>328000000</v>
      </c>
      <c r="I29" s="150"/>
      <c r="J29" s="151"/>
      <c r="K29" s="150"/>
      <c r="L29" s="150"/>
      <c r="M29" s="150"/>
      <c r="N29" s="150"/>
      <c r="O29" s="152"/>
      <c r="P29" s="53"/>
      <c r="Q29" s="53"/>
      <c r="R29" s="53"/>
      <c r="S29" s="53"/>
      <c r="T29" s="153"/>
      <c r="U29" s="53"/>
      <c r="V29" s="53"/>
    </row>
    <row r="30" spans="1:24" ht="18" customHeight="1" thickBot="1">
      <c r="A30" s="53"/>
      <c r="C30" s="275"/>
      <c r="D30" s="148"/>
      <c r="E30" s="148"/>
      <c r="F30" s="148"/>
      <c r="G30" s="148"/>
      <c r="H30" s="150"/>
      <c r="I30" s="150"/>
      <c r="J30" s="150"/>
      <c r="K30" s="150"/>
      <c r="L30" s="150"/>
      <c r="M30" s="150"/>
      <c r="N30" s="150"/>
      <c r="O30" s="152"/>
      <c r="P30" s="53"/>
      <c r="Q30" s="53"/>
      <c r="R30" s="53"/>
      <c r="S30" s="53"/>
      <c r="T30" s="53"/>
      <c r="U30" s="53"/>
      <c r="V30" s="53"/>
    </row>
    <row r="31" spans="1:24" ht="18" customHeight="1" thickBot="1">
      <c r="A31" s="53"/>
      <c r="C31" s="275"/>
      <c r="D31" s="382" t="s">
        <v>65</v>
      </c>
      <c r="E31" s="383"/>
      <c r="F31" s="384"/>
      <c r="G31" s="148" t="s">
        <v>64</v>
      </c>
      <c r="H31" s="154">
        <f>E23</f>
        <v>49425300</v>
      </c>
      <c r="I31" s="150"/>
      <c r="J31" s="150"/>
      <c r="K31" s="91">
        <f>H31/H29</f>
        <v>0.15068689024390244</v>
      </c>
      <c r="L31" s="155" t="s">
        <v>66</v>
      </c>
      <c r="M31" s="156"/>
      <c r="N31" s="156"/>
      <c r="O31" s="152"/>
      <c r="P31" s="53"/>
      <c r="Q31" s="53"/>
      <c r="R31" s="53"/>
      <c r="S31" s="53"/>
      <c r="T31" s="53"/>
      <c r="U31" s="53"/>
      <c r="V31" s="53"/>
    </row>
    <row r="32" spans="1:24" ht="18" customHeight="1" thickBot="1">
      <c r="C32" s="276"/>
      <c r="D32" s="148"/>
      <c r="E32" s="148"/>
      <c r="F32" s="148"/>
      <c r="G32" s="148"/>
      <c r="H32" s="150"/>
      <c r="I32" s="150"/>
      <c r="J32" s="150"/>
      <c r="K32" s="150"/>
      <c r="L32" s="157"/>
      <c r="M32" s="150"/>
      <c r="N32" s="150"/>
      <c r="O32" s="152"/>
    </row>
    <row r="33" spans="3:15" ht="17.25" thickBot="1">
      <c r="C33" s="276"/>
      <c r="D33" s="376" t="s">
        <v>91</v>
      </c>
      <c r="E33" s="377"/>
      <c r="F33" s="378"/>
      <c r="G33" s="148" t="s">
        <v>68</v>
      </c>
      <c r="H33" s="96">
        <f>K23</f>
        <v>41485000</v>
      </c>
      <c r="I33" s="150"/>
      <c r="J33" s="150"/>
      <c r="K33" s="97">
        <f>H33/J23</f>
        <v>0.73626970149281812</v>
      </c>
      <c r="L33" s="277" t="s">
        <v>69</v>
      </c>
      <c r="M33" s="158"/>
      <c r="N33" s="158"/>
      <c r="O33" s="152"/>
    </row>
    <row r="34" spans="3:15" ht="17.25" thickBot="1">
      <c r="C34" s="276"/>
      <c r="D34" s="148"/>
      <c r="E34" s="148"/>
      <c r="F34" s="148"/>
      <c r="G34" s="148"/>
      <c r="H34" s="150"/>
      <c r="I34" s="150"/>
      <c r="J34" s="150"/>
      <c r="K34" s="150"/>
      <c r="L34" s="157"/>
      <c r="M34" s="150"/>
      <c r="N34" s="150"/>
      <c r="O34" s="152"/>
    </row>
    <row r="35" spans="3:15" ht="17.25" thickBot="1">
      <c r="C35" s="276"/>
      <c r="D35" s="376" t="s">
        <v>70</v>
      </c>
      <c r="E35" s="377"/>
      <c r="F35" s="378"/>
      <c r="G35" s="148" t="s">
        <v>68</v>
      </c>
      <c r="H35" s="100">
        <f>O23</f>
        <v>14859842</v>
      </c>
      <c r="I35" s="150"/>
      <c r="J35" s="150"/>
      <c r="K35" s="101">
        <f>H35/J23</f>
        <v>0.26373029850718188</v>
      </c>
      <c r="L35" s="277" t="s">
        <v>69</v>
      </c>
      <c r="M35" s="159"/>
      <c r="N35" s="159"/>
      <c r="O35" s="152"/>
    </row>
    <row r="36" spans="3:15" ht="17.25" thickBot="1">
      <c r="C36" s="276"/>
      <c r="D36" s="148"/>
      <c r="E36" s="148"/>
      <c r="F36" s="148"/>
      <c r="G36" s="148"/>
      <c r="H36" s="150"/>
      <c r="I36" s="150"/>
      <c r="J36" s="150"/>
      <c r="K36" s="150"/>
      <c r="L36" s="157"/>
      <c r="M36" s="150"/>
      <c r="N36" s="150"/>
      <c r="O36" s="152"/>
    </row>
    <row r="37" spans="3:15" ht="17.25" thickBot="1">
      <c r="C37" s="276"/>
      <c r="D37" s="376" t="s">
        <v>92</v>
      </c>
      <c r="E37" s="377"/>
      <c r="F37" s="378"/>
      <c r="G37" s="148" t="s">
        <v>68</v>
      </c>
      <c r="H37" s="104">
        <f>P23</f>
        <v>14859842</v>
      </c>
      <c r="I37" s="150"/>
      <c r="J37" s="150"/>
      <c r="K37" s="105">
        <f>H37/J23</f>
        <v>0.26373029850718188</v>
      </c>
      <c r="L37" s="277" t="s">
        <v>69</v>
      </c>
      <c r="M37" s="158"/>
      <c r="N37" s="158"/>
      <c r="O37" s="152"/>
    </row>
    <row r="38" spans="3:15" ht="17.25" thickBot="1">
      <c r="C38" s="160"/>
      <c r="D38" s="161"/>
      <c r="E38" s="161"/>
      <c r="F38" s="161"/>
      <c r="G38" s="161"/>
      <c r="H38" s="161"/>
      <c r="I38" s="161"/>
      <c r="J38" s="161"/>
      <c r="K38" s="161"/>
      <c r="L38" s="161"/>
      <c r="M38" s="161"/>
      <c r="N38" s="161"/>
      <c r="O38" s="162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D35:F35"/>
    <mergeCell ref="D37:F37"/>
    <mergeCell ref="M7:N7"/>
    <mergeCell ref="M8:N8"/>
    <mergeCell ref="O10:P10"/>
    <mergeCell ref="D29:F29"/>
    <mergeCell ref="D31:F31"/>
    <mergeCell ref="D33:F3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X40"/>
  <sheetViews>
    <sheetView workbookViewId="0"/>
  </sheetViews>
  <sheetFormatPr baseColWidth="10" defaultRowHeight="16.5"/>
  <cols>
    <col min="1" max="1" width="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2.28515625" style="5" bestFit="1" customWidth="1"/>
    <col min="9" max="9" width="13.28515625" style="5" customWidth="1"/>
    <col min="10" max="10" width="13.5703125" style="5" customWidth="1"/>
    <col min="11" max="12" width="13.7109375" style="5" customWidth="1"/>
    <col min="13" max="13" width="11.42578125" style="5"/>
    <col min="14" max="14" width="7" style="5" customWidth="1"/>
    <col min="15" max="15" width="13.42578125" style="5" customWidth="1"/>
    <col min="16" max="16" width="13.5703125" style="5" customWidth="1"/>
    <col min="17" max="17" width="6.140625" style="5" customWidth="1"/>
    <col min="18" max="18" width="9.7109375" style="5" customWidth="1"/>
    <col min="19" max="19" width="9.7109375" style="5" bestFit="1" customWidth="1"/>
    <col min="20" max="20" width="9.7109375" style="5" customWidth="1"/>
    <col min="21" max="22" width="9.5703125" style="5" customWidth="1"/>
    <col min="23" max="16384" width="11.42578125" style="5"/>
  </cols>
  <sheetData>
    <row r="1" spans="1:22" ht="21">
      <c r="A1" s="364" t="s">
        <v>11</v>
      </c>
      <c r="B1" s="365"/>
      <c r="C1" s="368" t="s">
        <v>83</v>
      </c>
      <c r="D1" s="368" t="s">
        <v>84</v>
      </c>
      <c r="E1" s="368" t="s">
        <v>84</v>
      </c>
      <c r="F1" s="370" t="s">
        <v>94</v>
      </c>
      <c r="G1" s="372" t="s">
        <v>12</v>
      </c>
      <c r="H1" s="373"/>
      <c r="I1" s="373"/>
      <c r="J1" s="374"/>
      <c r="K1" s="1" t="s">
        <v>13</v>
      </c>
      <c r="L1" s="2"/>
      <c r="M1" s="375">
        <v>345000000</v>
      </c>
      <c r="N1" s="375"/>
      <c r="O1" s="3" t="s">
        <v>14</v>
      </c>
      <c r="P1" s="4">
        <v>34726</v>
      </c>
    </row>
    <row r="2" spans="1:22" ht="21">
      <c r="A2" s="366"/>
      <c r="B2" s="367"/>
      <c r="C2" s="369" t="s">
        <v>84</v>
      </c>
      <c r="D2" s="369" t="s">
        <v>84</v>
      </c>
      <c r="E2" s="369" t="s">
        <v>84</v>
      </c>
      <c r="F2" s="371"/>
      <c r="G2" s="6" t="s">
        <v>15</v>
      </c>
      <c r="H2" s="7"/>
      <c r="I2" s="8">
        <v>90</v>
      </c>
      <c r="J2" s="9"/>
      <c r="K2" s="10" t="s">
        <v>16</v>
      </c>
      <c r="L2" s="11"/>
      <c r="M2" s="363">
        <v>0</v>
      </c>
      <c r="N2" s="363"/>
      <c r="O2" s="11"/>
      <c r="P2" s="12"/>
    </row>
    <row r="3" spans="1:22">
      <c r="A3" s="366" t="s">
        <v>17</v>
      </c>
      <c r="B3" s="367"/>
      <c r="C3" s="369" t="s">
        <v>85</v>
      </c>
      <c r="D3" s="369"/>
      <c r="E3" s="369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63">
        <v>0</v>
      </c>
      <c r="N3" s="363"/>
      <c r="O3" s="11"/>
      <c r="P3" s="12"/>
    </row>
    <row r="4" spans="1:22">
      <c r="A4" s="366"/>
      <c r="B4" s="367"/>
      <c r="C4" s="369"/>
      <c r="D4" s="369"/>
      <c r="E4" s="369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63">
        <v>0</v>
      </c>
      <c r="N4" s="363"/>
      <c r="O4" s="11"/>
      <c r="P4" s="12"/>
    </row>
    <row r="5" spans="1:22">
      <c r="A5" s="304" t="s">
        <v>24</v>
      </c>
      <c r="B5" s="18"/>
      <c r="C5" s="18"/>
      <c r="D5" s="19"/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63">
        <v>0</v>
      </c>
      <c r="N5" s="363"/>
      <c r="O5" s="11"/>
      <c r="P5" s="12"/>
    </row>
    <row r="6" spans="1:22">
      <c r="A6" s="304" t="s">
        <v>86</v>
      </c>
      <c r="B6" s="18"/>
      <c r="C6" s="18"/>
      <c r="D6" s="22">
        <v>42571</v>
      </c>
      <c r="E6" s="23"/>
      <c r="F6" s="24"/>
      <c r="G6" s="6"/>
      <c r="H6" s="14" t="s">
        <v>28</v>
      </c>
      <c r="I6" s="25">
        <v>0.05</v>
      </c>
      <c r="J6" s="15" t="s">
        <v>29</v>
      </c>
      <c r="K6" s="26"/>
      <c r="L6" s="11"/>
      <c r="M6" s="363"/>
      <c r="N6" s="363"/>
      <c r="O6" s="11"/>
      <c r="P6" s="12"/>
    </row>
    <row r="7" spans="1:22">
      <c r="A7" s="304" t="s">
        <v>87</v>
      </c>
      <c r="B7" s="18"/>
      <c r="C7" s="18"/>
      <c r="D7" s="22">
        <v>43364</v>
      </c>
      <c r="E7" s="23"/>
      <c r="F7" s="24"/>
      <c r="G7" s="6"/>
      <c r="H7" s="14" t="s">
        <v>30</v>
      </c>
      <c r="I7" s="27">
        <v>0.05</v>
      </c>
      <c r="J7" s="15" t="s">
        <v>29</v>
      </c>
      <c r="K7" s="28" t="s">
        <v>31</v>
      </c>
      <c r="L7" s="29"/>
      <c r="M7" s="353">
        <f>SUM(M1:M6)</f>
        <v>345000000</v>
      </c>
      <c r="N7" s="353"/>
      <c r="O7" s="11"/>
      <c r="P7" s="12"/>
    </row>
    <row r="8" spans="1:22">
      <c r="A8" s="30" t="s">
        <v>88</v>
      </c>
      <c r="B8" s="31"/>
      <c r="C8" s="31"/>
      <c r="D8" s="32">
        <v>43371</v>
      </c>
      <c r="E8" s="33"/>
      <c r="F8" s="34"/>
      <c r="G8" s="35"/>
      <c r="H8" s="36" t="s">
        <v>32</v>
      </c>
      <c r="I8" s="37">
        <v>0</v>
      </c>
      <c r="J8" s="38" t="s">
        <v>89</v>
      </c>
      <c r="K8" s="39" t="s">
        <v>33</v>
      </c>
      <c r="L8" s="40"/>
      <c r="M8" s="354">
        <f>M7*(1+$I$4)</f>
        <v>414000000</v>
      </c>
      <c r="N8" s="354"/>
      <c r="O8" s="41"/>
      <c r="P8" s="42"/>
    </row>
    <row r="10" spans="1:22">
      <c r="B10" s="5" t="s">
        <v>34</v>
      </c>
      <c r="C10" s="43">
        <v>43069</v>
      </c>
      <c r="E10" s="44"/>
      <c r="F10" s="45">
        <v>0.05</v>
      </c>
      <c r="G10" s="46"/>
      <c r="H10" s="47"/>
      <c r="O10" s="355" t="s">
        <v>35</v>
      </c>
      <c r="P10" s="356"/>
    </row>
    <row r="11" spans="1:22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90</v>
      </c>
      <c r="O11" s="49" t="s">
        <v>50</v>
      </c>
      <c r="P11" s="49" t="s">
        <v>51</v>
      </c>
      <c r="R11" s="163" t="s">
        <v>52</v>
      </c>
      <c r="S11" s="163" t="s">
        <v>53</v>
      </c>
      <c r="T11" s="163" t="s">
        <v>54</v>
      </c>
      <c r="U11" s="163" t="s">
        <v>55</v>
      </c>
      <c r="V11" s="163" t="s">
        <v>56</v>
      </c>
    </row>
    <row r="12" spans="1:22">
      <c r="A12" s="54">
        <v>1</v>
      </c>
      <c r="B12" s="54">
        <v>1100000050</v>
      </c>
      <c r="C12" s="56">
        <v>42655</v>
      </c>
      <c r="D12" s="57">
        <v>42643</v>
      </c>
      <c r="E12" s="50">
        <v>13000000</v>
      </c>
      <c r="F12" s="50">
        <f t="shared" ref="F12:F23" si="0">IF(-E12*$F$10=0,"",-E12*$F$10)</f>
        <v>-650000</v>
      </c>
      <c r="G12" s="50" t="str">
        <f t="shared" ref="G12:G23" si="1">IF(E12*$G$10=0,"",E12*$G$10)</f>
        <v/>
      </c>
      <c r="H12" s="50"/>
      <c r="I12" s="50">
        <f t="shared" ref="I12:I23" si="2">IFERROR(IF(G12="",E12+F12-H12,E12+F12-G12-H12),"")</f>
        <v>12350000</v>
      </c>
      <c r="J12" s="50">
        <f t="shared" ref="J12:J23" si="3">IFERROR(I12+(I12*$I$4),"")</f>
        <v>14820000</v>
      </c>
      <c r="K12" s="50">
        <f>SUM(K13:K15)</f>
        <v>11280000</v>
      </c>
      <c r="L12" s="51">
        <f t="shared" ref="L12:L23" si="4">IFERROR(IF(C12="","",C12+$I$2),"")</f>
        <v>42745</v>
      </c>
      <c r="M12" s="51"/>
      <c r="N12" s="52"/>
      <c r="O12" s="50">
        <f>IFERROR(IF(J12=K12,"",J12-K12),"")</f>
        <v>3540000</v>
      </c>
      <c r="P12" s="50">
        <f t="shared" ref="P12:P23" si="5">IFERROR(IF($C$10&lt;L12,"",O12),"")</f>
        <v>3540000</v>
      </c>
      <c r="Q12" s="53"/>
      <c r="R12" s="164" t="str">
        <f t="shared" ref="R12:R24" si="6">IF(N12&gt;=0,"",(IF(-N12&lt;=60,O12,"")))</f>
        <v/>
      </c>
      <c r="S12" s="164" t="str">
        <f t="shared" ref="S12:S24" si="7">IF(N12&gt;=0,"",(IF(N12&gt;=-60,"",IF(-60&gt;=N12,IF(N12&gt;=-120,O12,"")))))</f>
        <v/>
      </c>
      <c r="T12" s="164" t="str">
        <f t="shared" ref="T12:T24" si="8">IF(N12&gt;=0,"",(IF(N12&gt;-60,"",IF(-60&gt;=N12,IF(N12&gt;=-120,"",IF(N12&gt;=-180,O12,""))))))</f>
        <v/>
      </c>
      <c r="U12" s="164" t="str">
        <f t="shared" ref="U12:U24" si="9">IF(N12&gt;=0,"",(IF(N12&gt;-60,"",IF(-60&gt;=N12,IF(N12&gt;-120,"",IF(N12&gt;=-180,"",IF(N12&gt;=-365,O12,"")))))))</f>
        <v/>
      </c>
      <c r="V12" s="164" t="str">
        <f t="shared" ref="V12:V24" si="10">IF(N12&gt;=0,"",IF(365&lt;-N12,O12,""))</f>
        <v/>
      </c>
    </row>
    <row r="13" spans="1:22">
      <c r="A13" s="54"/>
      <c r="B13" s="54"/>
      <c r="C13" s="56"/>
      <c r="D13" s="57"/>
      <c r="E13" s="50"/>
      <c r="F13" s="50" t="str">
        <f t="shared" si="0"/>
        <v/>
      </c>
      <c r="G13" s="50" t="str">
        <f t="shared" si="1"/>
        <v/>
      </c>
      <c r="H13" s="50"/>
      <c r="I13" s="50" t="str">
        <f t="shared" si="2"/>
        <v/>
      </c>
      <c r="J13" s="50" t="str">
        <f t="shared" si="3"/>
        <v/>
      </c>
      <c r="K13" s="50">
        <v>3000000</v>
      </c>
      <c r="L13" s="51">
        <v>42745</v>
      </c>
      <c r="M13" s="51">
        <v>42824</v>
      </c>
      <c r="N13" s="52">
        <f t="shared" ref="N13:N23" si="11">IFERROR(-IF(L13=0,,IF(M13=0,($C$10-L13),M13-L13)),"")</f>
        <v>-79</v>
      </c>
      <c r="O13" s="50"/>
      <c r="P13" s="50"/>
      <c r="Q13" s="53"/>
      <c r="R13" s="164" t="str">
        <f t="shared" si="6"/>
        <v/>
      </c>
      <c r="S13" s="164">
        <f t="shared" si="7"/>
        <v>0</v>
      </c>
      <c r="T13" s="164" t="str">
        <f t="shared" si="8"/>
        <v/>
      </c>
      <c r="U13" s="164" t="str">
        <f t="shared" si="9"/>
        <v/>
      </c>
      <c r="V13" s="164" t="str">
        <f t="shared" si="10"/>
        <v/>
      </c>
    </row>
    <row r="14" spans="1:22">
      <c r="A14" s="54"/>
      <c r="B14" s="54"/>
      <c r="C14" s="56"/>
      <c r="D14" s="57"/>
      <c r="E14" s="50"/>
      <c r="F14" s="50" t="str">
        <f t="shared" si="0"/>
        <v/>
      </c>
      <c r="G14" s="50" t="str">
        <f t="shared" si="1"/>
        <v/>
      </c>
      <c r="H14" s="50"/>
      <c r="I14" s="50" t="str">
        <f t="shared" si="2"/>
        <v/>
      </c>
      <c r="J14" s="50" t="str">
        <f t="shared" si="3"/>
        <v/>
      </c>
      <c r="K14" s="50">
        <v>5280000</v>
      </c>
      <c r="L14" s="51">
        <v>42745</v>
      </c>
      <c r="M14" s="51">
        <v>42830</v>
      </c>
      <c r="N14" s="52">
        <f t="shared" si="11"/>
        <v>-85</v>
      </c>
      <c r="O14" s="50"/>
      <c r="P14" s="50"/>
      <c r="Q14" s="53"/>
      <c r="R14" s="164" t="str">
        <f t="shared" si="6"/>
        <v/>
      </c>
      <c r="S14" s="164">
        <f t="shared" si="7"/>
        <v>0</v>
      </c>
      <c r="T14" s="164" t="str">
        <f t="shared" si="8"/>
        <v/>
      </c>
      <c r="U14" s="164" t="str">
        <f t="shared" si="9"/>
        <v/>
      </c>
      <c r="V14" s="164" t="str">
        <f t="shared" si="10"/>
        <v/>
      </c>
    </row>
    <row r="15" spans="1:22">
      <c r="A15" s="54"/>
      <c r="B15" s="54"/>
      <c r="C15" s="56"/>
      <c r="D15" s="57"/>
      <c r="E15" s="50"/>
      <c r="F15" s="50" t="str">
        <f t="shared" si="0"/>
        <v/>
      </c>
      <c r="G15" s="50" t="str">
        <f t="shared" si="1"/>
        <v/>
      </c>
      <c r="H15" s="50"/>
      <c r="I15" s="50" t="str">
        <f t="shared" si="2"/>
        <v/>
      </c>
      <c r="J15" s="50" t="str">
        <f t="shared" si="3"/>
        <v/>
      </c>
      <c r="K15" s="50">
        <v>3000000</v>
      </c>
      <c r="L15" s="51">
        <v>42745</v>
      </c>
      <c r="M15" s="51">
        <v>42840</v>
      </c>
      <c r="N15" s="52">
        <f t="shared" si="11"/>
        <v>-95</v>
      </c>
      <c r="O15" s="50"/>
      <c r="P15" s="50"/>
      <c r="Q15" s="53"/>
      <c r="R15" s="164" t="str">
        <f t="shared" si="6"/>
        <v/>
      </c>
      <c r="S15" s="164">
        <f t="shared" si="7"/>
        <v>0</v>
      </c>
      <c r="T15" s="164" t="str">
        <f t="shared" si="8"/>
        <v/>
      </c>
      <c r="U15" s="164" t="str">
        <f t="shared" si="9"/>
        <v/>
      </c>
      <c r="V15" s="164" t="str">
        <f t="shared" si="10"/>
        <v/>
      </c>
    </row>
    <row r="16" spans="1:22">
      <c r="A16" s="54"/>
      <c r="B16" s="54"/>
      <c r="C16" s="56"/>
      <c r="D16" s="57"/>
      <c r="E16" s="50"/>
      <c r="F16" s="50" t="str">
        <f t="shared" si="0"/>
        <v/>
      </c>
      <c r="G16" s="50" t="str">
        <f t="shared" si="1"/>
        <v/>
      </c>
      <c r="H16" s="50"/>
      <c r="I16" s="50" t="str">
        <f t="shared" si="2"/>
        <v/>
      </c>
      <c r="J16" s="50" t="str">
        <f t="shared" si="3"/>
        <v/>
      </c>
      <c r="K16" s="50">
        <v>3540000</v>
      </c>
      <c r="L16" s="51">
        <v>42745</v>
      </c>
      <c r="M16" s="51">
        <v>42855</v>
      </c>
      <c r="N16" s="52">
        <f t="shared" si="11"/>
        <v>-110</v>
      </c>
      <c r="O16" s="50"/>
      <c r="P16" s="50"/>
      <c r="Q16" s="53"/>
      <c r="R16" s="164" t="str">
        <f t="shared" si="6"/>
        <v/>
      </c>
      <c r="S16" s="164">
        <f t="shared" si="7"/>
        <v>0</v>
      </c>
      <c r="T16" s="164" t="str">
        <f t="shared" si="8"/>
        <v/>
      </c>
      <c r="U16" s="164" t="str">
        <f t="shared" si="9"/>
        <v/>
      </c>
      <c r="V16" s="164" t="str">
        <f t="shared" si="10"/>
        <v/>
      </c>
    </row>
    <row r="17" spans="1:24" ht="19.5" customHeight="1">
      <c r="A17" s="54">
        <v>2</v>
      </c>
      <c r="B17" s="54">
        <v>1100000051</v>
      </c>
      <c r="C17" s="56">
        <v>42759</v>
      </c>
      <c r="D17" s="57">
        <v>42736</v>
      </c>
      <c r="E17" s="50">
        <v>11500000</v>
      </c>
      <c r="F17" s="50">
        <f t="shared" si="0"/>
        <v>-575000</v>
      </c>
      <c r="G17" s="50" t="str">
        <f t="shared" si="1"/>
        <v/>
      </c>
      <c r="H17" s="50"/>
      <c r="I17" s="50">
        <f t="shared" si="2"/>
        <v>10925000</v>
      </c>
      <c r="J17" s="50">
        <f t="shared" si="3"/>
        <v>13110000</v>
      </c>
      <c r="K17" s="50">
        <v>13110000</v>
      </c>
      <c r="L17" s="51">
        <f t="shared" si="4"/>
        <v>42849</v>
      </c>
      <c r="M17" s="51">
        <v>42926</v>
      </c>
      <c r="N17" s="52">
        <f t="shared" si="11"/>
        <v>-77</v>
      </c>
      <c r="O17" s="50" t="str">
        <f t="shared" ref="O17:O23" si="12">IFERROR(IF(J17=K17,"",J17-K17),"")</f>
        <v/>
      </c>
      <c r="P17" s="50" t="str">
        <f t="shared" si="5"/>
        <v/>
      </c>
      <c r="Q17" s="53"/>
      <c r="R17" s="164" t="str">
        <f t="shared" si="6"/>
        <v/>
      </c>
      <c r="S17" s="164" t="str">
        <f t="shared" si="7"/>
        <v/>
      </c>
      <c r="T17" s="164" t="str">
        <f t="shared" si="8"/>
        <v/>
      </c>
      <c r="U17" s="164" t="str">
        <f t="shared" si="9"/>
        <v/>
      </c>
      <c r="V17" s="164" t="str">
        <f t="shared" si="10"/>
        <v/>
      </c>
    </row>
    <row r="18" spans="1:24" ht="19.5" customHeight="1">
      <c r="A18" s="54">
        <v>3</v>
      </c>
      <c r="B18" s="54">
        <v>1100000052</v>
      </c>
      <c r="C18" s="58">
        <v>42817</v>
      </c>
      <c r="D18" s="57">
        <v>42767</v>
      </c>
      <c r="E18" s="50">
        <v>6730000</v>
      </c>
      <c r="F18" s="50">
        <f t="shared" si="0"/>
        <v>-336500</v>
      </c>
      <c r="G18" s="50" t="str">
        <f t="shared" si="1"/>
        <v/>
      </c>
      <c r="H18" s="50"/>
      <c r="I18" s="50">
        <f t="shared" si="2"/>
        <v>6393500</v>
      </c>
      <c r="J18" s="50">
        <f t="shared" si="3"/>
        <v>7672200</v>
      </c>
      <c r="K18" s="50"/>
      <c r="L18" s="51">
        <f t="shared" si="4"/>
        <v>42907</v>
      </c>
      <c r="M18" s="51">
        <v>43044</v>
      </c>
      <c r="N18" s="52">
        <f t="shared" si="11"/>
        <v>-137</v>
      </c>
      <c r="O18" s="50">
        <f t="shared" si="12"/>
        <v>7672200</v>
      </c>
      <c r="P18" s="50">
        <f t="shared" si="5"/>
        <v>7672200</v>
      </c>
      <c r="Q18" s="53"/>
      <c r="R18" s="164" t="str">
        <f t="shared" si="6"/>
        <v/>
      </c>
      <c r="S18" s="164" t="str">
        <f t="shared" si="7"/>
        <v/>
      </c>
      <c r="T18" s="164">
        <f t="shared" si="8"/>
        <v>7672200</v>
      </c>
      <c r="U18" s="164" t="str">
        <f t="shared" si="9"/>
        <v/>
      </c>
      <c r="V18" s="164" t="str">
        <f t="shared" si="10"/>
        <v/>
      </c>
    </row>
    <row r="19" spans="1:24" ht="19.5" customHeight="1">
      <c r="A19" s="54">
        <v>4</v>
      </c>
      <c r="B19" s="54">
        <v>1100000053</v>
      </c>
      <c r="C19" s="51">
        <v>42836</v>
      </c>
      <c r="D19" s="57">
        <v>42795</v>
      </c>
      <c r="E19" s="50">
        <v>7250000</v>
      </c>
      <c r="F19" s="50">
        <f t="shared" si="0"/>
        <v>-362500</v>
      </c>
      <c r="G19" s="50" t="str">
        <f t="shared" si="1"/>
        <v/>
      </c>
      <c r="H19" s="50"/>
      <c r="I19" s="50">
        <f t="shared" si="2"/>
        <v>6887500</v>
      </c>
      <c r="J19" s="50">
        <f t="shared" si="3"/>
        <v>8265000</v>
      </c>
      <c r="K19" s="50">
        <v>8265000</v>
      </c>
      <c r="L19" s="51">
        <f t="shared" si="4"/>
        <v>42926</v>
      </c>
      <c r="M19" s="51">
        <v>43044</v>
      </c>
      <c r="N19" s="52">
        <f t="shared" si="11"/>
        <v>-118</v>
      </c>
      <c r="O19" s="50" t="str">
        <f t="shared" si="12"/>
        <v/>
      </c>
      <c r="P19" s="50" t="str">
        <f t="shared" si="5"/>
        <v/>
      </c>
      <c r="Q19" s="53"/>
      <c r="R19" s="164" t="str">
        <f t="shared" si="6"/>
        <v/>
      </c>
      <c r="S19" s="164" t="str">
        <f t="shared" si="7"/>
        <v/>
      </c>
      <c r="T19" s="164" t="str">
        <f t="shared" si="8"/>
        <v/>
      </c>
      <c r="U19" s="164" t="str">
        <f t="shared" si="9"/>
        <v/>
      </c>
      <c r="V19" s="164" t="str">
        <f t="shared" si="10"/>
        <v/>
      </c>
    </row>
    <row r="20" spans="1:24" ht="19.5" customHeight="1">
      <c r="A20" s="54">
        <v>5</v>
      </c>
      <c r="B20" s="54">
        <v>1100000054</v>
      </c>
      <c r="C20" s="51">
        <v>42853</v>
      </c>
      <c r="D20" s="57">
        <v>42826</v>
      </c>
      <c r="E20" s="50">
        <v>13200000</v>
      </c>
      <c r="F20" s="50">
        <f t="shared" si="0"/>
        <v>-660000</v>
      </c>
      <c r="G20" s="50" t="str">
        <f t="shared" si="1"/>
        <v/>
      </c>
      <c r="H20" s="50"/>
      <c r="I20" s="50">
        <f t="shared" si="2"/>
        <v>12540000</v>
      </c>
      <c r="J20" s="50">
        <f t="shared" si="3"/>
        <v>15048000</v>
      </c>
      <c r="K20" s="50">
        <f>K21</f>
        <v>7000000</v>
      </c>
      <c r="L20" s="51">
        <f t="shared" si="4"/>
        <v>42943</v>
      </c>
      <c r="M20" s="51"/>
      <c r="N20" s="52"/>
      <c r="O20" s="50">
        <f t="shared" si="12"/>
        <v>8048000</v>
      </c>
      <c r="P20" s="50">
        <f t="shared" si="5"/>
        <v>8048000</v>
      </c>
      <c r="Q20" s="53"/>
      <c r="R20" s="164" t="str">
        <f t="shared" si="6"/>
        <v/>
      </c>
      <c r="S20" s="164" t="str">
        <f t="shared" si="7"/>
        <v/>
      </c>
      <c r="T20" s="164" t="str">
        <f t="shared" si="8"/>
        <v/>
      </c>
      <c r="U20" s="164" t="str">
        <f t="shared" si="9"/>
        <v/>
      </c>
      <c r="V20" s="164" t="str">
        <f t="shared" si="10"/>
        <v/>
      </c>
    </row>
    <row r="21" spans="1:24" ht="19.5" customHeight="1">
      <c r="A21" s="54"/>
      <c r="B21" s="54"/>
      <c r="C21" s="51"/>
      <c r="D21" s="57"/>
      <c r="E21" s="50"/>
      <c r="F21" s="50"/>
      <c r="G21" s="50"/>
      <c r="H21" s="50"/>
      <c r="I21" s="50"/>
      <c r="J21" s="50"/>
      <c r="K21" s="50">
        <v>7000000</v>
      </c>
      <c r="L21" s="51">
        <v>42943</v>
      </c>
      <c r="M21" s="51">
        <v>43008</v>
      </c>
      <c r="N21" s="52">
        <f t="shared" si="11"/>
        <v>-65</v>
      </c>
      <c r="O21" s="50"/>
      <c r="P21" s="50"/>
      <c r="Q21" s="53"/>
      <c r="R21" s="164" t="str">
        <f t="shared" si="6"/>
        <v/>
      </c>
      <c r="S21" s="164">
        <f t="shared" si="7"/>
        <v>0</v>
      </c>
      <c r="T21" s="164" t="str">
        <f t="shared" si="8"/>
        <v/>
      </c>
      <c r="U21" s="164" t="str">
        <f t="shared" si="9"/>
        <v/>
      </c>
      <c r="V21" s="164" t="str">
        <f t="shared" si="10"/>
        <v/>
      </c>
    </row>
    <row r="22" spans="1:24" ht="19.5" customHeight="1">
      <c r="A22" s="54"/>
      <c r="B22" s="54"/>
      <c r="C22" s="51"/>
      <c r="D22" s="57"/>
      <c r="E22" s="50"/>
      <c r="F22" s="50"/>
      <c r="G22" s="50"/>
      <c r="H22" s="50"/>
      <c r="I22" s="50"/>
      <c r="J22" s="50"/>
      <c r="K22" s="50">
        <v>8048000</v>
      </c>
      <c r="L22" s="51">
        <v>42943</v>
      </c>
      <c r="M22" s="51">
        <v>43023</v>
      </c>
      <c r="N22" s="52">
        <f t="shared" si="11"/>
        <v>-80</v>
      </c>
      <c r="O22" s="50"/>
      <c r="P22" s="50"/>
      <c r="Q22" s="53"/>
      <c r="R22" s="164" t="str">
        <f t="shared" si="6"/>
        <v/>
      </c>
      <c r="S22" s="164">
        <f t="shared" si="7"/>
        <v>0</v>
      </c>
      <c r="T22" s="164" t="str">
        <f t="shared" si="8"/>
        <v/>
      </c>
      <c r="U22" s="164" t="str">
        <f t="shared" si="9"/>
        <v/>
      </c>
      <c r="V22" s="164" t="str">
        <f t="shared" si="10"/>
        <v/>
      </c>
    </row>
    <row r="23" spans="1:24" ht="19.5" customHeight="1">
      <c r="A23" s="54"/>
      <c r="B23" s="54"/>
      <c r="C23" s="51"/>
      <c r="D23" s="57"/>
      <c r="E23" s="50"/>
      <c r="F23" s="50" t="str">
        <f t="shared" si="0"/>
        <v/>
      </c>
      <c r="G23" s="50" t="str">
        <f t="shared" si="1"/>
        <v/>
      </c>
      <c r="H23" s="50"/>
      <c r="I23" s="50" t="str">
        <f t="shared" si="2"/>
        <v/>
      </c>
      <c r="J23" s="50" t="str">
        <f t="shared" si="3"/>
        <v/>
      </c>
      <c r="K23" s="50"/>
      <c r="L23" s="51" t="str">
        <f t="shared" si="4"/>
        <v/>
      </c>
      <c r="M23" s="51"/>
      <c r="N23" s="52" t="str">
        <f t="shared" si="11"/>
        <v/>
      </c>
      <c r="O23" s="50" t="str">
        <f t="shared" si="12"/>
        <v/>
      </c>
      <c r="P23" s="50" t="str">
        <f t="shared" si="5"/>
        <v/>
      </c>
      <c r="Q23" s="53"/>
      <c r="R23" s="164" t="str">
        <f t="shared" si="6"/>
        <v/>
      </c>
      <c r="S23" s="164" t="str">
        <f t="shared" si="7"/>
        <v/>
      </c>
      <c r="T23" s="164" t="str">
        <f t="shared" si="8"/>
        <v/>
      </c>
      <c r="U23" s="164" t="str">
        <f t="shared" si="9"/>
        <v/>
      </c>
      <c r="V23" s="164" t="str">
        <f t="shared" si="10"/>
        <v/>
      </c>
    </row>
    <row r="24" spans="1:24" ht="19.5" customHeight="1" thickBot="1">
      <c r="A24" s="54"/>
      <c r="B24" s="55"/>
      <c r="C24" s="56"/>
      <c r="D24" s="57"/>
      <c r="E24" s="50"/>
      <c r="F24" s="50"/>
      <c r="G24" s="50"/>
      <c r="H24" s="50"/>
      <c r="I24" s="50"/>
      <c r="J24" s="50"/>
      <c r="K24" s="50"/>
      <c r="L24" s="51"/>
      <c r="M24" s="51"/>
      <c r="N24" s="59"/>
      <c r="O24" s="50"/>
      <c r="P24" s="55"/>
      <c r="Q24" s="53"/>
      <c r="R24" s="164" t="str">
        <f t="shared" si="6"/>
        <v/>
      </c>
      <c r="S24" s="164" t="str">
        <f t="shared" si="7"/>
        <v/>
      </c>
      <c r="T24" s="164" t="str">
        <f t="shared" si="8"/>
        <v/>
      </c>
      <c r="U24" s="164" t="str">
        <f t="shared" si="9"/>
        <v/>
      </c>
      <c r="V24" s="164" t="str">
        <f t="shared" si="10"/>
        <v/>
      </c>
    </row>
    <row r="25" spans="1:24" s="53" customFormat="1" ht="20.100000000000001" customHeight="1" thickBot="1">
      <c r="A25" s="60"/>
      <c r="B25" s="61" t="s">
        <v>58</v>
      </c>
      <c r="C25" s="61"/>
      <c r="D25" s="61"/>
      <c r="E25" s="62">
        <f t="shared" ref="E25:J25" si="13">SUM(E12:E24)</f>
        <v>51680000</v>
      </c>
      <c r="F25" s="62">
        <f t="shared" si="13"/>
        <v>-2584000</v>
      </c>
      <c r="G25" s="62">
        <f t="shared" si="13"/>
        <v>0</v>
      </c>
      <c r="H25" s="62">
        <f t="shared" si="13"/>
        <v>0</v>
      </c>
      <c r="I25" s="62">
        <f t="shared" si="13"/>
        <v>49096000</v>
      </c>
      <c r="J25" s="62">
        <f t="shared" si="13"/>
        <v>58915200</v>
      </c>
      <c r="K25" s="62">
        <f>K12+K17+K18+K19+K20</f>
        <v>39655000</v>
      </c>
      <c r="L25" s="63"/>
      <c r="M25" s="63"/>
      <c r="N25" s="63"/>
      <c r="O25" s="62">
        <f>SUM(O12:O24)</f>
        <v>19260200</v>
      </c>
      <c r="P25" s="64">
        <f>SUM(P12:P24)</f>
        <v>19260200</v>
      </c>
      <c r="R25" s="65">
        <f>SUM(R12:R24)</f>
        <v>0</v>
      </c>
      <c r="S25" s="65">
        <f>SUM(S12:S24)</f>
        <v>0</v>
      </c>
      <c r="T25" s="65">
        <f>SUM(T12:T24)</f>
        <v>7672200</v>
      </c>
      <c r="U25" s="65">
        <f>SUM(U12:U24)</f>
        <v>0</v>
      </c>
      <c r="V25" s="65">
        <f>SUM(V12:V24)</f>
        <v>0</v>
      </c>
      <c r="X25" s="65"/>
    </row>
    <row r="26" spans="1:24" ht="21" customHeight="1">
      <c r="A26" s="66"/>
      <c r="B26" s="67"/>
      <c r="C26" s="67"/>
      <c r="D26" s="68" t="s">
        <v>59</v>
      </c>
      <c r="E26" s="69">
        <f>+E25/$M$7</f>
        <v>0.14979710144927535</v>
      </c>
      <c r="F26" s="67"/>
      <c r="G26" s="67"/>
      <c r="H26" s="67"/>
      <c r="I26" s="67"/>
      <c r="J26" s="68" t="s">
        <v>60</v>
      </c>
      <c r="K26" s="69">
        <f>+K25/J25</f>
        <v>0.67308606267991966</v>
      </c>
      <c r="L26" s="67"/>
      <c r="M26" s="67"/>
      <c r="N26" s="67"/>
      <c r="O26" s="67"/>
      <c r="P26" s="70"/>
      <c r="Q26" s="53"/>
      <c r="R26" s="53"/>
      <c r="S26" s="53"/>
      <c r="T26" s="53"/>
      <c r="U26" s="53"/>
      <c r="V26" s="53"/>
    </row>
    <row r="27" spans="1:24" ht="21" customHeight="1" thickBot="1">
      <c r="A27" s="71"/>
      <c r="B27" s="72"/>
      <c r="C27" s="72"/>
      <c r="D27" s="73" t="s">
        <v>61</v>
      </c>
      <c r="E27" s="74">
        <f>+$M$7-$E$25</f>
        <v>293320000</v>
      </c>
      <c r="F27" s="75">
        <f>+E27/M7</f>
        <v>0.85020289855072462</v>
      </c>
      <c r="G27" s="72"/>
      <c r="H27" s="72"/>
      <c r="I27" s="72"/>
      <c r="J27" s="72"/>
      <c r="K27" s="72"/>
      <c r="L27" s="72"/>
      <c r="M27" s="72"/>
      <c r="N27" s="72"/>
      <c r="O27" s="72"/>
      <c r="P27" s="76"/>
      <c r="Q27" s="53"/>
      <c r="R27" s="53"/>
      <c r="S27" s="53"/>
      <c r="T27" s="53"/>
      <c r="U27" s="53"/>
      <c r="V27" s="53"/>
    </row>
    <row r="28" spans="1:24">
      <c r="A28" s="53"/>
      <c r="C28" s="66"/>
      <c r="D28" s="67"/>
      <c r="E28" s="67"/>
      <c r="F28" s="67"/>
      <c r="G28" s="67"/>
      <c r="H28" s="67"/>
      <c r="I28" s="67"/>
      <c r="J28" s="67"/>
      <c r="K28" s="67"/>
      <c r="L28" s="67"/>
      <c r="M28" s="67"/>
      <c r="N28" s="67"/>
      <c r="O28" s="70"/>
      <c r="P28" s="53"/>
      <c r="Q28" s="53"/>
      <c r="R28" s="53"/>
      <c r="S28" s="53"/>
      <c r="T28" s="53"/>
      <c r="U28" s="53"/>
      <c r="V28" s="53"/>
    </row>
    <row r="29" spans="1:24" ht="21">
      <c r="A29" s="53"/>
      <c r="C29" s="275"/>
      <c r="D29" s="144" t="s">
        <v>62</v>
      </c>
      <c r="E29" s="144"/>
      <c r="F29" s="144"/>
      <c r="G29" s="144"/>
      <c r="H29" s="144"/>
      <c r="I29" s="144"/>
      <c r="J29" s="145"/>
      <c r="K29" s="145"/>
      <c r="L29" s="145"/>
      <c r="M29" s="145"/>
      <c r="N29" s="145"/>
      <c r="O29" s="146"/>
      <c r="P29" s="53"/>
      <c r="Q29" s="53"/>
      <c r="R29" s="53"/>
      <c r="S29" s="53"/>
      <c r="T29" s="53"/>
      <c r="U29" s="53"/>
      <c r="V29" s="53"/>
    </row>
    <row r="30" spans="1:24" ht="17.25" thickBot="1">
      <c r="A30" s="53"/>
      <c r="C30" s="275"/>
      <c r="D30" s="145"/>
      <c r="E30" s="145"/>
      <c r="F30" s="145"/>
      <c r="G30" s="145"/>
      <c r="H30" s="147"/>
      <c r="I30" s="145"/>
      <c r="J30" s="145"/>
      <c r="K30" s="145"/>
      <c r="L30" s="145"/>
      <c r="M30" s="145"/>
      <c r="N30" s="145"/>
      <c r="O30" s="146"/>
      <c r="P30" s="53"/>
      <c r="Q30" s="53"/>
      <c r="R30" s="53"/>
      <c r="S30" s="53"/>
      <c r="T30" s="53"/>
      <c r="U30" s="53"/>
      <c r="V30" s="53"/>
    </row>
    <row r="31" spans="1:24" ht="18" customHeight="1" thickBot="1">
      <c r="A31" s="53"/>
      <c r="C31" s="275"/>
      <c r="D31" s="379" t="s">
        <v>63</v>
      </c>
      <c r="E31" s="380"/>
      <c r="F31" s="381"/>
      <c r="G31" s="148" t="s">
        <v>64</v>
      </c>
      <c r="H31" s="149">
        <f>M7</f>
        <v>345000000</v>
      </c>
      <c r="I31" s="150"/>
      <c r="J31" s="151"/>
      <c r="K31" s="150"/>
      <c r="L31" s="150"/>
      <c r="M31" s="150"/>
      <c r="N31" s="150"/>
      <c r="O31" s="152"/>
      <c r="P31" s="53"/>
      <c r="Q31" s="53"/>
      <c r="R31" s="53"/>
      <c r="S31" s="53"/>
      <c r="T31" s="153"/>
      <c r="U31" s="53"/>
      <c r="V31" s="53"/>
    </row>
    <row r="32" spans="1:24" ht="18" customHeight="1" thickBot="1">
      <c r="A32" s="53"/>
      <c r="C32" s="275"/>
      <c r="D32" s="148"/>
      <c r="E32" s="148"/>
      <c r="F32" s="148"/>
      <c r="G32" s="148"/>
      <c r="H32" s="150"/>
      <c r="I32" s="150"/>
      <c r="J32" s="150"/>
      <c r="K32" s="150"/>
      <c r="L32" s="150"/>
      <c r="M32" s="150"/>
      <c r="N32" s="150"/>
      <c r="O32" s="152"/>
      <c r="P32" s="53"/>
      <c r="Q32" s="53"/>
      <c r="R32" s="53"/>
      <c r="S32" s="53"/>
      <c r="T32" s="53"/>
      <c r="U32" s="53"/>
      <c r="V32" s="53"/>
    </row>
    <row r="33" spans="1:22" ht="17.25" thickBot="1">
      <c r="A33" s="53"/>
      <c r="C33" s="275"/>
      <c r="D33" s="382" t="s">
        <v>65</v>
      </c>
      <c r="E33" s="383"/>
      <c r="F33" s="384"/>
      <c r="G33" s="148" t="s">
        <v>64</v>
      </c>
      <c r="H33" s="154">
        <f>E25</f>
        <v>51680000</v>
      </c>
      <c r="I33" s="150"/>
      <c r="J33" s="150"/>
      <c r="K33" s="91">
        <f>H33/H31</f>
        <v>0.14979710144927535</v>
      </c>
      <c r="L33" s="155" t="s">
        <v>66</v>
      </c>
      <c r="M33" s="156"/>
      <c r="N33" s="156"/>
      <c r="O33" s="152"/>
      <c r="P33" s="53"/>
      <c r="Q33" s="53"/>
      <c r="R33" s="53"/>
      <c r="S33" s="53"/>
      <c r="T33" s="53"/>
      <c r="U33" s="53"/>
      <c r="V33" s="53"/>
    </row>
    <row r="34" spans="1:22" ht="17.25" thickBot="1">
      <c r="C34" s="276"/>
      <c r="D34" s="148"/>
      <c r="E34" s="148"/>
      <c r="F34" s="148"/>
      <c r="G34" s="148"/>
      <c r="H34" s="150"/>
      <c r="I34" s="150"/>
      <c r="J34" s="150"/>
      <c r="K34" s="150"/>
      <c r="L34" s="157"/>
      <c r="M34" s="150"/>
      <c r="N34" s="150"/>
      <c r="O34" s="152"/>
    </row>
    <row r="35" spans="1:22" ht="17.25" thickBot="1">
      <c r="C35" s="276"/>
      <c r="D35" s="376" t="s">
        <v>91</v>
      </c>
      <c r="E35" s="377"/>
      <c r="F35" s="378"/>
      <c r="G35" s="148" t="s">
        <v>68</v>
      </c>
      <c r="H35" s="96">
        <f>K25</f>
        <v>39655000</v>
      </c>
      <c r="I35" s="150"/>
      <c r="J35" s="150"/>
      <c r="K35" s="97">
        <f>H35/J25</f>
        <v>0.67308606267991966</v>
      </c>
      <c r="L35" s="277" t="s">
        <v>69</v>
      </c>
      <c r="M35" s="158"/>
      <c r="N35" s="158"/>
      <c r="O35" s="152"/>
    </row>
    <row r="36" spans="1:22" ht="17.25" thickBot="1">
      <c r="C36" s="276"/>
      <c r="D36" s="148"/>
      <c r="E36" s="148"/>
      <c r="F36" s="148"/>
      <c r="G36" s="148"/>
      <c r="H36" s="150"/>
      <c r="I36" s="150"/>
      <c r="J36" s="150"/>
      <c r="K36" s="150"/>
      <c r="L36" s="157"/>
      <c r="M36" s="150"/>
      <c r="N36" s="150"/>
      <c r="O36" s="152"/>
    </row>
    <row r="37" spans="1:22" ht="17.25" thickBot="1">
      <c r="C37" s="276"/>
      <c r="D37" s="376" t="s">
        <v>70</v>
      </c>
      <c r="E37" s="377"/>
      <c r="F37" s="378"/>
      <c r="G37" s="148" t="s">
        <v>68</v>
      </c>
      <c r="H37" s="100">
        <f>O25</f>
        <v>19260200</v>
      </c>
      <c r="I37" s="150"/>
      <c r="J37" s="150"/>
      <c r="K37" s="101">
        <f>H37/J25</f>
        <v>0.32691393732008039</v>
      </c>
      <c r="L37" s="277" t="s">
        <v>69</v>
      </c>
      <c r="M37" s="159"/>
      <c r="N37" s="159"/>
      <c r="O37" s="152"/>
    </row>
    <row r="38" spans="1:22" ht="17.25" thickBot="1">
      <c r="C38" s="276"/>
      <c r="D38" s="148"/>
      <c r="E38" s="148"/>
      <c r="F38" s="148"/>
      <c r="G38" s="148"/>
      <c r="H38" s="150"/>
      <c r="I38" s="150"/>
      <c r="J38" s="150"/>
      <c r="K38" s="150"/>
      <c r="L38" s="157"/>
      <c r="M38" s="150"/>
      <c r="N38" s="150"/>
      <c r="O38" s="152"/>
    </row>
    <row r="39" spans="1:22" ht="17.25" thickBot="1">
      <c r="C39" s="276"/>
      <c r="D39" s="376" t="s">
        <v>92</v>
      </c>
      <c r="E39" s="377"/>
      <c r="F39" s="378"/>
      <c r="G39" s="148" t="s">
        <v>68</v>
      </c>
      <c r="H39" s="104">
        <f>P25</f>
        <v>19260200</v>
      </c>
      <c r="I39" s="150"/>
      <c r="J39" s="150"/>
      <c r="K39" s="105">
        <f>H39/J25</f>
        <v>0.32691393732008039</v>
      </c>
      <c r="L39" s="277" t="s">
        <v>69</v>
      </c>
      <c r="M39" s="158"/>
      <c r="N39" s="158"/>
      <c r="O39" s="152"/>
    </row>
    <row r="40" spans="1:22" ht="17.25" thickBot="1">
      <c r="C40" s="160"/>
      <c r="D40" s="161"/>
      <c r="E40" s="161"/>
      <c r="F40" s="161"/>
      <c r="G40" s="161"/>
      <c r="H40" s="161"/>
      <c r="I40" s="161"/>
      <c r="J40" s="161"/>
      <c r="K40" s="161"/>
      <c r="L40" s="161"/>
      <c r="M40" s="161"/>
      <c r="N40" s="161"/>
      <c r="O40" s="162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D37:F37"/>
    <mergeCell ref="D39:F39"/>
    <mergeCell ref="M7:N7"/>
    <mergeCell ref="M8:N8"/>
    <mergeCell ref="O10:P10"/>
    <mergeCell ref="D31:F31"/>
    <mergeCell ref="D33:F33"/>
    <mergeCell ref="D35:F3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X56"/>
  <sheetViews>
    <sheetView workbookViewId="0">
      <selection sqref="A1:B2"/>
    </sheetView>
  </sheetViews>
  <sheetFormatPr baseColWidth="10" defaultColWidth="11.42578125" defaultRowHeight="16.5"/>
  <cols>
    <col min="1" max="1" width="8" style="5" customWidth="1"/>
    <col min="2" max="4" width="11.42578125" style="5"/>
    <col min="5" max="5" width="13.42578125" style="5" customWidth="1"/>
    <col min="6" max="6" width="12.85546875" style="5" bestFit="1" customWidth="1"/>
    <col min="7" max="7" width="12.5703125" style="5" customWidth="1"/>
    <col min="8" max="8" width="11.42578125" style="5"/>
    <col min="9" max="9" width="14.140625" style="5" customWidth="1"/>
    <col min="10" max="10" width="13.28515625" style="5" customWidth="1"/>
    <col min="11" max="11" width="13" style="5" customWidth="1"/>
    <col min="12" max="13" width="11.42578125" style="5"/>
    <col min="14" max="14" width="7" style="5" bestFit="1" customWidth="1"/>
    <col min="15" max="15" width="14.28515625" style="5" customWidth="1"/>
    <col min="16" max="16" width="12.5703125" style="5" customWidth="1"/>
    <col min="17" max="17" width="11.42578125" style="5"/>
    <col min="18" max="19" width="8.7109375" style="5" bestFit="1" customWidth="1"/>
    <col min="20" max="20" width="7.85546875" style="5" bestFit="1" customWidth="1"/>
    <col min="21" max="22" width="7.42578125" style="5" bestFit="1" customWidth="1"/>
    <col min="23" max="16384" width="11.42578125" style="5"/>
  </cols>
  <sheetData>
    <row r="1" spans="1:22" ht="21">
      <c r="A1" s="364" t="s">
        <v>11</v>
      </c>
      <c r="B1" s="365"/>
      <c r="C1" s="368" t="s">
        <v>252</v>
      </c>
      <c r="D1" s="368"/>
      <c r="E1" s="368"/>
      <c r="F1" s="370" t="s">
        <v>253</v>
      </c>
      <c r="G1" s="372" t="s">
        <v>12</v>
      </c>
      <c r="H1" s="373"/>
      <c r="I1" s="373"/>
      <c r="J1" s="374"/>
      <c r="K1" s="1" t="s">
        <v>13</v>
      </c>
      <c r="L1" s="2"/>
      <c r="M1" s="375">
        <v>103217637.42</v>
      </c>
      <c r="N1" s="375"/>
      <c r="O1" s="3" t="s">
        <v>14</v>
      </c>
      <c r="P1" s="4">
        <v>37341</v>
      </c>
    </row>
    <row r="2" spans="1:22" ht="21">
      <c r="A2" s="366"/>
      <c r="B2" s="367"/>
      <c r="C2" s="369"/>
      <c r="D2" s="369"/>
      <c r="E2" s="369"/>
      <c r="F2" s="371"/>
      <c r="G2" s="6" t="s">
        <v>15</v>
      </c>
      <c r="H2" s="7"/>
      <c r="I2" s="8">
        <v>30</v>
      </c>
      <c r="J2" s="9"/>
      <c r="K2" s="10" t="s">
        <v>254</v>
      </c>
      <c r="L2" s="11"/>
      <c r="M2" s="363">
        <f>1262500+1500291.8+1882149.25-247561.35+2262663.9</f>
        <v>6660043.5999999996</v>
      </c>
      <c r="N2" s="363"/>
      <c r="O2" s="11" t="s">
        <v>255</v>
      </c>
      <c r="P2" s="12">
        <v>1600000</v>
      </c>
      <c r="Q2" s="328"/>
    </row>
    <row r="3" spans="1:22">
      <c r="A3" s="366" t="s">
        <v>17</v>
      </c>
      <c r="B3" s="367"/>
      <c r="C3" s="369"/>
      <c r="D3" s="369"/>
      <c r="E3" s="369"/>
      <c r="F3" s="13"/>
      <c r="G3" s="6" t="s">
        <v>19</v>
      </c>
      <c r="H3" s="7"/>
      <c r="I3" s="14" t="s">
        <v>20</v>
      </c>
      <c r="J3" s="15"/>
      <c r="K3" s="10" t="s">
        <v>256</v>
      </c>
      <c r="L3" s="11"/>
      <c r="M3" s="363">
        <v>3500000</v>
      </c>
      <c r="N3" s="363">
        <v>3500000</v>
      </c>
      <c r="O3" s="11" t="s">
        <v>257</v>
      </c>
      <c r="P3" s="12">
        <v>4500000</v>
      </c>
      <c r="Q3" s="328"/>
    </row>
    <row r="4" spans="1:22">
      <c r="A4" s="366"/>
      <c r="B4" s="367"/>
      <c r="C4" s="369"/>
      <c r="D4" s="369"/>
      <c r="E4" s="369"/>
      <c r="F4" s="16"/>
      <c r="G4" s="6" t="s">
        <v>22</v>
      </c>
      <c r="H4" s="7"/>
      <c r="I4" s="17">
        <v>0</v>
      </c>
      <c r="J4" s="15"/>
      <c r="K4" s="10" t="s">
        <v>258</v>
      </c>
      <c r="L4" s="11"/>
      <c r="M4" s="363">
        <v>1148502.3999999999</v>
      </c>
      <c r="N4" s="363">
        <v>1148502.3999999999</v>
      </c>
      <c r="O4" s="11" t="s">
        <v>259</v>
      </c>
      <c r="P4" s="12">
        <v>122000</v>
      </c>
      <c r="Q4" s="328"/>
    </row>
    <row r="5" spans="1:22">
      <c r="A5" s="304" t="s">
        <v>24</v>
      </c>
      <c r="B5" s="18"/>
      <c r="C5" s="18"/>
      <c r="D5" s="19"/>
      <c r="E5" s="20"/>
      <c r="F5" s="21"/>
      <c r="G5" s="6" t="s">
        <v>25</v>
      </c>
      <c r="H5" s="7"/>
      <c r="I5" s="14"/>
      <c r="J5" s="15" t="s">
        <v>26</v>
      </c>
      <c r="K5" s="10" t="s">
        <v>260</v>
      </c>
      <c r="L5" s="11"/>
      <c r="M5" s="363">
        <v>2381801</v>
      </c>
      <c r="N5" s="363">
        <v>2381801</v>
      </c>
      <c r="O5" s="11" t="s">
        <v>261</v>
      </c>
      <c r="P5" s="12">
        <f>1750000+58170+416800+1077824.74</f>
        <v>3302794.74</v>
      </c>
      <c r="Q5" s="328"/>
    </row>
    <row r="6" spans="1:22">
      <c r="A6" s="304" t="s">
        <v>86</v>
      </c>
      <c r="B6" s="18"/>
      <c r="C6" s="18"/>
      <c r="D6" s="22" t="s">
        <v>262</v>
      </c>
      <c r="E6" s="23"/>
      <c r="F6" s="24"/>
      <c r="G6" s="6"/>
      <c r="H6" s="14" t="s">
        <v>28</v>
      </c>
      <c r="I6" s="25">
        <f>+F12/M1</f>
        <v>0.2473240101023037</v>
      </c>
      <c r="J6" s="15" t="s">
        <v>29</v>
      </c>
      <c r="K6" s="26" t="s">
        <v>263</v>
      </c>
      <c r="L6" s="11"/>
      <c r="M6" s="363">
        <v>400000</v>
      </c>
      <c r="N6" s="363">
        <v>400000</v>
      </c>
      <c r="O6" s="11" t="s">
        <v>264</v>
      </c>
      <c r="P6" s="12">
        <f>1526000.3+609175.28</f>
        <v>2135175.58</v>
      </c>
    </row>
    <row r="7" spans="1:22">
      <c r="A7" s="304" t="s">
        <v>87</v>
      </c>
      <c r="B7" s="18"/>
      <c r="C7" s="18"/>
      <c r="D7" s="22" t="s">
        <v>265</v>
      </c>
      <c r="E7" s="23"/>
      <c r="F7" s="24"/>
      <c r="G7" s="6"/>
      <c r="H7" s="14" t="s">
        <v>30</v>
      </c>
      <c r="I7" s="27">
        <v>0.05</v>
      </c>
      <c r="J7" s="15" t="s">
        <v>266</v>
      </c>
      <c r="K7" s="28" t="s">
        <v>31</v>
      </c>
      <c r="L7" s="29"/>
      <c r="M7" s="353">
        <f>SUM(M1:M6)+SUM(P2:P8)</f>
        <v>128967954.74000001</v>
      </c>
      <c r="N7" s="353"/>
      <c r="O7" s="11"/>
      <c r="P7" s="12"/>
    </row>
    <row r="8" spans="1:22">
      <c r="A8" s="30" t="s">
        <v>88</v>
      </c>
      <c r="B8" s="31"/>
      <c r="C8" s="31"/>
      <c r="D8" s="32" t="s">
        <v>265</v>
      </c>
      <c r="E8" s="33"/>
      <c r="F8" s="34"/>
      <c r="G8" s="35"/>
      <c r="H8" s="36" t="s">
        <v>32</v>
      </c>
      <c r="I8" s="37">
        <v>0.05</v>
      </c>
      <c r="J8" s="38" t="s">
        <v>29</v>
      </c>
      <c r="K8" s="39" t="s">
        <v>33</v>
      </c>
      <c r="L8" s="40"/>
      <c r="M8" s="354">
        <f>+M7*(1+$I$4)</f>
        <v>128967954.74000001</v>
      </c>
      <c r="N8" s="354"/>
      <c r="O8" s="41"/>
      <c r="P8" s="42"/>
    </row>
    <row r="10" spans="1:22">
      <c r="B10" s="5" t="s">
        <v>34</v>
      </c>
      <c r="C10" s="43">
        <v>43069</v>
      </c>
      <c r="E10" s="44"/>
      <c r="F10" s="45">
        <v>0.24732399999999999</v>
      </c>
      <c r="G10" s="46"/>
      <c r="H10" s="47"/>
      <c r="O10" s="355" t="s">
        <v>35</v>
      </c>
      <c r="P10" s="356"/>
    </row>
    <row r="11" spans="1:22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305" t="s">
        <v>52</v>
      </c>
      <c r="S11" s="305" t="s">
        <v>53</v>
      </c>
      <c r="T11" s="305" t="s">
        <v>54</v>
      </c>
      <c r="U11" s="305" t="s">
        <v>55</v>
      </c>
      <c r="V11" s="305" t="s">
        <v>56</v>
      </c>
    </row>
    <row r="12" spans="1:22">
      <c r="A12" s="311">
        <v>1</v>
      </c>
      <c r="B12" s="329">
        <v>1133002572</v>
      </c>
      <c r="C12" s="313">
        <v>42703</v>
      </c>
      <c r="D12" s="314">
        <v>42705</v>
      </c>
      <c r="E12" s="315"/>
      <c r="F12" s="315">
        <v>25528200</v>
      </c>
      <c r="G12" s="50">
        <f t="shared" ref="G12:G17" si="0">E12*$G$10</f>
        <v>0</v>
      </c>
      <c r="H12" s="315">
        <f>+E12*H9</f>
        <v>0</v>
      </c>
      <c r="I12" s="50">
        <f>+E12+F12-G12-H12</f>
        <v>25528200</v>
      </c>
      <c r="J12" s="50">
        <f>+I12*(1+$I$4)</f>
        <v>25528200</v>
      </c>
      <c r="K12" s="50">
        <f>J12</f>
        <v>25528200</v>
      </c>
      <c r="L12" s="51">
        <v>42710</v>
      </c>
      <c r="M12" s="51">
        <v>42733</v>
      </c>
      <c r="N12" s="52">
        <f t="shared" ref="N12:N36" si="1">-IF(L12=0,,IF(M12=0,($C$10-L12),M12-L12))</f>
        <v>-23</v>
      </c>
      <c r="O12" s="50">
        <f t="shared" ref="O12:O36" si="2">+J12-K12</f>
        <v>0</v>
      </c>
      <c r="P12" s="315">
        <f t="shared" ref="P12:P36" si="3">+IF($C$10&lt;L12,0,O12)</f>
        <v>0</v>
      </c>
      <c r="Q12" s="53"/>
      <c r="R12" s="316">
        <f t="shared" ref="R12:R36" si="4">IF(N12&gt;=0,0,(IF(-N12&lt;=60,O12,0)))</f>
        <v>0</v>
      </c>
      <c r="S12" s="316">
        <f t="shared" ref="S12:S36" si="5">IF(N12&gt;=0,0,(IF(N12&gt;=-60,0,IF(-60&gt;=N12,IF(N12&gt;=-120,O12,0)))))</f>
        <v>0</v>
      </c>
      <c r="T12" s="316">
        <f t="shared" ref="T12:T36" si="6">IF(N12&gt;=0,0,(IF(N12&gt;-60,0,IF(-60&gt;=N12,IF(N12&gt;=-120,0,IF(N12&gt;=-180,O12,0))))))</f>
        <v>0</v>
      </c>
      <c r="U12" s="316">
        <f t="shared" ref="U12:U36" si="7">IF(N12&gt;=0,0,(IF(N12&gt;-60,0,IF(-60&gt;=N12,IF(N12&gt;-120,0,IF(N12&gt;=-180,0,IF(N12&gt;=-365,O12,0)))))))</f>
        <v>0</v>
      </c>
      <c r="V12" s="316">
        <f t="shared" ref="V12:V36" si="8">IF(N12&gt;=0,0,IF(365&lt;-N12,O12,0))</f>
        <v>0</v>
      </c>
    </row>
    <row r="13" spans="1:22">
      <c r="A13" s="54">
        <v>2</v>
      </c>
      <c r="B13" s="55">
        <v>1133002730</v>
      </c>
      <c r="C13" s="56">
        <v>42725</v>
      </c>
      <c r="D13" s="57">
        <v>42675</v>
      </c>
      <c r="E13" s="50">
        <v>8984093.0199999996</v>
      </c>
      <c r="F13" s="50">
        <f>-E13*$I$6</f>
        <v>-2221981.9128385163</v>
      </c>
      <c r="G13" s="50">
        <f t="shared" si="0"/>
        <v>0</v>
      </c>
      <c r="H13" s="50">
        <f>+E13*$H$10</f>
        <v>0</v>
      </c>
      <c r="I13" s="50">
        <f>+E13+F13-G13-H13</f>
        <v>6762111.1071614828</v>
      </c>
      <c r="J13" s="50">
        <f t="shared" ref="J13:J31" si="9">+I13*(1+$I$4)</f>
        <v>6762111.1071614828</v>
      </c>
      <c r="K13" s="50">
        <f>+J13</f>
        <v>6762111.1071614828</v>
      </c>
      <c r="L13" s="51">
        <v>42776</v>
      </c>
      <c r="M13" s="51">
        <v>42782</v>
      </c>
      <c r="N13" s="52">
        <f t="shared" si="1"/>
        <v>-6</v>
      </c>
      <c r="O13" s="50">
        <f t="shared" si="2"/>
        <v>0</v>
      </c>
      <c r="P13" s="50">
        <f t="shared" si="3"/>
        <v>0</v>
      </c>
      <c r="Q13" s="53"/>
      <c r="R13" s="316">
        <f t="shared" si="4"/>
        <v>0</v>
      </c>
      <c r="S13" s="316">
        <f t="shared" si="5"/>
        <v>0</v>
      </c>
      <c r="T13" s="316">
        <f t="shared" si="6"/>
        <v>0</v>
      </c>
      <c r="U13" s="316">
        <f t="shared" si="7"/>
        <v>0</v>
      </c>
      <c r="V13" s="316">
        <f t="shared" si="8"/>
        <v>0</v>
      </c>
    </row>
    <row r="14" spans="1:22">
      <c r="A14" s="54">
        <v>3</v>
      </c>
      <c r="B14" s="55">
        <v>1133002755</v>
      </c>
      <c r="C14" s="56">
        <v>42744</v>
      </c>
      <c r="D14" s="57">
        <v>42705</v>
      </c>
      <c r="E14" s="50">
        <v>7015554.0499999998</v>
      </c>
      <c r="F14" s="50">
        <f t="shared" ref="F14:F36" si="10">-E14*$I$6</f>
        <v>-1735114.9607354577</v>
      </c>
      <c r="G14" s="50">
        <f t="shared" si="0"/>
        <v>0</v>
      </c>
      <c r="H14" s="50">
        <f t="shared" ref="H14:H17" si="11">+E14*$H$10</f>
        <v>0</v>
      </c>
      <c r="I14" s="50">
        <f>+E14+F14-G14-H14</f>
        <v>5280439.0892645419</v>
      </c>
      <c r="J14" s="50">
        <f t="shared" si="9"/>
        <v>5280439.0892645419</v>
      </c>
      <c r="K14" s="50">
        <f>+J14</f>
        <v>5280439.0892645419</v>
      </c>
      <c r="L14" s="51">
        <v>42776</v>
      </c>
      <c r="M14" s="51">
        <v>42794</v>
      </c>
      <c r="N14" s="52">
        <f t="shared" si="1"/>
        <v>-18</v>
      </c>
      <c r="O14" s="50">
        <f t="shared" si="2"/>
        <v>0</v>
      </c>
      <c r="P14" s="50">
        <f t="shared" si="3"/>
        <v>0</v>
      </c>
      <c r="Q14" s="53"/>
      <c r="R14" s="316">
        <f t="shared" si="4"/>
        <v>0</v>
      </c>
      <c r="S14" s="316">
        <f t="shared" si="5"/>
        <v>0</v>
      </c>
      <c r="T14" s="316">
        <f t="shared" si="6"/>
        <v>0</v>
      </c>
      <c r="U14" s="316">
        <f t="shared" si="7"/>
        <v>0</v>
      </c>
      <c r="V14" s="316">
        <f t="shared" si="8"/>
        <v>0</v>
      </c>
    </row>
    <row r="15" spans="1:22">
      <c r="A15" s="54">
        <v>4</v>
      </c>
      <c r="B15" s="54">
        <v>1133002802</v>
      </c>
      <c r="C15" s="56">
        <v>42768</v>
      </c>
      <c r="D15" s="57">
        <v>42394</v>
      </c>
      <c r="E15" s="50">
        <v>5223498.4050000003</v>
      </c>
      <c r="F15" s="50">
        <f t="shared" si="10"/>
        <v>-1291896.5722875874</v>
      </c>
      <c r="G15" s="50">
        <f t="shared" si="0"/>
        <v>0</v>
      </c>
      <c r="H15" s="50">
        <f t="shared" si="11"/>
        <v>0</v>
      </c>
      <c r="I15" s="50">
        <f t="shared" ref="I15:I36" si="12">+E15+F15-G15-H15</f>
        <v>3931601.8327124128</v>
      </c>
      <c r="J15" s="50">
        <f t="shared" si="9"/>
        <v>3931601.8327124128</v>
      </c>
      <c r="K15" s="50">
        <f>+J15</f>
        <v>3931601.8327124128</v>
      </c>
      <c r="L15" s="51">
        <v>42804</v>
      </c>
      <c r="M15" s="51">
        <v>42818</v>
      </c>
      <c r="N15" s="52">
        <f t="shared" si="1"/>
        <v>-14</v>
      </c>
      <c r="O15" s="50">
        <f t="shared" si="2"/>
        <v>0</v>
      </c>
      <c r="P15" s="50">
        <f t="shared" si="3"/>
        <v>0</v>
      </c>
      <c r="Q15" s="53"/>
      <c r="R15" s="316">
        <f t="shared" si="4"/>
        <v>0</v>
      </c>
      <c r="S15" s="316">
        <f t="shared" si="5"/>
        <v>0</v>
      </c>
      <c r="T15" s="316">
        <f t="shared" si="6"/>
        <v>0</v>
      </c>
      <c r="U15" s="316">
        <f t="shared" si="7"/>
        <v>0</v>
      </c>
      <c r="V15" s="316">
        <f t="shared" si="8"/>
        <v>0</v>
      </c>
    </row>
    <row r="16" spans="1:22">
      <c r="A16" s="54">
        <v>5</v>
      </c>
      <c r="B16" s="54">
        <v>1133002877</v>
      </c>
      <c r="C16" s="56">
        <v>42807</v>
      </c>
      <c r="D16" s="57">
        <v>42767</v>
      </c>
      <c r="E16" s="50">
        <v>1555414.28</v>
      </c>
      <c r="F16" s="50">
        <f t="shared" si="10"/>
        <v>-384691.29709998745</v>
      </c>
      <c r="G16" s="50">
        <f t="shared" si="0"/>
        <v>0</v>
      </c>
      <c r="H16" s="50">
        <f t="shared" si="11"/>
        <v>0</v>
      </c>
      <c r="I16" s="50">
        <f t="shared" si="12"/>
        <v>1170722.9829000125</v>
      </c>
      <c r="J16" s="50">
        <f t="shared" si="9"/>
        <v>1170722.9829000125</v>
      </c>
      <c r="K16" s="50">
        <f>+J16</f>
        <v>1170722.9829000125</v>
      </c>
      <c r="L16" s="51">
        <v>42835</v>
      </c>
      <c r="M16" s="51">
        <v>42835</v>
      </c>
      <c r="N16" s="52">
        <f t="shared" si="1"/>
        <v>0</v>
      </c>
      <c r="O16" s="50">
        <f t="shared" si="2"/>
        <v>0</v>
      </c>
      <c r="P16" s="50">
        <f t="shared" si="3"/>
        <v>0</v>
      </c>
      <c r="Q16" s="53"/>
      <c r="R16" s="316">
        <f t="shared" si="4"/>
        <v>0</v>
      </c>
      <c r="S16" s="316">
        <f t="shared" si="5"/>
        <v>0</v>
      </c>
      <c r="T16" s="316">
        <f t="shared" si="6"/>
        <v>0</v>
      </c>
      <c r="U16" s="316">
        <f t="shared" si="7"/>
        <v>0</v>
      </c>
      <c r="V16" s="316">
        <f t="shared" si="8"/>
        <v>0</v>
      </c>
    </row>
    <row r="17" spans="1:22">
      <c r="A17" s="54">
        <v>6</v>
      </c>
      <c r="B17" s="54">
        <v>1133002890</v>
      </c>
      <c r="C17" s="56">
        <v>42824</v>
      </c>
      <c r="D17" s="57">
        <v>42795</v>
      </c>
      <c r="E17" s="50">
        <v>7641924.2199999997</v>
      </c>
      <c r="F17" s="50">
        <f t="shared" si="10"/>
        <v>-1890031.3429883192</v>
      </c>
      <c r="G17" s="50">
        <f t="shared" si="0"/>
        <v>0</v>
      </c>
      <c r="H17" s="50">
        <f t="shared" si="11"/>
        <v>0</v>
      </c>
      <c r="I17" s="50">
        <f t="shared" si="12"/>
        <v>5751892.877011681</v>
      </c>
      <c r="J17" s="50">
        <f t="shared" si="9"/>
        <v>5751892.877011681</v>
      </c>
      <c r="K17" s="50">
        <f>+J17</f>
        <v>5751892.877011681</v>
      </c>
      <c r="L17" s="51">
        <v>42865</v>
      </c>
      <c r="M17" s="51">
        <v>42878</v>
      </c>
      <c r="N17" s="52">
        <f t="shared" si="1"/>
        <v>-13</v>
      </c>
      <c r="O17" s="50">
        <f t="shared" si="2"/>
        <v>0</v>
      </c>
      <c r="P17" s="50">
        <f t="shared" si="3"/>
        <v>0</v>
      </c>
      <c r="Q17" s="53"/>
      <c r="R17" s="316">
        <f t="shared" si="4"/>
        <v>0</v>
      </c>
      <c r="S17" s="316">
        <f t="shared" si="5"/>
        <v>0</v>
      </c>
      <c r="T17" s="316">
        <f t="shared" si="6"/>
        <v>0</v>
      </c>
      <c r="U17" s="316">
        <f t="shared" si="7"/>
        <v>0</v>
      </c>
      <c r="V17" s="316">
        <f t="shared" si="8"/>
        <v>0</v>
      </c>
    </row>
    <row r="18" spans="1:22">
      <c r="A18" s="54">
        <v>7</v>
      </c>
      <c r="B18" s="54">
        <v>1133002956</v>
      </c>
      <c r="C18" s="56">
        <v>42878</v>
      </c>
      <c r="D18" s="57">
        <v>42826</v>
      </c>
      <c r="E18" s="50">
        <v>1385061.7</v>
      </c>
      <c r="F18" s="50">
        <f t="shared" si="10"/>
        <v>-342559.01388311392</v>
      </c>
      <c r="G18" s="50">
        <f t="shared" ref="G18:G21" si="13">E18*$G$14</f>
        <v>0</v>
      </c>
      <c r="H18" s="50">
        <f t="shared" ref="H18:H21" si="14">+E18*$H$14</f>
        <v>0</v>
      </c>
      <c r="I18" s="50">
        <f t="shared" si="12"/>
        <v>1042502.6861168861</v>
      </c>
      <c r="J18" s="50">
        <f t="shared" si="9"/>
        <v>1042502.6861168861</v>
      </c>
      <c r="K18" s="50">
        <f t="shared" ref="K18" si="15">+J18</f>
        <v>1042502.6861168861</v>
      </c>
      <c r="L18" s="51">
        <v>42926</v>
      </c>
      <c r="M18" s="51">
        <v>42898</v>
      </c>
      <c r="N18" s="52">
        <f t="shared" si="1"/>
        <v>28</v>
      </c>
      <c r="O18" s="50">
        <f t="shared" si="2"/>
        <v>0</v>
      </c>
      <c r="P18" s="50">
        <f t="shared" si="3"/>
        <v>0</v>
      </c>
      <c r="Q18" s="53"/>
      <c r="R18" s="316">
        <f t="shared" si="4"/>
        <v>0</v>
      </c>
      <c r="S18" s="316">
        <f t="shared" si="5"/>
        <v>0</v>
      </c>
      <c r="T18" s="316">
        <f t="shared" si="6"/>
        <v>0</v>
      </c>
      <c r="U18" s="316">
        <f t="shared" si="7"/>
        <v>0</v>
      </c>
      <c r="V18" s="316">
        <f t="shared" si="8"/>
        <v>0</v>
      </c>
    </row>
    <row r="19" spans="1:22" ht="27">
      <c r="A19" s="330" t="s">
        <v>267</v>
      </c>
      <c r="B19" s="54">
        <v>1133002958</v>
      </c>
      <c r="C19" s="56">
        <v>42878</v>
      </c>
      <c r="D19" s="57">
        <v>42826</v>
      </c>
      <c r="E19" s="50">
        <v>2762791.8</v>
      </c>
      <c r="F19" s="50"/>
      <c r="G19" s="50">
        <f t="shared" si="13"/>
        <v>0</v>
      </c>
      <c r="H19" s="50">
        <f t="shared" si="14"/>
        <v>0</v>
      </c>
      <c r="I19" s="50">
        <f t="shared" si="12"/>
        <v>2762791.8</v>
      </c>
      <c r="J19" s="50">
        <f t="shared" si="9"/>
        <v>2762791.8</v>
      </c>
      <c r="K19" s="50">
        <f>+J19</f>
        <v>2762791.8</v>
      </c>
      <c r="L19" s="51">
        <v>42926</v>
      </c>
      <c r="M19" s="51">
        <v>42907</v>
      </c>
      <c r="N19" s="52">
        <f t="shared" si="1"/>
        <v>19</v>
      </c>
      <c r="O19" s="50">
        <f t="shared" si="2"/>
        <v>0</v>
      </c>
      <c r="P19" s="50">
        <f t="shared" si="3"/>
        <v>0</v>
      </c>
      <c r="Q19" s="53"/>
      <c r="R19" s="316">
        <f t="shared" si="4"/>
        <v>0</v>
      </c>
      <c r="S19" s="316">
        <f t="shared" si="5"/>
        <v>0</v>
      </c>
      <c r="T19" s="316">
        <f t="shared" si="6"/>
        <v>0</v>
      </c>
      <c r="U19" s="316">
        <f t="shared" si="7"/>
        <v>0</v>
      </c>
      <c r="V19" s="316">
        <f t="shared" si="8"/>
        <v>0</v>
      </c>
    </row>
    <row r="20" spans="1:22">
      <c r="A20" s="54" t="s">
        <v>268</v>
      </c>
      <c r="B20" s="54">
        <v>1133002982</v>
      </c>
      <c r="C20" s="56">
        <v>42891</v>
      </c>
      <c r="D20" s="57">
        <v>42856</v>
      </c>
      <c r="E20" s="50">
        <v>1882149.25</v>
      </c>
      <c r="F20" s="50"/>
      <c r="G20" s="50">
        <f t="shared" si="13"/>
        <v>0</v>
      </c>
      <c r="H20" s="50">
        <f t="shared" si="14"/>
        <v>0</v>
      </c>
      <c r="I20" s="50">
        <f t="shared" si="12"/>
        <v>1882149.25</v>
      </c>
      <c r="J20" s="50">
        <f t="shared" si="9"/>
        <v>1882149.25</v>
      </c>
      <c r="K20" s="50">
        <f>+J20</f>
        <v>1882149.25</v>
      </c>
      <c r="L20" s="51">
        <v>42926</v>
      </c>
      <c r="M20" s="51">
        <v>42907</v>
      </c>
      <c r="N20" s="52">
        <f t="shared" si="1"/>
        <v>19</v>
      </c>
      <c r="O20" s="50">
        <f t="shared" si="2"/>
        <v>0</v>
      </c>
      <c r="P20" s="50">
        <f t="shared" si="3"/>
        <v>0</v>
      </c>
      <c r="Q20" s="53"/>
      <c r="R20" s="316">
        <f t="shared" si="4"/>
        <v>0</v>
      </c>
      <c r="S20" s="316">
        <f t="shared" si="5"/>
        <v>0</v>
      </c>
      <c r="T20" s="316">
        <f t="shared" si="6"/>
        <v>0</v>
      </c>
      <c r="U20" s="316">
        <f t="shared" si="7"/>
        <v>0</v>
      </c>
      <c r="V20" s="316">
        <f t="shared" si="8"/>
        <v>0</v>
      </c>
    </row>
    <row r="21" spans="1:22">
      <c r="A21" s="54">
        <v>10</v>
      </c>
      <c r="B21" s="54">
        <v>1133002983</v>
      </c>
      <c r="C21" s="56">
        <v>42891</v>
      </c>
      <c r="D21" s="57">
        <v>42856</v>
      </c>
      <c r="E21" s="50">
        <v>2876973.6</v>
      </c>
      <c r="F21" s="50">
        <f t="shared" si="10"/>
        <v>-711544.64771046105</v>
      </c>
      <c r="G21" s="50">
        <f t="shared" si="13"/>
        <v>0</v>
      </c>
      <c r="H21" s="50">
        <f t="shared" si="14"/>
        <v>0</v>
      </c>
      <c r="I21" s="50">
        <f t="shared" si="12"/>
        <v>2165428.9522895389</v>
      </c>
      <c r="J21" s="50">
        <f t="shared" si="9"/>
        <v>2165428.9522895389</v>
      </c>
      <c r="K21" s="50">
        <f>+J21</f>
        <v>2165428.9522895389</v>
      </c>
      <c r="L21" s="51">
        <v>42926</v>
      </c>
      <c r="M21" s="51">
        <v>42907</v>
      </c>
      <c r="N21" s="52">
        <f t="shared" si="1"/>
        <v>19</v>
      </c>
      <c r="O21" s="50">
        <f t="shared" si="2"/>
        <v>0</v>
      </c>
      <c r="P21" s="50">
        <f t="shared" si="3"/>
        <v>0</v>
      </c>
      <c r="Q21" s="53"/>
      <c r="R21" s="316">
        <f t="shared" si="4"/>
        <v>0</v>
      </c>
      <c r="S21" s="316">
        <f t="shared" si="5"/>
        <v>0</v>
      </c>
      <c r="T21" s="316">
        <f t="shared" si="6"/>
        <v>0</v>
      </c>
      <c r="U21" s="316">
        <f t="shared" si="7"/>
        <v>0</v>
      </c>
      <c r="V21" s="316">
        <f t="shared" si="8"/>
        <v>0</v>
      </c>
    </row>
    <row r="22" spans="1:22">
      <c r="A22" s="54">
        <v>11</v>
      </c>
      <c r="B22" s="54">
        <v>1133003012</v>
      </c>
      <c r="C22" s="56">
        <v>42916</v>
      </c>
      <c r="D22" s="57">
        <v>42887</v>
      </c>
      <c r="E22" s="50">
        <f>4823101.23244+274400+255127.19</f>
        <v>5352628.4224400008</v>
      </c>
      <c r="F22" s="50">
        <v>-1192868.7379364241</v>
      </c>
      <c r="G22" s="50">
        <f t="shared" ref="G22:G25" si="16">E22*$G$16</f>
        <v>0</v>
      </c>
      <c r="H22" s="50">
        <f t="shared" ref="H22:H25" si="17">+E22*$H$16</f>
        <v>0</v>
      </c>
      <c r="I22" s="50">
        <f t="shared" si="12"/>
        <v>4159759.6845035767</v>
      </c>
      <c r="J22" s="50">
        <f t="shared" si="9"/>
        <v>4159759.6845035767</v>
      </c>
      <c r="K22" s="50">
        <f>+J22</f>
        <v>4159759.6845035767</v>
      </c>
      <c r="L22" s="51">
        <v>42957</v>
      </c>
      <c r="M22" s="51">
        <v>42947</v>
      </c>
      <c r="N22" s="52">
        <f t="shared" si="1"/>
        <v>10</v>
      </c>
      <c r="O22" s="50">
        <f t="shared" si="2"/>
        <v>0</v>
      </c>
      <c r="P22" s="50">
        <f t="shared" si="3"/>
        <v>0</v>
      </c>
      <c r="Q22" s="53"/>
      <c r="R22" s="316">
        <f t="shared" si="4"/>
        <v>0</v>
      </c>
      <c r="S22" s="316">
        <f t="shared" si="5"/>
        <v>0</v>
      </c>
      <c r="T22" s="316">
        <f t="shared" si="6"/>
        <v>0</v>
      </c>
      <c r="U22" s="316">
        <f t="shared" si="7"/>
        <v>0</v>
      </c>
      <c r="V22" s="316">
        <f t="shared" si="8"/>
        <v>0</v>
      </c>
    </row>
    <row r="23" spans="1:22">
      <c r="A23" s="54">
        <v>12</v>
      </c>
      <c r="B23" s="54">
        <v>1133003028</v>
      </c>
      <c r="C23" s="56">
        <v>42929</v>
      </c>
      <c r="D23" s="57">
        <v>42917</v>
      </c>
      <c r="E23" s="50">
        <v>3050000</v>
      </c>
      <c r="F23" s="50"/>
      <c r="G23" s="50">
        <f t="shared" si="16"/>
        <v>0</v>
      </c>
      <c r="H23" s="50">
        <f t="shared" si="17"/>
        <v>0</v>
      </c>
      <c r="I23" s="50">
        <f t="shared" si="12"/>
        <v>3050000</v>
      </c>
      <c r="J23" s="50">
        <f t="shared" si="9"/>
        <v>3050000</v>
      </c>
      <c r="K23" s="50">
        <f>+J23</f>
        <v>3050000</v>
      </c>
      <c r="L23" s="51">
        <v>42957</v>
      </c>
      <c r="M23" s="51">
        <v>42947</v>
      </c>
      <c r="N23" s="52">
        <f t="shared" si="1"/>
        <v>10</v>
      </c>
      <c r="O23" s="50">
        <f t="shared" si="2"/>
        <v>0</v>
      </c>
      <c r="P23" s="50">
        <f t="shared" si="3"/>
        <v>0</v>
      </c>
      <c r="Q23" s="53"/>
      <c r="R23" s="316">
        <f t="shared" si="4"/>
        <v>0</v>
      </c>
      <c r="S23" s="316">
        <f t="shared" si="5"/>
        <v>0</v>
      </c>
      <c r="T23" s="316">
        <f t="shared" si="6"/>
        <v>0</v>
      </c>
      <c r="U23" s="316">
        <f t="shared" si="7"/>
        <v>0</v>
      </c>
      <c r="V23" s="316">
        <f t="shared" si="8"/>
        <v>0</v>
      </c>
    </row>
    <row r="24" spans="1:22">
      <c r="A24" s="54">
        <v>13</v>
      </c>
      <c r="B24" s="54">
        <v>1133003031</v>
      </c>
      <c r="C24" s="56">
        <v>42936</v>
      </c>
      <c r="D24" s="57">
        <v>42917</v>
      </c>
      <c r="E24" s="50">
        <v>610000</v>
      </c>
      <c r="F24" s="50"/>
      <c r="G24" s="50">
        <f t="shared" si="16"/>
        <v>0</v>
      </c>
      <c r="H24" s="50">
        <f t="shared" si="17"/>
        <v>0</v>
      </c>
      <c r="I24" s="50">
        <f t="shared" si="12"/>
        <v>610000</v>
      </c>
      <c r="J24" s="50">
        <f t="shared" si="9"/>
        <v>610000</v>
      </c>
      <c r="K24" s="50">
        <f t="shared" ref="K24" si="18">+J24</f>
        <v>610000</v>
      </c>
      <c r="L24" s="51">
        <v>42988</v>
      </c>
      <c r="M24" s="51">
        <v>42958</v>
      </c>
      <c r="N24" s="52">
        <f t="shared" si="1"/>
        <v>30</v>
      </c>
      <c r="O24" s="50">
        <f t="shared" si="2"/>
        <v>0</v>
      </c>
      <c r="P24" s="50">
        <f t="shared" si="3"/>
        <v>0</v>
      </c>
      <c r="Q24" s="53"/>
      <c r="R24" s="316">
        <f t="shared" si="4"/>
        <v>0</v>
      </c>
      <c r="S24" s="316">
        <f t="shared" si="5"/>
        <v>0</v>
      </c>
      <c r="T24" s="316">
        <f t="shared" si="6"/>
        <v>0</v>
      </c>
      <c r="U24" s="316">
        <f t="shared" si="7"/>
        <v>0</v>
      </c>
      <c r="V24" s="316">
        <f t="shared" si="8"/>
        <v>0</v>
      </c>
    </row>
    <row r="25" spans="1:22">
      <c r="A25" s="54">
        <v>14</v>
      </c>
      <c r="B25" s="54">
        <v>1133003035</v>
      </c>
      <c r="C25" s="56">
        <v>42941</v>
      </c>
      <c r="D25" s="57">
        <v>42917</v>
      </c>
      <c r="E25" s="50">
        <v>610000</v>
      </c>
      <c r="F25" s="50"/>
      <c r="G25" s="50">
        <f t="shared" si="16"/>
        <v>0</v>
      </c>
      <c r="H25" s="50">
        <f t="shared" si="17"/>
        <v>0</v>
      </c>
      <c r="I25" s="50">
        <f t="shared" si="12"/>
        <v>610000</v>
      </c>
      <c r="J25" s="50">
        <f t="shared" si="9"/>
        <v>610000</v>
      </c>
      <c r="K25" s="50">
        <v>610000</v>
      </c>
      <c r="L25" s="51">
        <v>42988</v>
      </c>
      <c r="M25" s="51">
        <v>42958</v>
      </c>
      <c r="N25" s="52">
        <f t="shared" si="1"/>
        <v>30</v>
      </c>
      <c r="O25" s="50">
        <f t="shared" si="2"/>
        <v>0</v>
      </c>
      <c r="P25" s="50">
        <f t="shared" si="3"/>
        <v>0</v>
      </c>
      <c r="Q25" s="53"/>
      <c r="R25" s="316">
        <f t="shared" si="4"/>
        <v>0</v>
      </c>
      <c r="S25" s="316">
        <f t="shared" si="5"/>
        <v>0</v>
      </c>
      <c r="T25" s="316">
        <f t="shared" si="6"/>
        <v>0</v>
      </c>
      <c r="U25" s="316">
        <f t="shared" si="7"/>
        <v>0</v>
      </c>
      <c r="V25" s="316">
        <f t="shared" si="8"/>
        <v>0</v>
      </c>
    </row>
    <row r="26" spans="1:22">
      <c r="A26" s="54">
        <v>15</v>
      </c>
      <c r="B26" s="54">
        <v>1133003124</v>
      </c>
      <c r="C26" s="56">
        <v>42947</v>
      </c>
      <c r="D26" s="57">
        <v>42917</v>
      </c>
      <c r="E26" s="50">
        <f>14643657.73-247561.35+630665.56+1269265.31+85400</f>
        <v>16381427.250000002</v>
      </c>
      <c r="F26" s="50">
        <v>-3621728.1523491978</v>
      </c>
      <c r="G26" s="50">
        <f t="shared" ref="G26:G27" si="19">E26*$G$19</f>
        <v>0</v>
      </c>
      <c r="H26" s="50">
        <f t="shared" ref="H26:H27" si="20">+E26*$H$19</f>
        <v>0</v>
      </c>
      <c r="I26" s="50">
        <f t="shared" si="12"/>
        <v>12759699.097650804</v>
      </c>
      <c r="J26" s="50">
        <f t="shared" si="9"/>
        <v>12759699.097650804</v>
      </c>
      <c r="K26" s="50">
        <v>12759699.1</v>
      </c>
      <c r="L26" s="51">
        <v>42988</v>
      </c>
      <c r="M26" s="51">
        <v>43003</v>
      </c>
      <c r="N26" s="52">
        <f t="shared" si="1"/>
        <v>-15</v>
      </c>
      <c r="O26" s="50">
        <f t="shared" si="2"/>
        <v>-2.3491960018873215E-3</v>
      </c>
      <c r="P26" s="50">
        <f t="shared" si="3"/>
        <v>-2.3491960018873215E-3</v>
      </c>
      <c r="Q26" s="53"/>
      <c r="R26" s="316">
        <f t="shared" si="4"/>
        <v>-2.3491960018873215E-3</v>
      </c>
      <c r="S26" s="316">
        <f t="shared" si="5"/>
        <v>0</v>
      </c>
      <c r="T26" s="316">
        <f t="shared" si="6"/>
        <v>0</v>
      </c>
      <c r="U26" s="316">
        <f t="shared" si="7"/>
        <v>0</v>
      </c>
      <c r="V26" s="316">
        <f t="shared" si="8"/>
        <v>0</v>
      </c>
    </row>
    <row r="27" spans="1:22">
      <c r="A27" s="54">
        <v>16</v>
      </c>
      <c r="B27" s="54">
        <v>1133003150</v>
      </c>
      <c r="C27" s="56">
        <v>42990</v>
      </c>
      <c r="D27" s="57">
        <v>42948</v>
      </c>
      <c r="E27" s="50">
        <v>14646092.26</v>
      </c>
      <c r="F27" s="50">
        <v>-3067797.29</v>
      </c>
      <c r="G27" s="50">
        <f t="shared" si="19"/>
        <v>0</v>
      </c>
      <c r="H27" s="50">
        <f t="shared" si="20"/>
        <v>0</v>
      </c>
      <c r="I27" s="50">
        <f t="shared" si="12"/>
        <v>11578294.969999999</v>
      </c>
      <c r="J27" s="50">
        <f t="shared" si="9"/>
        <v>11578294.969999999</v>
      </c>
      <c r="K27" s="50">
        <f>+J27</f>
        <v>11578294.969999999</v>
      </c>
      <c r="L27" s="51">
        <v>43049</v>
      </c>
      <c r="M27" s="51">
        <v>43039</v>
      </c>
      <c r="N27" s="52">
        <f t="shared" si="1"/>
        <v>10</v>
      </c>
      <c r="O27" s="50">
        <f t="shared" si="2"/>
        <v>0</v>
      </c>
      <c r="P27" s="50">
        <f t="shared" si="3"/>
        <v>0</v>
      </c>
      <c r="Q27" s="53"/>
      <c r="R27" s="316">
        <f t="shared" si="4"/>
        <v>0</v>
      </c>
      <c r="S27" s="316">
        <f t="shared" si="5"/>
        <v>0</v>
      </c>
      <c r="T27" s="316">
        <f t="shared" si="6"/>
        <v>0</v>
      </c>
      <c r="U27" s="316">
        <f t="shared" si="7"/>
        <v>0</v>
      </c>
      <c r="V27" s="316">
        <f t="shared" si="8"/>
        <v>0</v>
      </c>
    </row>
    <row r="28" spans="1:22">
      <c r="A28" s="54">
        <v>17</v>
      </c>
      <c r="B28" s="54">
        <v>1133003180</v>
      </c>
      <c r="C28" s="56">
        <v>43019</v>
      </c>
      <c r="D28" s="57">
        <v>42979</v>
      </c>
      <c r="E28" s="50">
        <v>14286673.279999999</v>
      </c>
      <c r="F28" s="50">
        <v>-2712761.38</v>
      </c>
      <c r="G28" s="50">
        <f t="shared" ref="G28:G29" si="21">E28*$G$23</f>
        <v>0</v>
      </c>
      <c r="H28" s="50">
        <f t="shared" ref="H28:H29" si="22">+E28*$H$23</f>
        <v>0</v>
      </c>
      <c r="I28" s="50">
        <f t="shared" si="12"/>
        <v>11573911.899999999</v>
      </c>
      <c r="J28" s="50">
        <f t="shared" si="9"/>
        <v>11573911.899999999</v>
      </c>
      <c r="K28" s="50">
        <f>+J28</f>
        <v>11573911.899999999</v>
      </c>
      <c r="L28" s="51">
        <v>43049</v>
      </c>
      <c r="M28" s="51">
        <v>43060</v>
      </c>
      <c r="N28" s="52">
        <f t="shared" si="1"/>
        <v>-11</v>
      </c>
      <c r="O28" s="50">
        <f t="shared" si="2"/>
        <v>0</v>
      </c>
      <c r="P28" s="50">
        <f t="shared" si="3"/>
        <v>0</v>
      </c>
      <c r="Q28" s="53"/>
      <c r="R28" s="316">
        <f t="shared" si="4"/>
        <v>0</v>
      </c>
      <c r="S28" s="316">
        <f t="shared" si="5"/>
        <v>0</v>
      </c>
      <c r="T28" s="316">
        <f t="shared" si="6"/>
        <v>0</v>
      </c>
      <c r="U28" s="316">
        <f t="shared" si="7"/>
        <v>0</v>
      </c>
      <c r="V28" s="316">
        <f t="shared" si="8"/>
        <v>0</v>
      </c>
    </row>
    <row r="29" spans="1:22">
      <c r="A29" s="54">
        <v>18</v>
      </c>
      <c r="B29" s="54">
        <v>1133003191</v>
      </c>
      <c r="C29" s="56">
        <v>43033</v>
      </c>
      <c r="D29" s="57">
        <v>43009</v>
      </c>
      <c r="E29" s="50">
        <v>610000</v>
      </c>
      <c r="F29" s="50"/>
      <c r="G29" s="50">
        <f t="shared" si="21"/>
        <v>0</v>
      </c>
      <c r="H29" s="50">
        <f t="shared" si="22"/>
        <v>0</v>
      </c>
      <c r="I29" s="50">
        <f t="shared" si="12"/>
        <v>610000</v>
      </c>
      <c r="J29" s="50">
        <f t="shared" si="9"/>
        <v>610000</v>
      </c>
      <c r="K29" s="50"/>
      <c r="L29" s="51">
        <v>43064</v>
      </c>
      <c r="M29" s="51"/>
      <c r="N29" s="52">
        <f t="shared" si="1"/>
        <v>-5</v>
      </c>
      <c r="O29" s="50">
        <f t="shared" si="2"/>
        <v>610000</v>
      </c>
      <c r="P29" s="50">
        <f t="shared" si="3"/>
        <v>610000</v>
      </c>
      <c r="Q29" s="53"/>
      <c r="R29" s="316">
        <f t="shared" si="4"/>
        <v>610000</v>
      </c>
      <c r="S29" s="316">
        <f t="shared" si="5"/>
        <v>0</v>
      </c>
      <c r="T29" s="316">
        <f t="shared" si="6"/>
        <v>0</v>
      </c>
      <c r="U29" s="316">
        <f t="shared" si="7"/>
        <v>0</v>
      </c>
      <c r="V29" s="316">
        <f t="shared" si="8"/>
        <v>0</v>
      </c>
    </row>
    <row r="30" spans="1:22">
      <c r="A30" s="54">
        <v>19</v>
      </c>
      <c r="B30" s="54">
        <v>1133003231</v>
      </c>
      <c r="C30" s="56">
        <v>43054</v>
      </c>
      <c r="D30" s="57">
        <v>43009</v>
      </c>
      <c r="E30" s="50">
        <v>20289978.460000001</v>
      </c>
      <c r="F30" s="50">
        <v>-4051038.39</v>
      </c>
      <c r="G30" s="50"/>
      <c r="H30" s="50"/>
      <c r="I30" s="50">
        <f t="shared" si="12"/>
        <v>16238940.07</v>
      </c>
      <c r="J30" s="50">
        <f t="shared" si="9"/>
        <v>16238940.07</v>
      </c>
      <c r="K30" s="50"/>
      <c r="L30" s="51">
        <v>43084</v>
      </c>
      <c r="M30" s="51"/>
      <c r="N30" s="52">
        <f t="shared" si="1"/>
        <v>15</v>
      </c>
      <c r="O30" s="50">
        <f t="shared" si="2"/>
        <v>16238940.07</v>
      </c>
      <c r="P30" s="50">
        <f t="shared" si="3"/>
        <v>0</v>
      </c>
      <c r="Q30" s="53"/>
      <c r="R30" s="316">
        <f t="shared" si="4"/>
        <v>0</v>
      </c>
      <c r="S30" s="316">
        <f t="shared" si="5"/>
        <v>0</v>
      </c>
      <c r="T30" s="316">
        <f t="shared" si="6"/>
        <v>0</v>
      </c>
      <c r="U30" s="316">
        <f t="shared" si="7"/>
        <v>0</v>
      </c>
      <c r="V30" s="316">
        <f t="shared" si="8"/>
        <v>0</v>
      </c>
    </row>
    <row r="31" spans="1:22">
      <c r="A31" s="54"/>
      <c r="B31" s="54"/>
      <c r="C31" s="56"/>
      <c r="D31" s="57"/>
      <c r="E31" s="50"/>
      <c r="F31" s="50">
        <f t="shared" ref="F31" si="23">-E31*$I$6</f>
        <v>0</v>
      </c>
      <c r="G31" s="50">
        <f t="shared" ref="G31:G36" si="24">E31*$G$10</f>
        <v>0</v>
      </c>
      <c r="H31" s="50">
        <f t="shared" ref="H31" si="25">+E31*$H$10</f>
        <v>0</v>
      </c>
      <c r="I31" s="50">
        <f t="shared" si="12"/>
        <v>0</v>
      </c>
      <c r="J31" s="50">
        <f t="shared" si="9"/>
        <v>0</v>
      </c>
      <c r="K31" s="50"/>
      <c r="L31" s="51"/>
      <c r="M31" s="51"/>
      <c r="N31" s="52">
        <f t="shared" si="1"/>
        <v>0</v>
      </c>
      <c r="O31" s="50">
        <f t="shared" si="2"/>
        <v>0</v>
      </c>
      <c r="P31" s="50">
        <f t="shared" si="3"/>
        <v>0</v>
      </c>
      <c r="Q31" s="53"/>
      <c r="R31" s="316">
        <f t="shared" si="4"/>
        <v>0</v>
      </c>
      <c r="S31" s="316">
        <f t="shared" si="5"/>
        <v>0</v>
      </c>
      <c r="T31" s="316">
        <f t="shared" si="6"/>
        <v>0</v>
      </c>
      <c r="U31" s="316">
        <f t="shared" si="7"/>
        <v>0</v>
      </c>
      <c r="V31" s="316">
        <f t="shared" si="8"/>
        <v>0</v>
      </c>
    </row>
    <row r="32" spans="1:22">
      <c r="A32" s="54" t="s">
        <v>269</v>
      </c>
      <c r="B32" s="54">
        <v>1133002827</v>
      </c>
      <c r="C32" s="56">
        <v>42780</v>
      </c>
      <c r="D32" s="57">
        <v>42675</v>
      </c>
      <c r="E32" s="50">
        <v>219244</v>
      </c>
      <c r="F32" s="50"/>
      <c r="G32" s="50">
        <f t="shared" si="24"/>
        <v>0</v>
      </c>
      <c r="H32" s="50">
        <f>+E32*$H$10</f>
        <v>0</v>
      </c>
      <c r="I32" s="50">
        <f t="shared" si="12"/>
        <v>219244</v>
      </c>
      <c r="J32" s="50">
        <f>+I32*(1+20%)</f>
        <v>263092.8</v>
      </c>
      <c r="K32" s="50"/>
      <c r="L32" s="51">
        <v>42808</v>
      </c>
      <c r="M32" s="51"/>
      <c r="N32" s="52">
        <f t="shared" si="1"/>
        <v>-261</v>
      </c>
      <c r="O32" s="50">
        <f t="shared" si="2"/>
        <v>263092.8</v>
      </c>
      <c r="P32" s="50">
        <f t="shared" si="3"/>
        <v>263092.8</v>
      </c>
      <c r="Q32" s="53"/>
      <c r="R32" s="316">
        <f t="shared" si="4"/>
        <v>0</v>
      </c>
      <c r="S32" s="316">
        <f t="shared" si="5"/>
        <v>0</v>
      </c>
      <c r="T32" s="316">
        <f t="shared" si="6"/>
        <v>0</v>
      </c>
      <c r="U32" s="316">
        <f t="shared" si="7"/>
        <v>263092.8</v>
      </c>
      <c r="V32" s="316">
        <f t="shared" si="8"/>
        <v>0</v>
      </c>
    </row>
    <row r="33" spans="1:24">
      <c r="A33" s="54" t="s">
        <v>269</v>
      </c>
      <c r="B33" s="54">
        <v>1133002830</v>
      </c>
      <c r="C33" s="56">
        <v>42783</v>
      </c>
      <c r="D33" s="57">
        <v>42705</v>
      </c>
      <c r="E33" s="50">
        <v>208403.21</v>
      </c>
      <c r="F33" s="50"/>
      <c r="G33" s="50">
        <f t="shared" si="24"/>
        <v>0</v>
      </c>
      <c r="H33" s="50">
        <f t="shared" ref="H33:H36" si="26">+E33*$H$10</f>
        <v>0</v>
      </c>
      <c r="I33" s="50">
        <f t="shared" si="12"/>
        <v>208403.21</v>
      </c>
      <c r="J33" s="50">
        <f>+I33*(1+20%)</f>
        <v>250083.85199999998</v>
      </c>
      <c r="K33" s="50"/>
      <c r="L33" s="51">
        <v>42811</v>
      </c>
      <c r="M33" s="51"/>
      <c r="N33" s="52">
        <f t="shared" si="1"/>
        <v>-258</v>
      </c>
      <c r="O33" s="50">
        <f t="shared" si="2"/>
        <v>250083.85199999998</v>
      </c>
      <c r="P33" s="50">
        <f t="shared" si="3"/>
        <v>250083.85199999998</v>
      </c>
      <c r="Q33" s="53"/>
      <c r="R33" s="316">
        <f t="shared" si="4"/>
        <v>0</v>
      </c>
      <c r="S33" s="316">
        <f t="shared" si="5"/>
        <v>0</v>
      </c>
      <c r="T33" s="316">
        <f t="shared" si="6"/>
        <v>0</v>
      </c>
      <c r="U33" s="316">
        <f t="shared" si="7"/>
        <v>250083.85199999998</v>
      </c>
      <c r="V33" s="316">
        <f t="shared" si="8"/>
        <v>0</v>
      </c>
    </row>
    <row r="34" spans="1:24">
      <c r="A34" s="54"/>
      <c r="B34" s="54"/>
      <c r="C34" s="56"/>
      <c r="D34" s="57"/>
      <c r="E34" s="50"/>
      <c r="F34" s="50">
        <f t="shared" si="10"/>
        <v>0</v>
      </c>
      <c r="G34" s="50">
        <f t="shared" si="24"/>
        <v>0</v>
      </c>
      <c r="H34" s="50">
        <f t="shared" si="26"/>
        <v>0</v>
      </c>
      <c r="I34" s="50">
        <f t="shared" si="12"/>
        <v>0</v>
      </c>
      <c r="J34" s="50">
        <f t="shared" ref="J34:J36" si="27">+I34*(1+$I$4)</f>
        <v>0</v>
      </c>
      <c r="K34" s="50"/>
      <c r="L34" s="51"/>
      <c r="M34" s="51"/>
      <c r="N34" s="52">
        <f t="shared" si="1"/>
        <v>0</v>
      </c>
      <c r="O34" s="50">
        <f t="shared" si="2"/>
        <v>0</v>
      </c>
      <c r="P34" s="50">
        <f t="shared" si="3"/>
        <v>0</v>
      </c>
      <c r="Q34" s="53"/>
      <c r="R34" s="316">
        <f t="shared" si="4"/>
        <v>0</v>
      </c>
      <c r="S34" s="316">
        <f t="shared" si="5"/>
        <v>0</v>
      </c>
      <c r="T34" s="316">
        <f t="shared" si="6"/>
        <v>0</v>
      </c>
      <c r="U34" s="316">
        <f t="shared" si="7"/>
        <v>0</v>
      </c>
      <c r="V34" s="316">
        <f t="shared" si="8"/>
        <v>0</v>
      </c>
    </row>
    <row r="35" spans="1:24">
      <c r="A35" s="54"/>
      <c r="B35" s="54"/>
      <c r="C35" s="56"/>
      <c r="D35" s="57"/>
      <c r="E35" s="50"/>
      <c r="F35" s="50">
        <f t="shared" si="10"/>
        <v>0</v>
      </c>
      <c r="G35" s="50">
        <f t="shared" si="24"/>
        <v>0</v>
      </c>
      <c r="H35" s="50">
        <f t="shared" si="26"/>
        <v>0</v>
      </c>
      <c r="I35" s="50">
        <f t="shared" si="12"/>
        <v>0</v>
      </c>
      <c r="J35" s="50">
        <f t="shared" si="27"/>
        <v>0</v>
      </c>
      <c r="K35" s="50"/>
      <c r="L35" s="51"/>
      <c r="M35" s="51"/>
      <c r="N35" s="52">
        <f t="shared" si="1"/>
        <v>0</v>
      </c>
      <c r="O35" s="50">
        <f t="shared" si="2"/>
        <v>0</v>
      </c>
      <c r="P35" s="50">
        <f t="shared" si="3"/>
        <v>0</v>
      </c>
      <c r="Q35" s="53"/>
      <c r="R35" s="316">
        <f t="shared" si="4"/>
        <v>0</v>
      </c>
      <c r="S35" s="316">
        <f t="shared" si="5"/>
        <v>0</v>
      </c>
      <c r="T35" s="316">
        <f t="shared" si="6"/>
        <v>0</v>
      </c>
      <c r="U35" s="316">
        <f t="shared" si="7"/>
        <v>0</v>
      </c>
      <c r="V35" s="316">
        <f t="shared" si="8"/>
        <v>0</v>
      </c>
    </row>
    <row r="36" spans="1:24">
      <c r="A36" s="54"/>
      <c r="B36" s="54"/>
      <c r="C36" s="56"/>
      <c r="D36" s="57"/>
      <c r="E36" s="50"/>
      <c r="F36" s="50">
        <f t="shared" si="10"/>
        <v>0</v>
      </c>
      <c r="G36" s="50">
        <f t="shared" si="24"/>
        <v>0</v>
      </c>
      <c r="H36" s="50">
        <f t="shared" si="26"/>
        <v>0</v>
      </c>
      <c r="I36" s="50">
        <f t="shared" si="12"/>
        <v>0</v>
      </c>
      <c r="J36" s="50">
        <f t="shared" si="27"/>
        <v>0</v>
      </c>
      <c r="K36" s="50"/>
      <c r="L36" s="51"/>
      <c r="M36" s="51"/>
      <c r="N36" s="52">
        <f t="shared" si="1"/>
        <v>0</v>
      </c>
      <c r="O36" s="50">
        <f t="shared" si="2"/>
        <v>0</v>
      </c>
      <c r="P36" s="50">
        <f t="shared" si="3"/>
        <v>0</v>
      </c>
      <c r="Q36" s="53"/>
      <c r="R36" s="316">
        <f t="shared" si="4"/>
        <v>0</v>
      </c>
      <c r="S36" s="316">
        <f t="shared" si="5"/>
        <v>0</v>
      </c>
      <c r="T36" s="316">
        <f t="shared" si="6"/>
        <v>0</v>
      </c>
      <c r="U36" s="316">
        <f t="shared" si="7"/>
        <v>0</v>
      </c>
      <c r="V36" s="316">
        <f t="shared" si="8"/>
        <v>0</v>
      </c>
    </row>
    <row r="37" spans="1:24" ht="17.25" thickBot="1">
      <c r="A37" s="54"/>
      <c r="B37" s="55"/>
      <c r="C37" s="56"/>
      <c r="D37" s="57"/>
      <c r="E37" s="50"/>
      <c r="F37" s="50"/>
      <c r="G37" s="50"/>
      <c r="H37" s="50"/>
      <c r="I37" s="50"/>
      <c r="J37" s="50"/>
      <c r="K37" s="50"/>
      <c r="L37" s="51"/>
      <c r="M37" s="51"/>
      <c r="N37" s="59"/>
      <c r="O37" s="50"/>
      <c r="P37" s="55"/>
      <c r="Q37" s="53"/>
      <c r="R37" s="316"/>
      <c r="S37" s="316"/>
      <c r="T37" s="316"/>
      <c r="U37" s="316"/>
      <c r="V37" s="316"/>
    </row>
    <row r="38" spans="1:24" s="53" customFormat="1" ht="20.100000000000001" customHeight="1" thickBot="1">
      <c r="A38" s="60"/>
      <c r="B38" s="61" t="s">
        <v>58</v>
      </c>
      <c r="C38" s="61"/>
      <c r="D38" s="61"/>
      <c r="E38" s="62">
        <f t="shared" ref="E38:K38" si="28">SUM(E12:E37)</f>
        <v>115591907.20744</v>
      </c>
      <c r="F38" s="62">
        <f t="shared" si="28"/>
        <v>2304186.3021709318</v>
      </c>
      <c r="G38" s="62">
        <f t="shared" si="28"/>
        <v>0</v>
      </c>
      <c r="H38" s="62">
        <f t="shared" si="28"/>
        <v>0</v>
      </c>
      <c r="I38" s="62">
        <f t="shared" si="28"/>
        <v>117896093.50961094</v>
      </c>
      <c r="J38" s="62">
        <f t="shared" si="28"/>
        <v>117981622.95161094</v>
      </c>
      <c r="K38" s="62">
        <f t="shared" si="28"/>
        <v>100619506.23196012</v>
      </c>
      <c r="L38" s="63"/>
      <c r="M38" s="63"/>
      <c r="N38" s="63"/>
      <c r="O38" s="62">
        <f>SUM(O12:O37)</f>
        <v>17362116.719650805</v>
      </c>
      <c r="P38" s="64">
        <f>SUM(P12:P37)</f>
        <v>1123176.649650804</v>
      </c>
      <c r="R38" s="65">
        <f>SUM(R12:R37)</f>
        <v>609999.997650804</v>
      </c>
      <c r="S38" s="65">
        <f>SUM(S12:S37)</f>
        <v>0</v>
      </c>
      <c r="T38" s="65">
        <f>SUM(T12:T37)</f>
        <v>0</v>
      </c>
      <c r="U38" s="65">
        <f>SUM(U12:U37)</f>
        <v>513176.652</v>
      </c>
      <c r="V38" s="65">
        <f>SUM(V12:V37)</f>
        <v>0</v>
      </c>
      <c r="X38" s="65"/>
    </row>
    <row r="39" spans="1:24">
      <c r="A39" s="66"/>
      <c r="B39" s="67"/>
      <c r="C39" s="67"/>
      <c r="D39" s="68" t="s">
        <v>59</v>
      </c>
      <c r="E39" s="69">
        <f>+E38/$M$7</f>
        <v>0.89628394464713212</v>
      </c>
      <c r="F39" s="67"/>
      <c r="G39" s="67"/>
      <c r="H39" s="67"/>
      <c r="I39" s="67"/>
      <c r="J39" s="68" t="s">
        <v>60</v>
      </c>
      <c r="K39" s="69">
        <f>+K38/J38</f>
        <v>0.85284049934817618</v>
      </c>
      <c r="L39" s="67"/>
      <c r="M39" s="67"/>
      <c r="N39" s="67"/>
      <c r="O39" s="67"/>
      <c r="P39" s="70"/>
      <c r="Q39" s="53"/>
      <c r="R39" s="53"/>
      <c r="S39" s="53"/>
      <c r="T39" s="53"/>
      <c r="U39" s="53"/>
      <c r="V39" s="53"/>
    </row>
    <row r="40" spans="1:24" ht="17.25" thickBot="1">
      <c r="A40" s="71"/>
      <c r="B40" s="72"/>
      <c r="C40" s="72"/>
      <c r="D40" s="73" t="s">
        <v>61</v>
      </c>
      <c r="E40" s="74">
        <f>+$M$7-$E$38</f>
        <v>13376047.532560006</v>
      </c>
      <c r="F40" s="75">
        <f>+E40/M7</f>
        <v>0.10371605535286792</v>
      </c>
      <c r="G40" s="72"/>
      <c r="H40" s="72"/>
      <c r="I40" s="72"/>
      <c r="J40" s="72"/>
      <c r="K40" s="72"/>
      <c r="L40" s="72"/>
      <c r="M40" s="72"/>
      <c r="N40" s="72"/>
      <c r="O40" s="72"/>
      <c r="P40" s="76"/>
      <c r="Q40" s="53"/>
      <c r="R40" s="53"/>
      <c r="S40" s="53"/>
      <c r="T40" s="53"/>
      <c r="U40" s="53"/>
      <c r="V40" s="53"/>
    </row>
    <row r="41" spans="1:24">
      <c r="A41" s="53"/>
      <c r="B41" s="66"/>
      <c r="C41" s="67"/>
      <c r="D41" s="67"/>
      <c r="E41" s="67"/>
      <c r="F41" s="67"/>
      <c r="G41" s="67"/>
      <c r="H41" s="67"/>
      <c r="I41" s="67"/>
      <c r="J41" s="67"/>
      <c r="K41" s="67"/>
      <c r="L41" s="67"/>
      <c r="M41" s="67"/>
      <c r="N41" s="70"/>
      <c r="O41" s="53"/>
      <c r="P41" s="53"/>
      <c r="Q41" s="53"/>
      <c r="R41" s="53"/>
      <c r="S41" s="53"/>
      <c r="T41" s="53"/>
      <c r="U41" s="53"/>
      <c r="V41" s="53"/>
    </row>
    <row r="42" spans="1:24" ht="21">
      <c r="A42" s="53"/>
      <c r="B42" s="275"/>
      <c r="C42" s="144" t="s">
        <v>62</v>
      </c>
      <c r="D42" s="144"/>
      <c r="E42" s="144"/>
      <c r="F42" s="144"/>
      <c r="G42" s="144"/>
      <c r="H42" s="144" t="s">
        <v>270</v>
      </c>
      <c r="I42" s="145"/>
      <c r="J42" s="145"/>
      <c r="K42" s="145"/>
      <c r="L42" s="145"/>
      <c r="M42" s="145"/>
      <c r="N42" s="146"/>
      <c r="O42" s="53"/>
      <c r="P42" s="83"/>
      <c r="Q42" s="53"/>
      <c r="R42" s="53"/>
      <c r="S42" s="53"/>
      <c r="T42" s="53"/>
      <c r="U42" s="53"/>
      <c r="V42" s="53"/>
    </row>
    <row r="43" spans="1:24" ht="17.25" thickBot="1">
      <c r="A43" s="53"/>
      <c r="B43" s="275"/>
      <c r="C43" s="145"/>
      <c r="D43" s="145"/>
      <c r="E43" s="145"/>
      <c r="F43" s="145"/>
      <c r="G43" s="147"/>
      <c r="H43" s="145"/>
      <c r="I43" s="145"/>
      <c r="J43" s="145"/>
      <c r="K43" s="145"/>
      <c r="L43" s="145"/>
      <c r="M43" s="145"/>
      <c r="N43" s="146"/>
      <c r="O43" s="53"/>
      <c r="P43" s="83"/>
      <c r="Q43" s="53"/>
      <c r="R43" s="53"/>
      <c r="S43" s="53"/>
      <c r="T43" s="53"/>
      <c r="U43" s="53"/>
      <c r="V43" s="53"/>
    </row>
    <row r="44" spans="1:24" ht="17.25" thickBot="1">
      <c r="A44" s="53"/>
      <c r="B44" s="275"/>
      <c r="C44" s="379" t="s">
        <v>63</v>
      </c>
      <c r="D44" s="380"/>
      <c r="E44" s="381"/>
      <c r="F44" s="148" t="s">
        <v>64</v>
      </c>
      <c r="G44" s="149">
        <f>+M7</f>
        <v>128967954.74000001</v>
      </c>
      <c r="H44" s="148"/>
      <c r="I44" s="331"/>
      <c r="J44" s="148"/>
      <c r="K44" s="148"/>
      <c r="L44" s="148"/>
      <c r="M44" s="150"/>
      <c r="N44" s="152"/>
      <c r="O44" s="53"/>
      <c r="P44" s="53"/>
      <c r="Q44" s="53"/>
      <c r="R44" s="53"/>
      <c r="S44" s="53"/>
      <c r="T44" s="53"/>
      <c r="U44" s="53"/>
      <c r="V44" s="53"/>
    </row>
    <row r="45" spans="1:24" ht="17.25" thickBot="1">
      <c r="A45" s="53"/>
      <c r="B45" s="275"/>
      <c r="C45" s="148"/>
      <c r="D45" s="148"/>
      <c r="E45" s="148"/>
      <c r="F45" s="148"/>
      <c r="G45" s="148"/>
      <c r="H45" s="148"/>
      <c r="I45" s="148"/>
      <c r="J45" s="148"/>
      <c r="K45" s="148"/>
      <c r="L45" s="148"/>
      <c r="M45" s="150"/>
      <c r="N45" s="152"/>
      <c r="O45" s="53"/>
      <c r="P45" s="53"/>
      <c r="Q45" s="53"/>
      <c r="R45" s="53"/>
      <c r="S45" s="53"/>
      <c r="T45" s="53"/>
      <c r="U45" s="53"/>
      <c r="V45" s="53"/>
    </row>
    <row r="46" spans="1:24" ht="17.25" thickBot="1">
      <c r="A46" s="53"/>
      <c r="B46" s="275"/>
      <c r="C46" s="382" t="s">
        <v>65</v>
      </c>
      <c r="D46" s="383"/>
      <c r="E46" s="384"/>
      <c r="F46" s="148" t="s">
        <v>64</v>
      </c>
      <c r="G46" s="154">
        <f>+E38</f>
        <v>115591907.20744</v>
      </c>
      <c r="H46" s="148"/>
      <c r="I46" s="148"/>
      <c r="J46" s="91">
        <f>G46/G44</f>
        <v>0.89628394464713212</v>
      </c>
      <c r="K46" s="155" t="s">
        <v>66</v>
      </c>
      <c r="L46" s="332"/>
      <c r="M46" s="156"/>
      <c r="N46" s="152"/>
      <c r="O46" s="53"/>
      <c r="P46" s="53"/>
      <c r="Q46" s="53"/>
      <c r="R46" s="53"/>
      <c r="S46" s="53"/>
      <c r="T46" s="53"/>
      <c r="U46" s="53"/>
      <c r="V46" s="53"/>
    </row>
    <row r="47" spans="1:24" ht="17.25" thickBot="1">
      <c r="B47" s="276"/>
      <c r="C47" s="148"/>
      <c r="D47" s="148"/>
      <c r="E47" s="148"/>
      <c r="F47" s="148"/>
      <c r="G47" s="148"/>
      <c r="H47" s="148"/>
      <c r="I47" s="148"/>
      <c r="J47" s="148"/>
      <c r="K47" s="157"/>
      <c r="L47" s="148"/>
      <c r="M47" s="150"/>
      <c r="N47" s="152"/>
    </row>
    <row r="48" spans="1:24" ht="17.25" thickBot="1">
      <c r="B48" s="276"/>
      <c r="C48" s="376" t="s">
        <v>67</v>
      </c>
      <c r="D48" s="377"/>
      <c r="E48" s="378"/>
      <c r="F48" s="148" t="s">
        <v>68</v>
      </c>
      <c r="G48" s="96">
        <f>+K38</f>
        <v>100619506.23196012</v>
      </c>
      <c r="H48" s="148"/>
      <c r="I48" s="148"/>
      <c r="J48" s="97">
        <f>+G48/J38</f>
        <v>0.85284049934817618</v>
      </c>
      <c r="K48" s="277" t="s">
        <v>69</v>
      </c>
      <c r="L48" s="333"/>
      <c r="M48" s="158"/>
      <c r="N48" s="152"/>
    </row>
    <row r="49" spans="2:14" ht="17.25" thickBot="1">
      <c r="B49" s="276"/>
      <c r="C49" s="148"/>
      <c r="D49" s="148"/>
      <c r="E49" s="148"/>
      <c r="F49" s="148"/>
      <c r="G49" s="148"/>
      <c r="H49" s="148"/>
      <c r="I49" s="148"/>
      <c r="J49" s="148"/>
      <c r="K49" s="157"/>
      <c r="L49" s="148"/>
      <c r="M49" s="150"/>
      <c r="N49" s="152"/>
    </row>
    <row r="50" spans="2:14" ht="17.25" thickBot="1">
      <c r="B50" s="276"/>
      <c r="C50" s="376" t="s">
        <v>70</v>
      </c>
      <c r="D50" s="377"/>
      <c r="E50" s="378"/>
      <c r="F50" s="148" t="s">
        <v>68</v>
      </c>
      <c r="G50" s="334">
        <f>+O38</f>
        <v>17362116.719650805</v>
      </c>
      <c r="H50" s="148"/>
      <c r="I50" s="148"/>
      <c r="J50" s="101">
        <f>+G50/J38</f>
        <v>0.14715950065182368</v>
      </c>
      <c r="K50" s="277" t="s">
        <v>69</v>
      </c>
      <c r="L50" s="335"/>
      <c r="M50" s="159"/>
      <c r="N50" s="152"/>
    </row>
    <row r="51" spans="2:14" ht="17.25" thickBot="1">
      <c r="B51" s="276"/>
      <c r="C51" s="148"/>
      <c r="D51" s="148"/>
      <c r="E51" s="148"/>
      <c r="F51" s="148"/>
      <c r="G51" s="148"/>
      <c r="H51" s="148"/>
      <c r="I51" s="148"/>
      <c r="J51" s="148"/>
      <c r="K51" s="157"/>
      <c r="L51" s="148"/>
      <c r="M51" s="150"/>
      <c r="N51" s="152"/>
    </row>
    <row r="52" spans="2:14" ht="17.25" thickBot="1">
      <c r="B52" s="276"/>
      <c r="C52" s="376" t="s">
        <v>71</v>
      </c>
      <c r="D52" s="377"/>
      <c r="E52" s="378"/>
      <c r="F52" s="148" t="s">
        <v>68</v>
      </c>
      <c r="G52" s="104">
        <f>+P38</f>
        <v>1123176.649650804</v>
      </c>
      <c r="H52" s="148"/>
      <c r="I52" s="148"/>
      <c r="J52" s="105">
        <f>+G52/I38</f>
        <v>9.5268351665888078E-3</v>
      </c>
      <c r="K52" s="277" t="s">
        <v>69</v>
      </c>
      <c r="L52" s="333"/>
      <c r="M52" s="158"/>
      <c r="N52" s="152"/>
    </row>
    <row r="53" spans="2:14" ht="17.25" thickBot="1">
      <c r="B53" s="160"/>
      <c r="C53" s="161"/>
      <c r="D53" s="161"/>
      <c r="E53" s="161"/>
      <c r="F53" s="161"/>
      <c r="G53" s="161"/>
      <c r="H53" s="161"/>
      <c r="I53" s="161"/>
      <c r="J53" s="161"/>
      <c r="K53" s="161"/>
      <c r="L53" s="161"/>
      <c r="M53" s="161"/>
      <c r="N53" s="162"/>
    </row>
    <row r="56" spans="2:14">
      <c r="G56" s="183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C50:E50"/>
    <mergeCell ref="C52:E52"/>
    <mergeCell ref="M7:N7"/>
    <mergeCell ref="M8:N8"/>
    <mergeCell ref="O10:P10"/>
    <mergeCell ref="C44:E44"/>
    <mergeCell ref="C46:E46"/>
    <mergeCell ref="C48:E4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X47"/>
  <sheetViews>
    <sheetView workbookViewId="0">
      <selection sqref="A1:B2"/>
    </sheetView>
  </sheetViews>
  <sheetFormatPr baseColWidth="10" defaultColWidth="11.42578125" defaultRowHeight="16.5"/>
  <cols>
    <col min="1" max="4" width="11.7109375" style="5" customWidth="1"/>
    <col min="5" max="5" width="13.28515625" style="5" bestFit="1" customWidth="1"/>
    <col min="6" max="6" width="12.42578125" style="5" customWidth="1"/>
    <col min="7" max="8" width="11.7109375" style="5" customWidth="1"/>
    <col min="9" max="9" width="13.28515625" style="5" bestFit="1" customWidth="1"/>
    <col min="10" max="10" width="13.5703125" style="5" customWidth="1"/>
    <col min="11" max="11" width="13" style="5" customWidth="1"/>
    <col min="12" max="14" width="11.7109375" style="5" customWidth="1"/>
    <col min="15" max="15" width="12.85546875" style="5" bestFit="1" customWidth="1"/>
    <col min="16" max="16" width="12.7109375" style="5" customWidth="1"/>
    <col min="17" max="22" width="11.7109375" style="5" customWidth="1"/>
    <col min="23" max="23" width="11.42578125" style="5"/>
    <col min="24" max="24" width="12.7109375" style="5" bestFit="1" customWidth="1"/>
    <col min="25" max="16384" width="11.42578125" style="5"/>
  </cols>
  <sheetData>
    <row r="1" spans="1:24" ht="21" customHeight="1">
      <c r="A1" s="364" t="s">
        <v>11</v>
      </c>
      <c r="B1" s="365"/>
      <c r="C1" s="368" t="s">
        <v>73</v>
      </c>
      <c r="D1" s="368"/>
      <c r="E1" s="368"/>
      <c r="F1" s="370" t="s">
        <v>93</v>
      </c>
      <c r="G1" s="372" t="s">
        <v>12</v>
      </c>
      <c r="H1" s="373"/>
      <c r="I1" s="373"/>
      <c r="J1" s="374"/>
      <c r="K1" s="1" t="s">
        <v>13</v>
      </c>
      <c r="L1" s="2"/>
      <c r="M1" s="375">
        <v>259394877.09959999</v>
      </c>
      <c r="N1" s="375"/>
      <c r="O1" s="3" t="s">
        <v>14</v>
      </c>
      <c r="P1" s="4">
        <v>33364</v>
      </c>
    </row>
    <row r="2" spans="1:24" ht="21">
      <c r="A2" s="366"/>
      <c r="B2" s="367"/>
      <c r="C2" s="369"/>
      <c r="D2" s="369"/>
      <c r="E2" s="369"/>
      <c r="F2" s="371"/>
      <c r="G2" s="6" t="s">
        <v>15</v>
      </c>
      <c r="H2" s="7"/>
      <c r="I2" s="8">
        <v>45</v>
      </c>
      <c r="J2" s="9"/>
      <c r="K2" s="10" t="s">
        <v>16</v>
      </c>
      <c r="L2" s="11"/>
      <c r="M2" s="363"/>
      <c r="N2" s="363"/>
      <c r="O2" s="11"/>
      <c r="P2" s="12"/>
    </row>
    <row r="3" spans="1:24" ht="16.5" customHeight="1">
      <c r="A3" s="366" t="s">
        <v>17</v>
      </c>
      <c r="B3" s="367"/>
      <c r="C3" s="369" t="s">
        <v>18</v>
      </c>
      <c r="D3" s="369"/>
      <c r="E3" s="369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63">
        <v>3167960.99</v>
      </c>
      <c r="N3" s="363"/>
      <c r="O3" s="11"/>
      <c r="P3" s="12"/>
    </row>
    <row r="4" spans="1:24">
      <c r="A4" s="366"/>
      <c r="B4" s="367"/>
      <c r="C4" s="369"/>
      <c r="D4" s="369"/>
      <c r="E4" s="369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63">
        <v>2313866.92</v>
      </c>
      <c r="N4" s="363"/>
      <c r="O4" s="11"/>
      <c r="P4" s="12"/>
    </row>
    <row r="5" spans="1:24">
      <c r="A5" s="304" t="s">
        <v>24</v>
      </c>
      <c r="B5" s="18"/>
      <c r="C5" s="18"/>
      <c r="D5" s="19" t="s">
        <v>75</v>
      </c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63"/>
      <c r="N5" s="363"/>
      <c r="O5" s="11"/>
      <c r="P5" s="12"/>
    </row>
    <row r="6" spans="1:24">
      <c r="A6" s="304" t="s">
        <v>76</v>
      </c>
      <c r="B6" s="18"/>
      <c r="C6" s="18"/>
      <c r="D6" s="22" t="s">
        <v>79</v>
      </c>
      <c r="E6" s="23"/>
      <c r="F6" s="24"/>
      <c r="G6" s="6"/>
      <c r="H6" s="14" t="s">
        <v>28</v>
      </c>
      <c r="I6" s="25">
        <v>0.125</v>
      </c>
      <c r="J6" s="15" t="s">
        <v>29</v>
      </c>
      <c r="K6" s="26"/>
      <c r="L6" s="11"/>
      <c r="M6" s="363"/>
      <c r="N6" s="363"/>
      <c r="O6" s="11"/>
      <c r="P6" s="12"/>
    </row>
    <row r="7" spans="1:24">
      <c r="A7" s="304" t="s">
        <v>77</v>
      </c>
      <c r="B7" s="18"/>
      <c r="C7" s="18"/>
      <c r="D7" s="22" t="s">
        <v>80</v>
      </c>
      <c r="E7" s="23"/>
      <c r="F7" s="24"/>
      <c r="G7" s="6"/>
      <c r="H7" s="14" t="s">
        <v>30</v>
      </c>
      <c r="I7" s="27">
        <v>7.0000000000000007E-2</v>
      </c>
      <c r="J7" s="15" t="s">
        <v>29</v>
      </c>
      <c r="K7" s="28" t="s">
        <v>31</v>
      </c>
      <c r="L7" s="29"/>
      <c r="M7" s="353">
        <f>SUM(M1:M6)</f>
        <v>264876705.00959998</v>
      </c>
      <c r="N7" s="353"/>
      <c r="O7" s="11"/>
      <c r="P7" s="12"/>
    </row>
    <row r="8" spans="1:24">
      <c r="A8" s="30" t="s">
        <v>78</v>
      </c>
      <c r="B8" s="31"/>
      <c r="C8" s="31"/>
      <c r="D8" s="32" t="s">
        <v>81</v>
      </c>
      <c r="E8" s="33"/>
      <c r="F8" s="34"/>
      <c r="G8" s="35"/>
      <c r="H8" s="36" t="s">
        <v>32</v>
      </c>
      <c r="I8" s="37">
        <v>0.03</v>
      </c>
      <c r="J8" s="38" t="s">
        <v>29</v>
      </c>
      <c r="K8" s="39" t="s">
        <v>33</v>
      </c>
      <c r="L8" s="40"/>
      <c r="M8" s="354">
        <f>+M7*(1+$I$4)</f>
        <v>317852046.01151997</v>
      </c>
      <c r="N8" s="354"/>
      <c r="O8" s="41"/>
      <c r="P8" s="42"/>
    </row>
    <row r="10" spans="1:24">
      <c r="B10" s="5" t="s">
        <v>34</v>
      </c>
      <c r="C10" s="43">
        <v>43069</v>
      </c>
      <c r="E10" s="44"/>
      <c r="F10" s="45"/>
      <c r="G10" s="46">
        <v>0.1</v>
      </c>
      <c r="H10" s="47">
        <v>0.02</v>
      </c>
      <c r="O10" s="355" t="s">
        <v>35</v>
      </c>
      <c r="P10" s="356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305" t="s">
        <v>52</v>
      </c>
      <c r="S11" s="305" t="s">
        <v>53</v>
      </c>
      <c r="T11" s="305" t="s">
        <v>54</v>
      </c>
      <c r="U11" s="305" t="s">
        <v>55</v>
      </c>
      <c r="V11" s="305" t="s">
        <v>56</v>
      </c>
      <c r="X11" s="305" t="s">
        <v>57</v>
      </c>
    </row>
    <row r="12" spans="1:24">
      <c r="A12" s="54">
        <v>1</v>
      </c>
      <c r="B12" s="54">
        <v>1133000010</v>
      </c>
      <c r="C12" s="56">
        <v>42674</v>
      </c>
      <c r="D12" s="57">
        <v>42644</v>
      </c>
      <c r="E12" s="50">
        <v>3730304.77</v>
      </c>
      <c r="F12" s="50">
        <v>-1016288.09</v>
      </c>
      <c r="G12" s="50">
        <v>0</v>
      </c>
      <c r="H12" s="50">
        <f t="shared" ref="H12:H22" si="0">+E12*$H$10</f>
        <v>74606.095400000006</v>
      </c>
      <c r="I12" s="50">
        <f t="shared" ref="I12:I18" si="1">+E12+F12-G12-H12</f>
        <v>2639410.5846000002</v>
      </c>
      <c r="J12" s="50">
        <f t="shared" ref="J12:J22" si="2">+I12+(I12*$I$4)</f>
        <v>3167292.7015200001</v>
      </c>
      <c r="K12" s="50">
        <f>+J12</f>
        <v>3167292.7015200001</v>
      </c>
      <c r="L12" s="51">
        <v>42735</v>
      </c>
      <c r="M12" s="51">
        <v>42741</v>
      </c>
      <c r="N12" s="52">
        <f t="shared" ref="N12:N22" si="3">-IF(L12=0,,IF(M12=0,($C$10-L12),M12-L12))</f>
        <v>-6</v>
      </c>
      <c r="O12" s="50">
        <f t="shared" ref="O12:O22" si="4">+J12-K12</f>
        <v>0</v>
      </c>
      <c r="P12" s="50">
        <f t="shared" ref="P12:P22" si="5">+IF($C$10&lt;L12,0,O12)</f>
        <v>0</v>
      </c>
      <c r="Q12" s="53"/>
      <c r="R12" s="316">
        <f t="shared" ref="R12:R22" si="6">IF(N12&gt;=0,0,(IF(-N12&lt;=60,O12,0)))</f>
        <v>0</v>
      </c>
      <c r="S12" s="316">
        <f t="shared" ref="S12:S22" si="7">IF(N12&gt;=0,0,(IF(N12&gt;=-60,0,IF(-60&gt;=N12,IF(N12&gt;=-120,O12,0)))))</f>
        <v>0</v>
      </c>
      <c r="T12" s="316">
        <f t="shared" ref="T12:T22" si="8">IF(N12&gt;=0,0,(IF(N12&gt;-60,0,IF(-60&gt;=N12,IF(N12&gt;=-120,0,IF(N12&gt;=-180,O12,0))))))</f>
        <v>0</v>
      </c>
      <c r="U12" s="316">
        <f t="shared" ref="U12:U22" si="9">IF(N12&gt;=0,0,(IF(N12&gt;-60,0,IF(-60&gt;=N12,IF(N12&gt;-120,0,IF(N12&gt;=-180,0,IF(N12&gt;=-365,O12,0)))))))</f>
        <v>0</v>
      </c>
      <c r="V12" s="316">
        <f t="shared" ref="V12:V22" si="10">IF(N12&gt;=0,0,IF(365&lt;-N12,O12,0))</f>
        <v>0</v>
      </c>
      <c r="X12" s="336">
        <f t="shared" ref="X12:X16" si="11">+(J12*N12*(2.25+3)/100)/(365)</f>
        <v>-2733.4169889830141</v>
      </c>
    </row>
    <row r="13" spans="1:24">
      <c r="A13" s="54">
        <v>2</v>
      </c>
      <c r="B13" s="54">
        <v>1133000011</v>
      </c>
      <c r="C13" s="56">
        <v>42704</v>
      </c>
      <c r="D13" s="57">
        <v>42675</v>
      </c>
      <c r="E13" s="50">
        <v>4590101</v>
      </c>
      <c r="F13" s="50">
        <v>-923762.62454242073</v>
      </c>
      <c r="G13" s="50">
        <v>0</v>
      </c>
      <c r="H13" s="50">
        <f t="shared" si="0"/>
        <v>91802.02</v>
      </c>
      <c r="I13" s="50">
        <f t="shared" si="1"/>
        <v>3574536.3554575793</v>
      </c>
      <c r="J13" s="50">
        <f t="shared" si="2"/>
        <v>4289443.6265490949</v>
      </c>
      <c r="K13" s="50">
        <f>+J13</f>
        <v>4289443.6265490949</v>
      </c>
      <c r="L13" s="51">
        <v>42768</v>
      </c>
      <c r="M13" s="51">
        <v>42769</v>
      </c>
      <c r="N13" s="52">
        <f t="shared" si="3"/>
        <v>-1</v>
      </c>
      <c r="O13" s="50">
        <f t="shared" si="4"/>
        <v>0</v>
      </c>
      <c r="P13" s="50">
        <f t="shared" si="5"/>
        <v>0</v>
      </c>
      <c r="Q13" s="53"/>
      <c r="R13" s="316">
        <f t="shared" si="6"/>
        <v>0</v>
      </c>
      <c r="S13" s="316">
        <f t="shared" si="7"/>
        <v>0</v>
      </c>
      <c r="T13" s="316">
        <f t="shared" si="8"/>
        <v>0</v>
      </c>
      <c r="U13" s="316">
        <f t="shared" si="9"/>
        <v>0</v>
      </c>
      <c r="V13" s="316">
        <f t="shared" si="10"/>
        <v>0</v>
      </c>
      <c r="X13" s="336">
        <f t="shared" si="11"/>
        <v>-616.97476820226711</v>
      </c>
    </row>
    <row r="14" spans="1:24">
      <c r="A14" s="54">
        <v>3</v>
      </c>
      <c r="B14" s="54">
        <v>1133000012</v>
      </c>
      <c r="C14" s="56">
        <v>42735</v>
      </c>
      <c r="D14" s="57">
        <v>42705</v>
      </c>
      <c r="E14" s="50">
        <v>8626044.8608809095</v>
      </c>
      <c r="F14" s="50">
        <v>-665755.60761011392</v>
      </c>
      <c r="G14" s="50">
        <v>0</v>
      </c>
      <c r="H14" s="50">
        <f t="shared" si="0"/>
        <v>172520.89721761819</v>
      </c>
      <c r="I14" s="50">
        <f t="shared" si="1"/>
        <v>7787768.3560531773</v>
      </c>
      <c r="J14" s="50">
        <f t="shared" si="2"/>
        <v>9345322.0272638127</v>
      </c>
      <c r="K14" s="50">
        <f>+J14</f>
        <v>9345322.0272638127</v>
      </c>
      <c r="L14" s="51">
        <v>42797</v>
      </c>
      <c r="M14" s="51">
        <v>42811</v>
      </c>
      <c r="N14" s="52">
        <f t="shared" si="3"/>
        <v>-14</v>
      </c>
      <c r="O14" s="50">
        <f t="shared" si="4"/>
        <v>0</v>
      </c>
      <c r="P14" s="50">
        <f t="shared" si="5"/>
        <v>0</v>
      </c>
      <c r="Q14" s="53"/>
      <c r="R14" s="316">
        <f t="shared" si="6"/>
        <v>0</v>
      </c>
      <c r="S14" s="316">
        <f t="shared" si="7"/>
        <v>0</v>
      </c>
      <c r="T14" s="316">
        <f t="shared" si="8"/>
        <v>0</v>
      </c>
      <c r="U14" s="316">
        <f t="shared" si="9"/>
        <v>0</v>
      </c>
      <c r="V14" s="316">
        <f t="shared" si="10"/>
        <v>0</v>
      </c>
      <c r="X14" s="336">
        <f t="shared" si="11"/>
        <v>-18818.662164490146</v>
      </c>
    </row>
    <row r="15" spans="1:24">
      <c r="A15" s="54">
        <v>4</v>
      </c>
      <c r="B15" s="54">
        <v>1133000013</v>
      </c>
      <c r="C15" s="56">
        <v>42766</v>
      </c>
      <c r="D15" s="57">
        <v>42736</v>
      </c>
      <c r="E15" s="50">
        <v>6280153.9800000004</v>
      </c>
      <c r="F15" s="50">
        <f>-0.125*E15</f>
        <v>-785019.24750000006</v>
      </c>
      <c r="G15" s="50">
        <v>0</v>
      </c>
      <c r="H15" s="50">
        <f t="shared" si="0"/>
        <v>125603.07960000001</v>
      </c>
      <c r="I15" s="50">
        <f t="shared" si="1"/>
        <v>5369531.6529000001</v>
      </c>
      <c r="J15" s="50">
        <f t="shared" si="2"/>
        <v>6443437.9834799999</v>
      </c>
      <c r="K15" s="50">
        <f t="shared" ref="K15:K16" si="12">+J15</f>
        <v>6443437.9834799999</v>
      </c>
      <c r="L15" s="51">
        <v>42818</v>
      </c>
      <c r="M15" s="51">
        <v>42829</v>
      </c>
      <c r="N15" s="52">
        <f t="shared" si="3"/>
        <v>-11</v>
      </c>
      <c r="O15" s="50">
        <f t="shared" si="4"/>
        <v>0</v>
      </c>
      <c r="P15" s="50">
        <f t="shared" si="5"/>
        <v>0</v>
      </c>
      <c r="Q15" s="53"/>
      <c r="R15" s="316">
        <f t="shared" si="6"/>
        <v>0</v>
      </c>
      <c r="S15" s="316">
        <f t="shared" si="7"/>
        <v>0</v>
      </c>
      <c r="T15" s="316">
        <f t="shared" si="8"/>
        <v>0</v>
      </c>
      <c r="U15" s="316">
        <f t="shared" si="9"/>
        <v>0</v>
      </c>
      <c r="V15" s="316">
        <f t="shared" si="10"/>
        <v>0</v>
      </c>
      <c r="X15" s="336">
        <f t="shared" si="11"/>
        <v>-10194.754617697807</v>
      </c>
    </row>
    <row r="16" spans="1:24">
      <c r="A16" s="54">
        <v>5</v>
      </c>
      <c r="B16" s="54">
        <v>1133000014</v>
      </c>
      <c r="C16" s="56">
        <v>42794</v>
      </c>
      <c r="D16" s="57">
        <v>42767</v>
      </c>
      <c r="E16" s="50">
        <v>7532934.4500000002</v>
      </c>
      <c r="F16" s="50">
        <f>-0.125*E16</f>
        <v>-941616.80625000002</v>
      </c>
      <c r="G16" s="50">
        <v>0</v>
      </c>
      <c r="H16" s="50">
        <f t="shared" si="0"/>
        <v>150658.68900000001</v>
      </c>
      <c r="I16" s="50">
        <f t="shared" si="1"/>
        <v>6440658.9547499996</v>
      </c>
      <c r="J16" s="50">
        <f t="shared" si="2"/>
        <v>7728790.7456999999</v>
      </c>
      <c r="K16" s="50">
        <f t="shared" si="12"/>
        <v>7728790.7456999999</v>
      </c>
      <c r="L16" s="51">
        <v>42849</v>
      </c>
      <c r="M16" s="51">
        <v>42849</v>
      </c>
      <c r="N16" s="52">
        <f t="shared" si="3"/>
        <v>0</v>
      </c>
      <c r="O16" s="50">
        <f t="shared" si="4"/>
        <v>0</v>
      </c>
      <c r="P16" s="50">
        <f t="shared" si="5"/>
        <v>0</v>
      </c>
      <c r="Q16" s="53"/>
      <c r="R16" s="316">
        <f t="shared" si="6"/>
        <v>0</v>
      </c>
      <c r="S16" s="316">
        <f t="shared" si="7"/>
        <v>0</v>
      </c>
      <c r="T16" s="316">
        <f t="shared" si="8"/>
        <v>0</v>
      </c>
      <c r="U16" s="316">
        <f t="shared" si="9"/>
        <v>0</v>
      </c>
      <c r="V16" s="316">
        <f t="shared" si="10"/>
        <v>0</v>
      </c>
      <c r="X16" s="336">
        <f t="shared" si="11"/>
        <v>0</v>
      </c>
    </row>
    <row r="17" spans="1:24">
      <c r="A17" s="54">
        <v>6</v>
      </c>
      <c r="B17" s="54">
        <v>1133000015</v>
      </c>
      <c r="C17" s="56">
        <v>42825</v>
      </c>
      <c r="D17" s="57">
        <v>42795</v>
      </c>
      <c r="E17" s="50">
        <v>11074683.960000001</v>
      </c>
      <c r="F17" s="50">
        <f>-0.125*E17</f>
        <v>-1384335.4950000001</v>
      </c>
      <c r="G17" s="50">
        <v>0</v>
      </c>
      <c r="H17" s="50">
        <f t="shared" si="0"/>
        <v>221493.67920000001</v>
      </c>
      <c r="I17" s="50">
        <f t="shared" si="1"/>
        <v>9468854.7858000007</v>
      </c>
      <c r="J17" s="50">
        <f t="shared" si="2"/>
        <v>11362625.74296</v>
      </c>
      <c r="K17" s="50"/>
      <c r="L17" s="51">
        <v>42888</v>
      </c>
      <c r="M17" s="51"/>
      <c r="N17" s="52">
        <f t="shared" si="3"/>
        <v>-181</v>
      </c>
      <c r="O17" s="50">
        <f t="shared" si="4"/>
        <v>11362625.74296</v>
      </c>
      <c r="P17" s="50">
        <f t="shared" si="5"/>
        <v>11362625.74296</v>
      </c>
      <c r="Q17" s="53"/>
      <c r="R17" s="316">
        <f t="shared" si="6"/>
        <v>0</v>
      </c>
      <c r="S17" s="316">
        <f t="shared" si="7"/>
        <v>0</v>
      </c>
      <c r="T17" s="316">
        <f t="shared" si="8"/>
        <v>0</v>
      </c>
      <c r="U17" s="316">
        <f t="shared" si="9"/>
        <v>11362625.74296</v>
      </c>
      <c r="V17" s="316">
        <f t="shared" si="10"/>
        <v>0</v>
      </c>
      <c r="X17" s="336"/>
    </row>
    <row r="18" spans="1:24">
      <c r="A18" s="54">
        <v>7</v>
      </c>
      <c r="B18" s="54">
        <v>1133000016</v>
      </c>
      <c r="C18" s="58">
        <v>42855</v>
      </c>
      <c r="D18" s="57">
        <v>42826</v>
      </c>
      <c r="E18" s="50">
        <v>11895116.57</v>
      </c>
      <c r="F18" s="50">
        <f>-0.125*E18</f>
        <v>-1486889.57125</v>
      </c>
      <c r="G18" s="50">
        <v>0</v>
      </c>
      <c r="H18" s="50">
        <f t="shared" si="0"/>
        <v>237902.33140000002</v>
      </c>
      <c r="I18" s="50">
        <f t="shared" si="1"/>
        <v>10170324.667350002</v>
      </c>
      <c r="J18" s="50">
        <f t="shared" si="2"/>
        <v>12204389.600820001</v>
      </c>
      <c r="K18" s="50"/>
      <c r="L18" s="51">
        <v>42912</v>
      </c>
      <c r="M18" s="51"/>
      <c r="N18" s="52">
        <f t="shared" si="3"/>
        <v>-157</v>
      </c>
      <c r="O18" s="50">
        <f t="shared" si="4"/>
        <v>12204389.600820001</v>
      </c>
      <c r="P18" s="50">
        <f t="shared" si="5"/>
        <v>12204389.600820001</v>
      </c>
      <c r="Q18" s="53"/>
      <c r="R18" s="316">
        <f t="shared" si="6"/>
        <v>0</v>
      </c>
      <c r="S18" s="316">
        <f t="shared" si="7"/>
        <v>0</v>
      </c>
      <c r="T18" s="316">
        <f t="shared" si="8"/>
        <v>12204389.600820001</v>
      </c>
      <c r="U18" s="316">
        <f t="shared" si="9"/>
        <v>0</v>
      </c>
      <c r="V18" s="316">
        <f t="shared" si="10"/>
        <v>0</v>
      </c>
      <c r="X18" s="336"/>
    </row>
    <row r="19" spans="1:24">
      <c r="A19" s="54">
        <v>8</v>
      </c>
      <c r="B19" s="54">
        <v>1133000017</v>
      </c>
      <c r="C19" s="51">
        <v>42886</v>
      </c>
      <c r="D19" s="57">
        <v>42856</v>
      </c>
      <c r="E19" s="50">
        <v>11358269.310000001</v>
      </c>
      <c r="F19" s="50">
        <f>-0.125*E19</f>
        <v>-1419783.6637500001</v>
      </c>
      <c r="G19" s="50">
        <v>0</v>
      </c>
      <c r="H19" s="50">
        <f t="shared" si="0"/>
        <v>227165.38620000001</v>
      </c>
      <c r="I19" s="50">
        <f>+E19+F19-G19-H19</f>
        <v>9711320.2600500006</v>
      </c>
      <c r="J19" s="50">
        <f t="shared" si="2"/>
        <v>11653584.31206</v>
      </c>
      <c r="K19" s="50"/>
      <c r="L19" s="51">
        <v>42931</v>
      </c>
      <c r="M19" s="51"/>
      <c r="N19" s="52">
        <f t="shared" si="3"/>
        <v>-138</v>
      </c>
      <c r="O19" s="50">
        <f t="shared" si="4"/>
        <v>11653584.31206</v>
      </c>
      <c r="P19" s="50">
        <f t="shared" si="5"/>
        <v>11653584.31206</v>
      </c>
      <c r="Q19" s="53"/>
      <c r="R19" s="316">
        <f t="shared" si="6"/>
        <v>0</v>
      </c>
      <c r="S19" s="316">
        <f t="shared" si="7"/>
        <v>0</v>
      </c>
      <c r="T19" s="316">
        <f t="shared" si="8"/>
        <v>11653584.31206</v>
      </c>
      <c r="U19" s="316">
        <f t="shared" si="9"/>
        <v>0</v>
      </c>
      <c r="V19" s="316">
        <f t="shared" si="10"/>
        <v>0</v>
      </c>
      <c r="X19" s="336"/>
    </row>
    <row r="20" spans="1:24">
      <c r="A20" s="54">
        <v>9</v>
      </c>
      <c r="B20" s="54">
        <v>1133000018</v>
      </c>
      <c r="C20" s="51">
        <v>42916</v>
      </c>
      <c r="D20" s="57">
        <v>42795</v>
      </c>
      <c r="E20" s="50">
        <f t="shared" ref="E20:F22" si="13">-E17</f>
        <v>-11074683.960000001</v>
      </c>
      <c r="F20" s="50">
        <f t="shared" si="13"/>
        <v>1384335.4950000001</v>
      </c>
      <c r="G20" s="50">
        <v>0</v>
      </c>
      <c r="H20" s="50">
        <f t="shared" si="0"/>
        <v>-221493.67920000001</v>
      </c>
      <c r="I20" s="50">
        <f>+E20+F20-G20-H20</f>
        <v>-9468854.7858000007</v>
      </c>
      <c r="J20" s="50">
        <f t="shared" si="2"/>
        <v>-11362625.74296</v>
      </c>
      <c r="K20" s="50"/>
      <c r="L20" s="51">
        <v>42888</v>
      </c>
      <c r="M20" s="51"/>
      <c r="N20" s="52">
        <f t="shared" si="3"/>
        <v>-181</v>
      </c>
      <c r="O20" s="50">
        <f t="shared" si="4"/>
        <v>-11362625.74296</v>
      </c>
      <c r="P20" s="50">
        <f t="shared" si="5"/>
        <v>-11362625.74296</v>
      </c>
      <c r="Q20" s="53"/>
      <c r="R20" s="316">
        <f t="shared" si="6"/>
        <v>0</v>
      </c>
      <c r="S20" s="316">
        <f t="shared" si="7"/>
        <v>0</v>
      </c>
      <c r="T20" s="316">
        <f t="shared" si="8"/>
        <v>0</v>
      </c>
      <c r="U20" s="316">
        <f t="shared" si="9"/>
        <v>-11362625.74296</v>
      </c>
      <c r="V20" s="316">
        <f t="shared" si="10"/>
        <v>0</v>
      </c>
      <c r="X20" s="336"/>
    </row>
    <row r="21" spans="1:24">
      <c r="A21" s="54">
        <v>10</v>
      </c>
      <c r="B21" s="54">
        <v>1133000019</v>
      </c>
      <c r="C21" s="51">
        <v>42916</v>
      </c>
      <c r="D21" s="57">
        <v>42826</v>
      </c>
      <c r="E21" s="50">
        <f t="shared" si="13"/>
        <v>-11895116.57</v>
      </c>
      <c r="F21" s="50">
        <f t="shared" si="13"/>
        <v>1486889.57125</v>
      </c>
      <c r="G21" s="50">
        <v>0</v>
      </c>
      <c r="H21" s="50">
        <f t="shared" si="0"/>
        <v>-237902.33140000002</v>
      </c>
      <c r="I21" s="50">
        <f t="shared" ref="I21:I22" si="14">+E21+F21-G21-H21</f>
        <v>-10170324.667350002</v>
      </c>
      <c r="J21" s="50">
        <f t="shared" si="2"/>
        <v>-12204389.600820001</v>
      </c>
      <c r="K21" s="50"/>
      <c r="L21" s="51">
        <v>42912</v>
      </c>
      <c r="M21" s="51"/>
      <c r="N21" s="52">
        <f t="shared" si="3"/>
        <v>-157</v>
      </c>
      <c r="O21" s="50">
        <f t="shared" si="4"/>
        <v>-12204389.600820001</v>
      </c>
      <c r="P21" s="50">
        <f t="shared" si="5"/>
        <v>-12204389.600820001</v>
      </c>
      <c r="Q21" s="53"/>
      <c r="R21" s="316">
        <f t="shared" si="6"/>
        <v>0</v>
      </c>
      <c r="S21" s="316">
        <f t="shared" si="7"/>
        <v>0</v>
      </c>
      <c r="T21" s="316">
        <f t="shared" si="8"/>
        <v>-12204389.600820001</v>
      </c>
      <c r="U21" s="316">
        <f t="shared" si="9"/>
        <v>0</v>
      </c>
      <c r="V21" s="316">
        <f t="shared" si="10"/>
        <v>0</v>
      </c>
      <c r="X21" s="336"/>
    </row>
    <row r="22" spans="1:24">
      <c r="A22" s="54">
        <v>11</v>
      </c>
      <c r="B22" s="54">
        <v>1133000020</v>
      </c>
      <c r="C22" s="51">
        <v>42916</v>
      </c>
      <c r="D22" s="57">
        <v>42856</v>
      </c>
      <c r="E22" s="50">
        <f t="shared" si="13"/>
        <v>-11358269.310000001</v>
      </c>
      <c r="F22" s="50">
        <f t="shared" si="13"/>
        <v>1419783.6637500001</v>
      </c>
      <c r="G22" s="50">
        <v>0</v>
      </c>
      <c r="H22" s="50">
        <f t="shared" si="0"/>
        <v>-227165.38620000001</v>
      </c>
      <c r="I22" s="50">
        <f t="shared" si="14"/>
        <v>-9711320.2600500006</v>
      </c>
      <c r="J22" s="50">
        <f t="shared" si="2"/>
        <v>-11653584.31206</v>
      </c>
      <c r="K22" s="50"/>
      <c r="L22" s="51">
        <v>43084</v>
      </c>
      <c r="M22" s="51"/>
      <c r="N22" s="52">
        <f t="shared" si="3"/>
        <v>15</v>
      </c>
      <c r="O22" s="50">
        <f t="shared" si="4"/>
        <v>-11653584.31206</v>
      </c>
      <c r="P22" s="50">
        <f t="shared" si="5"/>
        <v>0</v>
      </c>
      <c r="Q22" s="53"/>
      <c r="R22" s="316">
        <f t="shared" si="6"/>
        <v>0</v>
      </c>
      <c r="S22" s="316">
        <f t="shared" si="7"/>
        <v>0</v>
      </c>
      <c r="T22" s="316">
        <f t="shared" si="8"/>
        <v>0</v>
      </c>
      <c r="U22" s="316">
        <f t="shared" si="9"/>
        <v>0</v>
      </c>
      <c r="V22" s="316">
        <f t="shared" si="10"/>
        <v>0</v>
      </c>
      <c r="X22" s="336"/>
    </row>
    <row r="23" spans="1:24" ht="17.25" thickBot="1">
      <c r="A23" s="54"/>
      <c r="B23" s="55"/>
      <c r="C23" s="56"/>
      <c r="D23" s="57"/>
      <c r="E23" s="50"/>
      <c r="F23" s="50"/>
      <c r="G23" s="50"/>
      <c r="H23" s="50"/>
      <c r="I23" s="50"/>
      <c r="J23" s="50"/>
      <c r="K23" s="50"/>
      <c r="L23" s="51"/>
      <c r="M23" s="51"/>
      <c r="N23" s="59"/>
      <c r="O23" s="50"/>
      <c r="P23" s="55"/>
      <c r="Q23" s="53"/>
      <c r="R23" s="316"/>
      <c r="S23" s="316"/>
      <c r="T23" s="316"/>
      <c r="U23" s="316"/>
      <c r="V23" s="316"/>
      <c r="X23" s="336"/>
    </row>
    <row r="24" spans="1:24" s="53" customFormat="1" ht="20.100000000000001" customHeight="1" thickBot="1">
      <c r="A24" s="60"/>
      <c r="B24" s="61" t="s">
        <v>58</v>
      </c>
      <c r="C24" s="61"/>
      <c r="D24" s="61"/>
      <c r="E24" s="62">
        <f t="shared" ref="E24:K24" si="15">SUM(E12:E23)</f>
        <v>30759539.060880907</v>
      </c>
      <c r="F24" s="62">
        <f t="shared" si="15"/>
        <v>-4332442.3759025335</v>
      </c>
      <c r="G24" s="62">
        <f t="shared" si="15"/>
        <v>0</v>
      </c>
      <c r="H24" s="62">
        <f t="shared" si="15"/>
        <v>615190.78121761791</v>
      </c>
      <c r="I24" s="62">
        <f t="shared" si="15"/>
        <v>25811905.903760754</v>
      </c>
      <c r="J24" s="62">
        <f t="shared" si="15"/>
        <v>30974287.084512904</v>
      </c>
      <c r="K24" s="62">
        <f t="shared" si="15"/>
        <v>30974287.084512904</v>
      </c>
      <c r="L24" s="63"/>
      <c r="M24" s="63"/>
      <c r="N24" s="63"/>
      <c r="O24" s="62">
        <f>SUM(O12:O23)</f>
        <v>0</v>
      </c>
      <c r="P24" s="64">
        <f>SUM(P12:P23)</f>
        <v>11653584.312060002</v>
      </c>
      <c r="R24" s="65">
        <f>SUM(R12:R23)</f>
        <v>0</v>
      </c>
      <c r="S24" s="65">
        <f>SUM(S12:S23)</f>
        <v>0</v>
      </c>
      <c r="T24" s="65">
        <f>SUM(T12:T23)</f>
        <v>11653584.312060002</v>
      </c>
      <c r="U24" s="65">
        <f>SUM(U12:U23)</f>
        <v>0</v>
      </c>
      <c r="V24" s="65">
        <f>SUM(V12:V23)</f>
        <v>0</v>
      </c>
      <c r="X24" s="65">
        <f>+SUM(X12:X23)</f>
        <v>-32363.808539373233</v>
      </c>
    </row>
    <row r="25" spans="1:24">
      <c r="A25" s="66"/>
      <c r="B25" s="67"/>
      <c r="C25" s="67"/>
      <c r="D25" s="68" t="s">
        <v>59</v>
      </c>
      <c r="E25" s="69">
        <f>+E24/$M$7</f>
        <v>0.11612776238577145</v>
      </c>
      <c r="F25" s="67"/>
      <c r="G25" s="67"/>
      <c r="H25" s="67">
        <f>+H24*1.2</f>
        <v>738228.9374611415</v>
      </c>
      <c r="I25" s="67"/>
      <c r="J25" s="68" t="s">
        <v>60</v>
      </c>
      <c r="K25" s="69">
        <f>+K24/J24</f>
        <v>1</v>
      </c>
      <c r="L25" s="67"/>
      <c r="M25" s="67"/>
      <c r="N25" s="67"/>
      <c r="O25" s="67"/>
      <c r="P25" s="70"/>
      <c r="Q25" s="53"/>
      <c r="R25" s="53"/>
      <c r="S25" s="53"/>
      <c r="T25" s="53"/>
      <c r="U25" s="53"/>
      <c r="V25" s="53"/>
    </row>
    <row r="26" spans="1:24" ht="17.25" thickBot="1">
      <c r="A26" s="71"/>
      <c r="B26" s="72"/>
      <c r="C26" s="72"/>
      <c r="D26" s="73" t="s">
        <v>61</v>
      </c>
      <c r="E26" s="74">
        <f>+$M$7-$E$24</f>
        <v>234117165.94871908</v>
      </c>
      <c r="F26" s="75">
        <f>+E26/M7</f>
        <v>0.88387223761422862</v>
      </c>
      <c r="G26" s="72"/>
      <c r="H26" s="72"/>
      <c r="I26" s="72"/>
      <c r="J26" s="72"/>
      <c r="K26" s="72"/>
      <c r="L26" s="72"/>
      <c r="M26" s="72"/>
      <c r="N26" s="72"/>
      <c r="O26" s="72"/>
      <c r="P26" s="76"/>
      <c r="Q26" s="53"/>
      <c r="R26" s="53"/>
      <c r="S26" s="53"/>
      <c r="T26" s="53"/>
      <c r="U26" s="53"/>
      <c r="V26" s="53"/>
    </row>
    <row r="27" spans="1:24">
      <c r="A27" s="53"/>
      <c r="B27" s="77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  <c r="N27" s="79"/>
      <c r="O27" s="53"/>
      <c r="P27" s="53"/>
      <c r="Q27" s="53"/>
      <c r="R27" s="53"/>
      <c r="S27" s="53"/>
      <c r="T27" s="53"/>
      <c r="U27" s="53"/>
      <c r="V27" s="53"/>
    </row>
    <row r="28" spans="1:24" ht="21">
      <c r="A28" s="53"/>
      <c r="B28" s="272"/>
      <c r="C28" s="80" t="s">
        <v>62</v>
      </c>
      <c r="D28" s="80"/>
      <c r="E28" s="80"/>
      <c r="F28" s="80"/>
      <c r="G28" s="80"/>
      <c r="H28" s="80"/>
      <c r="I28" s="81"/>
      <c r="J28" s="81"/>
      <c r="K28" s="81"/>
      <c r="L28" s="81"/>
      <c r="M28" s="81"/>
      <c r="N28" s="82"/>
      <c r="O28" s="53"/>
      <c r="P28" s="83"/>
      <c r="Q28" s="53"/>
      <c r="R28" s="53"/>
      <c r="S28" s="53"/>
      <c r="T28" s="53"/>
      <c r="U28" s="53"/>
      <c r="V28" s="53"/>
    </row>
    <row r="29" spans="1:24" ht="17.25" thickBot="1">
      <c r="A29" s="53"/>
      <c r="B29" s="272"/>
      <c r="C29" s="81"/>
      <c r="D29" s="81"/>
      <c r="E29" s="81"/>
      <c r="F29" s="81"/>
      <c r="G29" s="84"/>
      <c r="H29" s="81"/>
      <c r="I29" s="81"/>
      <c r="J29" s="81"/>
      <c r="K29" s="81"/>
      <c r="L29" s="81"/>
      <c r="M29" s="81"/>
      <c r="N29" s="82"/>
      <c r="O29" s="53"/>
      <c r="P29" s="83"/>
      <c r="Q29" s="53"/>
      <c r="R29" s="53"/>
      <c r="S29" s="53"/>
      <c r="T29" s="53"/>
      <c r="U29" s="53"/>
      <c r="V29" s="53"/>
    </row>
    <row r="30" spans="1:24" ht="17.25" thickBot="1">
      <c r="A30" s="53"/>
      <c r="B30" s="272"/>
      <c r="C30" s="357" t="s">
        <v>63</v>
      </c>
      <c r="D30" s="358"/>
      <c r="E30" s="359"/>
      <c r="F30" s="85" t="s">
        <v>64</v>
      </c>
      <c r="G30" s="86">
        <f>+M7</f>
        <v>264876705.00959998</v>
      </c>
      <c r="H30" s="85"/>
      <c r="I30" s="87"/>
      <c r="J30" s="85"/>
      <c r="K30" s="85"/>
      <c r="L30" s="85"/>
      <c r="M30" s="88"/>
      <c r="N30" s="89"/>
      <c r="O30" s="53"/>
      <c r="P30" s="53"/>
      <c r="Q30" s="53"/>
      <c r="R30" s="53"/>
      <c r="S30" s="53"/>
      <c r="T30" s="53"/>
      <c r="U30" s="53"/>
      <c r="V30" s="53"/>
    </row>
    <row r="31" spans="1:24" ht="17.25" thickBot="1">
      <c r="A31" s="53"/>
      <c r="B31" s="272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8"/>
      <c r="N31" s="89"/>
      <c r="O31" s="53"/>
      <c r="P31" s="53"/>
      <c r="Q31" s="53"/>
      <c r="R31" s="53"/>
      <c r="S31" s="53"/>
      <c r="T31" s="53"/>
      <c r="U31" s="53"/>
      <c r="V31" s="53"/>
    </row>
    <row r="32" spans="1:24" ht="17.25" thickBot="1">
      <c r="A32" s="53"/>
      <c r="B32" s="272"/>
      <c r="C32" s="360" t="s">
        <v>65</v>
      </c>
      <c r="D32" s="361"/>
      <c r="E32" s="362"/>
      <c r="F32" s="85" t="s">
        <v>64</v>
      </c>
      <c r="G32" s="90">
        <f>+E24</f>
        <v>30759539.060880907</v>
      </c>
      <c r="H32" s="85"/>
      <c r="I32" s="85"/>
      <c r="J32" s="91">
        <f>G32/G30</f>
        <v>0.11612776238577145</v>
      </c>
      <c r="K32" s="92" t="s">
        <v>66</v>
      </c>
      <c r="L32" s="93"/>
      <c r="M32" s="94"/>
      <c r="N32" s="89"/>
      <c r="O32" s="53"/>
      <c r="P32" s="53"/>
      <c r="Q32" s="53"/>
      <c r="R32" s="53"/>
      <c r="S32" s="53"/>
      <c r="T32" s="53"/>
      <c r="U32" s="53"/>
      <c r="V32" s="53"/>
    </row>
    <row r="33" spans="2:14" ht="17.25" thickBot="1">
      <c r="B33" s="273"/>
      <c r="C33" s="85"/>
      <c r="D33" s="85"/>
      <c r="E33" s="85"/>
      <c r="F33" s="85"/>
      <c r="G33" s="85"/>
      <c r="H33" s="85"/>
      <c r="I33" s="85"/>
      <c r="J33" s="85"/>
      <c r="K33" s="95"/>
      <c r="L33" s="85"/>
      <c r="M33" s="88"/>
      <c r="N33" s="89"/>
    </row>
    <row r="34" spans="2:14" ht="17.25" thickBot="1">
      <c r="B34" s="273"/>
      <c r="C34" s="350" t="s">
        <v>67</v>
      </c>
      <c r="D34" s="351"/>
      <c r="E34" s="352"/>
      <c r="F34" s="85" t="s">
        <v>68</v>
      </c>
      <c r="G34" s="96">
        <f>+K24</f>
        <v>30974287.084512904</v>
      </c>
      <c r="H34" s="85"/>
      <c r="I34" s="85"/>
      <c r="J34" s="97">
        <f>+G34/J24</f>
        <v>1</v>
      </c>
      <c r="K34" s="274" t="s">
        <v>69</v>
      </c>
      <c r="L34" s="98"/>
      <c r="M34" s="99"/>
      <c r="N34" s="89"/>
    </row>
    <row r="35" spans="2:14" ht="17.25" thickBot="1">
      <c r="B35" s="273"/>
      <c r="C35" s="85"/>
      <c r="D35" s="85"/>
      <c r="E35" s="85"/>
      <c r="F35" s="85"/>
      <c r="G35" s="85"/>
      <c r="H35" s="85"/>
      <c r="I35" s="85"/>
      <c r="J35" s="85"/>
      <c r="K35" s="95"/>
      <c r="L35" s="85"/>
      <c r="M35" s="88"/>
      <c r="N35" s="89"/>
    </row>
    <row r="36" spans="2:14" ht="17.25" thickBot="1">
      <c r="B36" s="273"/>
      <c r="C36" s="350" t="s">
        <v>70</v>
      </c>
      <c r="D36" s="351"/>
      <c r="E36" s="352"/>
      <c r="F36" s="85" t="s">
        <v>68</v>
      </c>
      <c r="G36" s="100">
        <f>+O24</f>
        <v>0</v>
      </c>
      <c r="H36" s="85"/>
      <c r="I36" s="85"/>
      <c r="J36" s="101">
        <f>+G36/J24</f>
        <v>0</v>
      </c>
      <c r="K36" s="274" t="s">
        <v>69</v>
      </c>
      <c r="L36" s="102"/>
      <c r="M36" s="103"/>
      <c r="N36" s="89"/>
    </row>
    <row r="37" spans="2:14" ht="17.25" thickBot="1">
      <c r="B37" s="273"/>
      <c r="C37" s="85"/>
      <c r="D37" s="85"/>
      <c r="E37" s="85"/>
      <c r="F37" s="85"/>
      <c r="G37" s="85"/>
      <c r="H37" s="85"/>
      <c r="I37" s="85"/>
      <c r="J37" s="85"/>
      <c r="K37" s="95"/>
      <c r="L37" s="85"/>
      <c r="M37" s="88"/>
      <c r="N37" s="89"/>
    </row>
    <row r="38" spans="2:14" ht="17.25" thickBot="1">
      <c r="B38" s="273"/>
      <c r="C38" s="350" t="s">
        <v>71</v>
      </c>
      <c r="D38" s="351"/>
      <c r="E38" s="352"/>
      <c r="F38" s="85" t="s">
        <v>68</v>
      </c>
      <c r="G38" s="104">
        <f>+P24</f>
        <v>11653584.312060002</v>
      </c>
      <c r="H38" s="85"/>
      <c r="I38" s="85"/>
      <c r="J38" s="105">
        <f>+G38/I24</f>
        <v>0.45148096988692699</v>
      </c>
      <c r="K38" s="274" t="s">
        <v>69</v>
      </c>
      <c r="L38" s="98"/>
      <c r="M38" s="99"/>
      <c r="N38" s="89"/>
    </row>
    <row r="39" spans="2:14" ht="17.25" thickBot="1">
      <c r="B39" s="106"/>
      <c r="C39" s="107"/>
      <c r="D39" s="107"/>
      <c r="E39" s="107"/>
      <c r="F39" s="107"/>
      <c r="G39" s="107"/>
      <c r="H39" s="107"/>
      <c r="I39" s="107"/>
      <c r="J39" s="107"/>
      <c r="K39" s="107"/>
      <c r="L39" s="107"/>
      <c r="M39" s="107"/>
      <c r="N39" s="108"/>
    </row>
    <row r="41" spans="2:14">
      <c r="H41" s="109"/>
    </row>
    <row r="42" spans="2:14">
      <c r="G42" s="110"/>
      <c r="H42" s="110"/>
    </row>
    <row r="43" spans="2:14">
      <c r="G43" s="110"/>
      <c r="H43" s="110"/>
    </row>
    <row r="44" spans="2:14">
      <c r="G44" s="110"/>
      <c r="H44" s="110"/>
    </row>
    <row r="45" spans="2:14">
      <c r="H45" s="109"/>
    </row>
    <row r="46" spans="2:14">
      <c r="H46" s="110"/>
    </row>
    <row r="47" spans="2:14">
      <c r="H47" s="109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C36:E36"/>
    <mergeCell ref="C38:E38"/>
    <mergeCell ref="M7:N7"/>
    <mergeCell ref="M8:N8"/>
    <mergeCell ref="O10:P10"/>
    <mergeCell ref="C30:E30"/>
    <mergeCell ref="C32:E32"/>
    <mergeCell ref="C34:E3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X255"/>
  <sheetViews>
    <sheetView workbookViewId="0"/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2" ht="21">
      <c r="A1" s="270" t="s">
        <v>11</v>
      </c>
      <c r="B1" s="165"/>
      <c r="C1" s="390" t="s">
        <v>108</v>
      </c>
      <c r="D1" s="390"/>
      <c r="E1" s="390"/>
      <c r="F1" s="392"/>
      <c r="G1" s="394" t="s">
        <v>12</v>
      </c>
      <c r="H1" s="395"/>
      <c r="I1" s="395"/>
      <c r="J1" s="396"/>
      <c r="K1" s="112" t="s">
        <v>13</v>
      </c>
      <c r="L1" s="113"/>
      <c r="M1" s="397">
        <f>144618017/1.2</f>
        <v>120515014.16666667</v>
      </c>
      <c r="N1" s="397"/>
      <c r="O1" s="114" t="s">
        <v>14</v>
      </c>
      <c r="P1" s="115"/>
    </row>
    <row r="2" spans="1:22" ht="21">
      <c r="A2" s="271"/>
      <c r="B2" s="121"/>
      <c r="C2" s="391"/>
      <c r="D2" s="391"/>
      <c r="E2" s="391"/>
      <c r="F2" s="393"/>
      <c r="G2" s="166" t="s">
        <v>15</v>
      </c>
      <c r="H2" s="167"/>
      <c r="I2" s="168">
        <v>90</v>
      </c>
      <c r="J2" s="169"/>
      <c r="K2" s="116" t="s">
        <v>16</v>
      </c>
      <c r="L2" s="117"/>
      <c r="M2" s="398"/>
      <c r="N2" s="398"/>
      <c r="O2" s="117"/>
      <c r="P2" s="118"/>
    </row>
    <row r="3" spans="1:22">
      <c r="A3" s="271" t="s">
        <v>17</v>
      </c>
      <c r="B3" s="121"/>
      <c r="C3" s="391"/>
      <c r="D3" s="391"/>
      <c r="E3" s="391"/>
      <c r="F3" s="119"/>
      <c r="G3" s="166" t="s">
        <v>19</v>
      </c>
      <c r="H3" s="167"/>
      <c r="I3" s="170" t="s">
        <v>20</v>
      </c>
      <c r="J3" s="171"/>
      <c r="K3" s="116" t="s">
        <v>109</v>
      </c>
      <c r="L3" s="117"/>
      <c r="M3" s="398"/>
      <c r="N3" s="398"/>
      <c r="O3" s="117"/>
      <c r="P3" s="118"/>
    </row>
    <row r="4" spans="1:22">
      <c r="A4" s="271"/>
      <c r="B4" s="121"/>
      <c r="C4" s="391"/>
      <c r="D4" s="391"/>
      <c r="E4" s="391"/>
      <c r="F4" s="120"/>
      <c r="G4" s="166" t="s">
        <v>22</v>
      </c>
      <c r="H4" s="167"/>
      <c r="I4" s="172">
        <v>0.2</v>
      </c>
      <c r="J4" s="171"/>
      <c r="K4" s="116"/>
      <c r="L4" s="117"/>
      <c r="M4" s="398"/>
      <c r="N4" s="398"/>
      <c r="O4" s="117"/>
      <c r="P4" s="118"/>
    </row>
    <row r="5" spans="1:22">
      <c r="A5" s="271" t="s">
        <v>24</v>
      </c>
      <c r="B5" s="121"/>
      <c r="C5" s="121"/>
      <c r="D5" s="122"/>
      <c r="E5" s="123"/>
      <c r="F5" s="124"/>
      <c r="G5" s="166" t="s">
        <v>25</v>
      </c>
      <c r="H5" s="167"/>
      <c r="I5" s="170"/>
      <c r="J5" s="171" t="s">
        <v>26</v>
      </c>
      <c r="K5" s="116"/>
      <c r="L5" s="117"/>
      <c r="M5" s="398"/>
      <c r="N5" s="398"/>
      <c r="O5" s="117"/>
      <c r="P5" s="118"/>
    </row>
    <row r="6" spans="1:22">
      <c r="A6" s="271" t="s">
        <v>86</v>
      </c>
      <c r="B6" s="121"/>
      <c r="C6" s="121"/>
      <c r="D6" s="174"/>
      <c r="E6" s="125"/>
      <c r="F6" s="126"/>
      <c r="G6" s="166"/>
      <c r="H6" s="170" t="s">
        <v>28</v>
      </c>
      <c r="I6" s="173">
        <v>0</v>
      </c>
      <c r="J6" s="171" t="s">
        <v>89</v>
      </c>
      <c r="K6" s="116" t="s">
        <v>110</v>
      </c>
      <c r="L6" s="117"/>
      <c r="M6" s="398"/>
      <c r="N6" s="398"/>
      <c r="O6" s="117"/>
      <c r="P6" s="118"/>
    </row>
    <row r="7" spans="1:22">
      <c r="A7" s="271" t="s">
        <v>87</v>
      </c>
      <c r="B7" s="121"/>
      <c r="C7" s="121"/>
      <c r="D7" s="174"/>
      <c r="E7" s="125"/>
      <c r="F7" s="126"/>
      <c r="G7" s="166"/>
      <c r="H7" s="170" t="s">
        <v>30</v>
      </c>
      <c r="I7" s="173">
        <v>0</v>
      </c>
      <c r="J7" s="171" t="s">
        <v>89</v>
      </c>
      <c r="K7" s="127" t="s">
        <v>31</v>
      </c>
      <c r="L7" s="128"/>
      <c r="M7" s="399">
        <f>SUM(M1:M6)</f>
        <v>120515014.16666667</v>
      </c>
      <c r="N7" s="399"/>
      <c r="O7" s="117"/>
      <c r="P7" s="118"/>
    </row>
    <row r="8" spans="1:22">
      <c r="A8" s="129" t="s">
        <v>88</v>
      </c>
      <c r="B8" s="130"/>
      <c r="C8" s="130"/>
      <c r="D8" s="175" t="s">
        <v>111</v>
      </c>
      <c r="E8" s="131"/>
      <c r="F8" s="132"/>
      <c r="G8" s="176"/>
      <c r="H8" s="177" t="s">
        <v>32</v>
      </c>
      <c r="I8" s="178">
        <v>0</v>
      </c>
      <c r="J8" s="179" t="s">
        <v>89</v>
      </c>
      <c r="K8" s="133" t="s">
        <v>33</v>
      </c>
      <c r="L8" s="134"/>
      <c r="M8" s="400">
        <f>+M7*(1+$I$4)</f>
        <v>144618017</v>
      </c>
      <c r="N8" s="400"/>
      <c r="O8" s="135"/>
      <c r="P8" s="136"/>
    </row>
    <row r="10" spans="1:22">
      <c r="B10" s="5" t="s">
        <v>34</v>
      </c>
      <c r="C10" s="137">
        <v>43094</v>
      </c>
      <c r="E10" s="44"/>
      <c r="F10" s="45">
        <v>0</v>
      </c>
      <c r="G10" s="46"/>
      <c r="O10" s="385" t="s">
        <v>35</v>
      </c>
      <c r="P10" s="386"/>
    </row>
    <row r="11" spans="1:22" ht="60">
      <c r="A11" s="180" t="s">
        <v>112</v>
      </c>
      <c r="B11" s="181" t="s">
        <v>37</v>
      </c>
      <c r="C11" s="181" t="s">
        <v>38</v>
      </c>
      <c r="D11" s="180" t="s">
        <v>39</v>
      </c>
      <c r="E11" s="181" t="s">
        <v>40</v>
      </c>
      <c r="F11" s="181" t="s">
        <v>41</v>
      </c>
      <c r="G11" s="181" t="s">
        <v>42</v>
      </c>
      <c r="H11" s="181" t="s">
        <v>43</v>
      </c>
      <c r="I11" s="181" t="s">
        <v>44</v>
      </c>
      <c r="J11" s="181" t="s">
        <v>45</v>
      </c>
      <c r="K11" s="181" t="s">
        <v>46</v>
      </c>
      <c r="L11" s="181" t="s">
        <v>47</v>
      </c>
      <c r="M11" s="181" t="s">
        <v>48</v>
      </c>
      <c r="N11" s="181" t="s">
        <v>49</v>
      </c>
      <c r="O11" s="181" t="s">
        <v>50</v>
      </c>
      <c r="P11" s="181" t="s">
        <v>51</v>
      </c>
      <c r="R11" s="278" t="s">
        <v>52</v>
      </c>
      <c r="S11" s="278" t="s">
        <v>53</v>
      </c>
      <c r="T11" s="278" t="s">
        <v>54</v>
      </c>
      <c r="U11" s="278" t="s">
        <v>55</v>
      </c>
      <c r="V11" s="278" t="s">
        <v>56</v>
      </c>
    </row>
    <row r="12" spans="1:22" s="282" customFormat="1">
      <c r="A12" s="279" t="s">
        <v>113</v>
      </c>
      <c r="B12" s="280"/>
      <c r="C12" s="280"/>
      <c r="D12" s="281"/>
      <c r="E12" s="280"/>
      <c r="F12" s="280"/>
      <c r="G12" s="280"/>
      <c r="H12" s="280"/>
      <c r="I12" s="280"/>
      <c r="J12" s="280"/>
      <c r="K12" s="280"/>
      <c r="L12" s="280"/>
      <c r="M12" s="280"/>
      <c r="N12" s="280"/>
      <c r="O12" s="280"/>
      <c r="P12" s="280"/>
      <c r="R12" s="283"/>
      <c r="S12" s="283"/>
      <c r="T12" s="283"/>
      <c r="U12" s="283"/>
      <c r="V12" s="283"/>
    </row>
    <row r="13" spans="1:22">
      <c r="A13" s="54" t="s">
        <v>114</v>
      </c>
      <c r="B13" s="55"/>
      <c r="C13" s="284"/>
      <c r="D13" s="57"/>
      <c r="E13" s="50">
        <f>57007.63/1.2</f>
        <v>47506.35833333333</v>
      </c>
      <c r="F13" s="50">
        <v>0</v>
      </c>
      <c r="G13" s="50">
        <v>0</v>
      </c>
      <c r="H13" s="50"/>
      <c r="I13" s="50">
        <f>+E13+F13-G13-H13</f>
        <v>47506.35833333333</v>
      </c>
      <c r="J13" s="50">
        <f>+I13+(I13*$I$4)</f>
        <v>57007.63</v>
      </c>
      <c r="K13" s="50">
        <v>57007.63</v>
      </c>
      <c r="L13" s="51"/>
      <c r="M13" s="51"/>
      <c r="N13" s="52">
        <f>-IF(L13=0,,IF(M13=0,($C$10-L13),M13-L13))</f>
        <v>0</v>
      </c>
      <c r="O13" s="50">
        <f>+J13-K13</f>
        <v>0</v>
      </c>
      <c r="P13" s="50">
        <f>+IF($C$10&lt;L13,0,O13)</f>
        <v>0</v>
      </c>
      <c r="Q13" s="53"/>
      <c r="R13" s="316">
        <f>IF(N13&gt;=0,0,(IF(-N13&lt;=60,O13,0)))</f>
        <v>0</v>
      </c>
      <c r="S13" s="316">
        <f>IF(N13&gt;=0,0,(IF(N13&gt;=-60,0,IF(-60&gt;=N13,IF(N13&gt;=-120,O13,0)))))</f>
        <v>0</v>
      </c>
      <c r="T13" s="316">
        <f>IF(N13&gt;=0,0,(IF(N13&gt;-60,0,IF(-60&gt;=N13,IF(N13&gt;=-120,0,IF(N13&gt;=-180,O13,0))))))</f>
        <v>0</v>
      </c>
      <c r="U13" s="316">
        <f>IF(N13&gt;=0,0,(IF(N13&gt;-60,0,IF(-60&gt;=N13,IF(N13&gt;-120,0,IF(N13&gt;=-180,0,IF(N13&gt;=-365,O13,0)))))))</f>
        <v>0</v>
      </c>
      <c r="V13" s="316">
        <f>IF(N13&gt;=0,0,IF(365&lt;-N13,O13,0))</f>
        <v>0</v>
      </c>
    </row>
    <row r="14" spans="1:22" s="290" customFormat="1" ht="15">
      <c r="A14" s="138"/>
      <c r="B14" s="143"/>
      <c r="C14" s="286"/>
      <c r="D14" s="140"/>
      <c r="E14" s="141">
        <f t="shared" ref="E14:K14" si="0">SUM(E13:E13)</f>
        <v>47506.35833333333</v>
      </c>
      <c r="F14" s="141">
        <f t="shared" si="0"/>
        <v>0</v>
      </c>
      <c r="G14" s="141">
        <f t="shared" si="0"/>
        <v>0</v>
      </c>
      <c r="H14" s="141">
        <f t="shared" si="0"/>
        <v>0</v>
      </c>
      <c r="I14" s="141">
        <f t="shared" si="0"/>
        <v>47506.35833333333</v>
      </c>
      <c r="J14" s="287">
        <f t="shared" si="0"/>
        <v>57007.63</v>
      </c>
      <c r="K14" s="287">
        <f t="shared" si="0"/>
        <v>57007.63</v>
      </c>
      <c r="L14" s="139"/>
      <c r="M14" s="139"/>
      <c r="N14" s="142"/>
      <c r="O14" s="141">
        <f>SUM(O13:O13)</f>
        <v>0</v>
      </c>
      <c r="P14" s="141">
        <f>SUM(P13:P13)</f>
        <v>0</v>
      </c>
      <c r="Q14" s="288"/>
      <c r="R14" s="289">
        <f>SUM(R13:R13)</f>
        <v>0</v>
      </c>
      <c r="S14" s="289">
        <f>SUM(S13:S13)</f>
        <v>0</v>
      </c>
      <c r="T14" s="289">
        <f>SUM(T13:T13)</f>
        <v>0</v>
      </c>
      <c r="U14" s="289">
        <f>SUM(U13:U13)</f>
        <v>0</v>
      </c>
      <c r="V14" s="289">
        <f>SUM(V13:V13)</f>
        <v>0</v>
      </c>
    </row>
    <row r="15" spans="1:22">
      <c r="A15" s="54" t="s">
        <v>115</v>
      </c>
      <c r="B15" s="55"/>
      <c r="C15" s="291"/>
      <c r="D15" s="57"/>
      <c r="E15" s="50">
        <f>837912.7/1.2</f>
        <v>698260.58333333337</v>
      </c>
      <c r="F15" s="50">
        <f>-E15*$F$10</f>
        <v>0</v>
      </c>
      <c r="G15" s="50">
        <f>E15*$G$10</f>
        <v>0</v>
      </c>
      <c r="H15" s="50"/>
      <c r="I15" s="50">
        <f>+E15+F15-G15-H15</f>
        <v>698260.58333333337</v>
      </c>
      <c r="J15" s="50">
        <f>+I15+(I15*$I$4)</f>
        <v>837912.70000000007</v>
      </c>
      <c r="K15" s="50">
        <v>837912.70000000007</v>
      </c>
      <c r="L15" s="51"/>
      <c r="M15" s="51"/>
      <c r="N15" s="52">
        <f>-IF(L15=0,,IF(M15=0,($C$10-L15),M15-L15))</f>
        <v>0</v>
      </c>
      <c r="O15" s="50">
        <f>+J15-K15</f>
        <v>0</v>
      </c>
      <c r="P15" s="50">
        <f>+IF($C$10&lt;L15,0,O15)</f>
        <v>0</v>
      </c>
      <c r="Q15" s="53"/>
      <c r="R15" s="316">
        <f>IF(N15&gt;=0,0,(IF(-N15&lt;=60,O15,0)))</f>
        <v>0</v>
      </c>
      <c r="S15" s="316">
        <f>IF(N15&gt;=0,0,(IF(N15&gt;=-60,0,IF(-60&gt;=N15,IF(N15&gt;=-120,O15,0)))))</f>
        <v>0</v>
      </c>
      <c r="T15" s="316">
        <f>IF(N15&gt;=0,0,(IF(N15&gt;-60,0,IF(-60&gt;=N15,IF(N15&gt;=-120,0,IF(N15&gt;=-180,O15,0))))))</f>
        <v>0</v>
      </c>
      <c r="U15" s="316">
        <f>IF(N15&gt;=0,0,(IF(N15&gt;-60,0,IF(-60&gt;=N15,IF(N15&gt;-120,0,IF(N15&gt;=-180,0,IF(N15&gt;=-365,O15,0)))))))</f>
        <v>0</v>
      </c>
      <c r="V15" s="316">
        <f>IF(N15&gt;=0,0,IF(365&lt;-N15,O15,0))</f>
        <v>0</v>
      </c>
    </row>
    <row r="16" spans="1:22" s="290" customFormat="1" ht="15">
      <c r="A16" s="138"/>
      <c r="B16" s="143"/>
      <c r="C16" s="286"/>
      <c r="D16" s="140"/>
      <c r="E16" s="141">
        <f t="shared" ref="E16:K16" si="1">SUM(E15:E15)</f>
        <v>698260.58333333337</v>
      </c>
      <c r="F16" s="141">
        <f t="shared" si="1"/>
        <v>0</v>
      </c>
      <c r="G16" s="141">
        <f t="shared" si="1"/>
        <v>0</v>
      </c>
      <c r="H16" s="141">
        <f t="shared" si="1"/>
        <v>0</v>
      </c>
      <c r="I16" s="141">
        <f t="shared" si="1"/>
        <v>698260.58333333337</v>
      </c>
      <c r="J16" s="287">
        <f t="shared" si="1"/>
        <v>837912.70000000007</v>
      </c>
      <c r="K16" s="287">
        <f t="shared" si="1"/>
        <v>837912.70000000007</v>
      </c>
      <c r="L16" s="139"/>
      <c r="M16" s="139"/>
      <c r="N16" s="142"/>
      <c r="O16" s="141">
        <f>SUM(O15:O15)</f>
        <v>0</v>
      </c>
      <c r="P16" s="141">
        <f>SUM(P15:P15)</f>
        <v>0</v>
      </c>
      <c r="Q16" s="288"/>
      <c r="R16" s="289">
        <f>SUM(R15:R15)</f>
        <v>0</v>
      </c>
      <c r="S16" s="289">
        <f>SUM(S15:S15)</f>
        <v>0</v>
      </c>
      <c r="T16" s="289">
        <f>SUM(T15:T15)</f>
        <v>0</v>
      </c>
      <c r="U16" s="289">
        <f>SUM(U15:U15)</f>
        <v>0</v>
      </c>
      <c r="V16" s="289">
        <f>SUM(V15:V15)</f>
        <v>0</v>
      </c>
    </row>
    <row r="17" spans="1:22">
      <c r="A17" s="54" t="s">
        <v>116</v>
      </c>
      <c r="B17" s="55"/>
      <c r="C17" s="291"/>
      <c r="D17" s="57"/>
      <c r="E17" s="50">
        <f>16017332.92/1.2</f>
        <v>13347777.433333334</v>
      </c>
      <c r="F17" s="50">
        <f>-E17*$F$10</f>
        <v>0</v>
      </c>
      <c r="G17" s="50">
        <f>E17*$G$10</f>
        <v>0</v>
      </c>
      <c r="H17" s="50"/>
      <c r="I17" s="50">
        <f>+E17+F17-G17-H17</f>
        <v>13347777.433333334</v>
      </c>
      <c r="J17" s="50">
        <f>+I17+(I17*$I$4)</f>
        <v>16017332.92</v>
      </c>
      <c r="K17" s="50">
        <v>16017332.92</v>
      </c>
      <c r="L17" s="51"/>
      <c r="M17" s="51"/>
      <c r="N17" s="52">
        <f>-IF(L17=0,,IF(M17=0,($C$10-L17),M17-L17))</f>
        <v>0</v>
      </c>
      <c r="O17" s="50">
        <f>+J17-K17</f>
        <v>0</v>
      </c>
      <c r="P17" s="50">
        <f>+IF($C$10&lt;L17,0,O17)</f>
        <v>0</v>
      </c>
      <c r="Q17" s="53"/>
      <c r="R17" s="316">
        <f>IF(N17&gt;=0,0,(IF(-N17&lt;=60,O17,0)))</f>
        <v>0</v>
      </c>
      <c r="S17" s="316">
        <f>IF(N17&gt;=0,0,(IF(N17&gt;=-60,0,IF(-60&gt;=N17,IF(N17&gt;=-120,O17,0)))))</f>
        <v>0</v>
      </c>
      <c r="T17" s="316">
        <f>IF(N17&gt;=0,0,(IF(N17&gt;-60,0,IF(-60&gt;=N17,IF(N17&gt;=-120,0,IF(N17&gt;=-180,O17,0))))))</f>
        <v>0</v>
      </c>
      <c r="U17" s="316">
        <f>IF(N17&gt;=0,0,(IF(N17&gt;-60,0,IF(-60&gt;=N17,IF(N17&gt;-120,0,IF(N17&gt;=-180,0,IF(N17&gt;=-365,O17,0)))))))</f>
        <v>0</v>
      </c>
      <c r="V17" s="316">
        <f>IF(N17&gt;=0,0,IF(365&lt;-N17,O17,0))</f>
        <v>0</v>
      </c>
    </row>
    <row r="18" spans="1:22" s="290" customFormat="1" ht="15">
      <c r="A18" s="138"/>
      <c r="B18" s="143"/>
      <c r="C18" s="286"/>
      <c r="D18" s="140"/>
      <c r="E18" s="141">
        <f t="shared" ref="E18:K18" si="2">SUM(E17:E17)</f>
        <v>13347777.433333334</v>
      </c>
      <c r="F18" s="141">
        <f t="shared" si="2"/>
        <v>0</v>
      </c>
      <c r="G18" s="141">
        <f t="shared" si="2"/>
        <v>0</v>
      </c>
      <c r="H18" s="141">
        <f t="shared" si="2"/>
        <v>0</v>
      </c>
      <c r="I18" s="141">
        <f t="shared" si="2"/>
        <v>13347777.433333334</v>
      </c>
      <c r="J18" s="287">
        <f t="shared" si="2"/>
        <v>16017332.92</v>
      </c>
      <c r="K18" s="287">
        <f t="shared" si="2"/>
        <v>16017332.92</v>
      </c>
      <c r="L18" s="139"/>
      <c r="M18" s="139"/>
      <c r="N18" s="142"/>
      <c r="O18" s="141">
        <f>SUM(O17:O17)</f>
        <v>0</v>
      </c>
      <c r="P18" s="141">
        <f>SUM(P17:P17)</f>
        <v>0</v>
      </c>
      <c r="Q18" s="288"/>
      <c r="R18" s="289">
        <f>SUM(R17:R17)</f>
        <v>0</v>
      </c>
      <c r="S18" s="289">
        <f>SUM(S17:S17)</f>
        <v>0</v>
      </c>
      <c r="T18" s="289">
        <f>SUM(T17:T17)</f>
        <v>0</v>
      </c>
      <c r="U18" s="289">
        <f>SUM(U17:U17)</f>
        <v>0</v>
      </c>
      <c r="V18" s="289">
        <f>SUM(V17:V17)</f>
        <v>0</v>
      </c>
    </row>
    <row r="19" spans="1:22">
      <c r="A19" s="54" t="s">
        <v>117</v>
      </c>
      <c r="B19" s="55"/>
      <c r="C19" s="291"/>
      <c r="D19" s="57"/>
      <c r="E19" s="50">
        <f>40800/1.2</f>
        <v>34000</v>
      </c>
      <c r="F19" s="50">
        <f>-E19*$F$10</f>
        <v>0</v>
      </c>
      <c r="G19" s="50">
        <f>E19*$G$10</f>
        <v>0</v>
      </c>
      <c r="H19" s="50"/>
      <c r="I19" s="50">
        <f>+E19+F19-G19-H19</f>
        <v>34000</v>
      </c>
      <c r="J19" s="50">
        <f>+I19+(I19*$I$4)</f>
        <v>40800</v>
      </c>
      <c r="K19" s="50">
        <v>40800</v>
      </c>
      <c r="L19" s="51"/>
      <c r="M19" s="51"/>
      <c r="N19" s="52">
        <f>-IF(L19=0,,IF(M19=0,($C$10-L19),M19-L19))</f>
        <v>0</v>
      </c>
      <c r="O19" s="50">
        <f>+J19-K19</f>
        <v>0</v>
      </c>
      <c r="P19" s="50">
        <f>+IF($C$10&lt;L19,0,O19)</f>
        <v>0</v>
      </c>
      <c r="Q19" s="53"/>
      <c r="R19" s="316">
        <f>IF(N19&gt;=0,0,(IF(-N19&lt;=60,O19,0)))</f>
        <v>0</v>
      </c>
      <c r="S19" s="316">
        <f>IF(N19&gt;=0,0,(IF(N19&gt;=-60,0,IF(-60&gt;=N19,IF(N19&gt;=-120,O19,0)))))</f>
        <v>0</v>
      </c>
      <c r="T19" s="316">
        <f>IF(N19&gt;=0,0,(IF(N19&gt;-60,0,IF(-60&gt;=N19,IF(N19&gt;=-120,0,IF(N19&gt;=-180,O19,0))))))</f>
        <v>0</v>
      </c>
      <c r="U19" s="316">
        <f>IF(N19&gt;=0,0,(IF(N19&gt;-60,0,IF(-60&gt;=N19,IF(N19&gt;-120,0,IF(N19&gt;=-180,0,IF(N19&gt;=-365,O19,0)))))))</f>
        <v>0</v>
      </c>
      <c r="V19" s="316">
        <f>IF(N19&gt;=0,0,IF(365&lt;-N19,O19,0))</f>
        <v>0</v>
      </c>
    </row>
    <row r="20" spans="1:22" s="290" customFormat="1" ht="15">
      <c r="A20" s="138"/>
      <c r="B20" s="143"/>
      <c r="C20" s="286"/>
      <c r="D20" s="140"/>
      <c r="E20" s="141">
        <f t="shared" ref="E20:K20" si="3">SUM(E19:E19)</f>
        <v>34000</v>
      </c>
      <c r="F20" s="141">
        <f t="shared" si="3"/>
        <v>0</v>
      </c>
      <c r="G20" s="141">
        <f t="shared" si="3"/>
        <v>0</v>
      </c>
      <c r="H20" s="141">
        <f t="shared" si="3"/>
        <v>0</v>
      </c>
      <c r="I20" s="141">
        <f t="shared" si="3"/>
        <v>34000</v>
      </c>
      <c r="J20" s="287">
        <f t="shared" si="3"/>
        <v>40800</v>
      </c>
      <c r="K20" s="287">
        <f t="shared" si="3"/>
        <v>40800</v>
      </c>
      <c r="L20" s="139"/>
      <c r="M20" s="139"/>
      <c r="N20" s="142"/>
      <c r="O20" s="141">
        <f>SUM(O19:O19)</f>
        <v>0</v>
      </c>
      <c r="P20" s="141">
        <f>SUM(P19:P19)</f>
        <v>0</v>
      </c>
      <c r="Q20" s="288"/>
      <c r="R20" s="289">
        <f>SUM(R19:R19)</f>
        <v>0</v>
      </c>
      <c r="S20" s="289">
        <f>SUM(S19:S19)</f>
        <v>0</v>
      </c>
      <c r="T20" s="289">
        <f>SUM(T19:T19)</f>
        <v>0</v>
      </c>
      <c r="U20" s="289">
        <f>SUM(U19:U19)</f>
        <v>0</v>
      </c>
      <c r="V20" s="289">
        <f>SUM(V19:V19)</f>
        <v>0</v>
      </c>
    </row>
    <row r="21" spans="1:22">
      <c r="A21" s="54" t="s">
        <v>118</v>
      </c>
      <c r="B21" s="55"/>
      <c r="C21" s="291"/>
      <c r="D21" s="57"/>
      <c r="E21" s="50">
        <f>6513634.2/1.2</f>
        <v>5428028.5</v>
      </c>
      <c r="F21" s="50">
        <f>-E21*$F$10</f>
        <v>0</v>
      </c>
      <c r="G21" s="50">
        <f>E21*$G$10</f>
        <v>0</v>
      </c>
      <c r="H21" s="50"/>
      <c r="I21" s="50">
        <f>+E21+F21-G21-H21</f>
        <v>5428028.5</v>
      </c>
      <c r="J21" s="50">
        <f>+I21+(I21*$I$4)</f>
        <v>6513634.2000000002</v>
      </c>
      <c r="K21" s="50">
        <v>6513634.2000000002</v>
      </c>
      <c r="L21" s="51"/>
      <c r="M21" s="51"/>
      <c r="N21" s="52">
        <f>-IF(L21=0,,IF(M21=0,($C$10-L21),M21-L21))</f>
        <v>0</v>
      </c>
      <c r="O21" s="50">
        <f>+J21-K21</f>
        <v>0</v>
      </c>
      <c r="P21" s="50">
        <f>+IF($C$10&lt;L21,0,O21)</f>
        <v>0</v>
      </c>
      <c r="Q21" s="53"/>
      <c r="R21" s="316">
        <f>IF(N21&gt;=0,0,(IF(-N21&lt;=60,O21,0)))</f>
        <v>0</v>
      </c>
      <c r="S21" s="316">
        <f>IF(N21&gt;=0,0,(IF(N21&gt;=-60,0,IF(-60&gt;=N21,IF(N21&gt;=-120,O21,0)))))</f>
        <v>0</v>
      </c>
      <c r="T21" s="316">
        <f>IF(N21&gt;=0,0,(IF(N21&gt;-60,0,IF(-60&gt;=N21,IF(N21&gt;=-120,0,IF(N21&gt;=-180,O21,0))))))</f>
        <v>0</v>
      </c>
      <c r="U21" s="316">
        <f>IF(N21&gt;=0,0,(IF(N21&gt;-60,0,IF(-60&gt;=N21,IF(N21&gt;-120,0,IF(N21&gt;=-180,0,IF(N21&gt;=-365,O21,0)))))))</f>
        <v>0</v>
      </c>
      <c r="V21" s="316">
        <f>IF(N21&gt;=0,0,IF(365&lt;-N21,O21,0))</f>
        <v>0</v>
      </c>
    </row>
    <row r="22" spans="1:22" s="290" customFormat="1" ht="15">
      <c r="A22" s="138"/>
      <c r="B22" s="143"/>
      <c r="C22" s="286"/>
      <c r="D22" s="140"/>
      <c r="E22" s="141">
        <f t="shared" ref="E22:K22" si="4">SUM(E21:E21)</f>
        <v>5428028.5</v>
      </c>
      <c r="F22" s="141">
        <f t="shared" si="4"/>
        <v>0</v>
      </c>
      <c r="G22" s="141">
        <f t="shared" si="4"/>
        <v>0</v>
      </c>
      <c r="H22" s="141">
        <f t="shared" si="4"/>
        <v>0</v>
      </c>
      <c r="I22" s="141">
        <f t="shared" si="4"/>
        <v>5428028.5</v>
      </c>
      <c r="J22" s="287">
        <f t="shared" si="4"/>
        <v>6513634.2000000002</v>
      </c>
      <c r="K22" s="287">
        <f t="shared" si="4"/>
        <v>6513634.2000000002</v>
      </c>
      <c r="L22" s="139"/>
      <c r="M22" s="139"/>
      <c r="N22" s="142"/>
      <c r="O22" s="141">
        <f>SUM(O21:O21)</f>
        <v>0</v>
      </c>
      <c r="P22" s="141">
        <f>SUM(P21:P21)</f>
        <v>0</v>
      </c>
      <c r="Q22" s="288"/>
      <c r="R22" s="289">
        <f>SUM(R21:R21)</f>
        <v>0</v>
      </c>
      <c r="S22" s="289">
        <f>SUM(S21:S21)</f>
        <v>0</v>
      </c>
      <c r="T22" s="289">
        <f>SUM(T21:T21)</f>
        <v>0</v>
      </c>
      <c r="U22" s="289">
        <f>SUM(U21:U21)</f>
        <v>0</v>
      </c>
      <c r="V22" s="289">
        <f>SUM(V21:V21)</f>
        <v>0</v>
      </c>
    </row>
    <row r="23" spans="1:22">
      <c r="A23" s="54" t="s">
        <v>119</v>
      </c>
      <c r="B23" s="55"/>
      <c r="C23" s="56"/>
      <c r="D23" s="57"/>
      <c r="E23" s="50">
        <v>1210</v>
      </c>
      <c r="F23" s="50">
        <f>-E23*$F$10</f>
        <v>0</v>
      </c>
      <c r="G23" s="50">
        <f>E23*$G$10</f>
        <v>0</v>
      </c>
      <c r="H23" s="50"/>
      <c r="I23" s="50">
        <f>+E23+F23-G23-H23</f>
        <v>1210</v>
      </c>
      <c r="J23" s="50">
        <f>+I23+(I23*$I$4)</f>
        <v>1452</v>
      </c>
      <c r="K23" s="50">
        <v>1452</v>
      </c>
      <c r="L23" s="51"/>
      <c r="M23" s="51"/>
      <c r="N23" s="52">
        <f>-IF(L23=0,,IF(M23=0,($C$10-L23),M23-L23))</f>
        <v>0</v>
      </c>
      <c r="O23" s="50">
        <f>+J23-K23</f>
        <v>0</v>
      </c>
      <c r="P23" s="50">
        <f>+IF($C$10&lt;L23,0,O23)</f>
        <v>0</v>
      </c>
      <c r="Q23" s="53"/>
      <c r="R23" s="316">
        <f>IF(N23&gt;=0,0,(IF(-N23&lt;=60,O23,0)))</f>
        <v>0</v>
      </c>
      <c r="S23" s="316">
        <f>IF(N23&gt;=0,0,(IF(N23&gt;=-60,0,IF(-60&gt;=N23,IF(N23&gt;=-120,O23,0)))))</f>
        <v>0</v>
      </c>
      <c r="T23" s="316">
        <f>IF(N23&gt;=0,0,(IF(N23&gt;-60,0,IF(-60&gt;=N23,IF(N23&gt;=-120,0,IF(N23&gt;=-180,O23,0))))))</f>
        <v>0</v>
      </c>
      <c r="U23" s="316">
        <f>IF(N23&gt;=0,0,(IF(N23&gt;-60,0,IF(-60&gt;=N23,IF(N23&gt;-120,0,IF(N23&gt;=-180,0,IF(N23&gt;=-365,O23,0)))))))</f>
        <v>0</v>
      </c>
      <c r="V23" s="316">
        <f>IF(N23&gt;=0,0,IF(365&lt;-N23,O23,0))</f>
        <v>0</v>
      </c>
    </row>
    <row r="24" spans="1:22" s="290" customFormat="1" ht="15">
      <c r="A24" s="138"/>
      <c r="B24" s="138"/>
      <c r="C24" s="286"/>
      <c r="D24" s="140"/>
      <c r="E24" s="141">
        <f t="shared" ref="E24:K24" si="5">SUM(E23:E23)</f>
        <v>1210</v>
      </c>
      <c r="F24" s="141">
        <f t="shared" si="5"/>
        <v>0</v>
      </c>
      <c r="G24" s="141">
        <f t="shared" si="5"/>
        <v>0</v>
      </c>
      <c r="H24" s="141">
        <f t="shared" si="5"/>
        <v>0</v>
      </c>
      <c r="I24" s="141">
        <f t="shared" si="5"/>
        <v>1210</v>
      </c>
      <c r="J24" s="287">
        <f t="shared" si="5"/>
        <v>1452</v>
      </c>
      <c r="K24" s="287">
        <f t="shared" si="5"/>
        <v>1452</v>
      </c>
      <c r="L24" s="139"/>
      <c r="M24" s="139"/>
      <c r="N24" s="142"/>
      <c r="O24" s="141">
        <f>SUM(O23:O23)</f>
        <v>0</v>
      </c>
      <c r="P24" s="141">
        <f>SUM(P23:P23)</f>
        <v>0</v>
      </c>
      <c r="Q24" s="292"/>
      <c r="R24" s="337">
        <f>SUM(R23:R23)</f>
        <v>0</v>
      </c>
      <c r="S24" s="337">
        <f>SUM(S23:S23)</f>
        <v>0</v>
      </c>
      <c r="T24" s="337">
        <f>SUM(T23:T23)</f>
        <v>0</v>
      </c>
      <c r="U24" s="337">
        <f>SUM(U23:U23)</f>
        <v>0</v>
      </c>
      <c r="V24" s="337">
        <f>SUM(V23:V23)</f>
        <v>0</v>
      </c>
    </row>
    <row r="25" spans="1:22">
      <c r="A25" s="54" t="s">
        <v>120</v>
      </c>
      <c r="B25" s="54"/>
      <c r="C25" s="56"/>
      <c r="D25" s="57"/>
      <c r="E25" s="50">
        <v>10925</v>
      </c>
      <c r="F25" s="50">
        <f>-E25*$F$10</f>
        <v>0</v>
      </c>
      <c r="G25" s="50">
        <f>E25*$G$10</f>
        <v>0</v>
      </c>
      <c r="H25" s="50"/>
      <c r="I25" s="50">
        <f>+E25+F25-G25-H25</f>
        <v>10925</v>
      </c>
      <c r="J25" s="50">
        <f>+I25+(I25*$I$4)</f>
        <v>13110</v>
      </c>
      <c r="K25" s="50">
        <v>13110</v>
      </c>
      <c r="L25" s="51"/>
      <c r="M25" s="51"/>
      <c r="N25" s="52">
        <f>-IF(L25=0,,IF(M25=0,($C$10-L25),M25-L25))</f>
        <v>0</v>
      </c>
      <c r="O25" s="50">
        <f>+J25-K25</f>
        <v>0</v>
      </c>
      <c r="P25" s="50">
        <f>+IF($C$10&lt;L25,0,O25)</f>
        <v>0</v>
      </c>
      <c r="Q25" s="53"/>
      <c r="R25" s="316">
        <f>IF(N25&gt;=0,0,(IF(-N25&lt;=60,O25,0)))</f>
        <v>0</v>
      </c>
      <c r="S25" s="316">
        <f>IF(N25&gt;=0,0,(IF(N25&gt;=-60,0,IF(-60&gt;=N25,IF(N25&gt;=-120,O25,0)))))</f>
        <v>0</v>
      </c>
      <c r="T25" s="316">
        <f>IF(N25&gt;=0,0,(IF(N25&gt;-60,0,IF(-60&gt;=N25,IF(N25&gt;=-120,0,IF(N25&gt;=-180,O25,0))))))</f>
        <v>0</v>
      </c>
      <c r="U25" s="316">
        <f>IF(N25&gt;=0,0,(IF(N25&gt;-60,0,IF(-60&gt;=N25,IF(N25&gt;-120,0,IF(N25&gt;=-180,0,IF(N25&gt;=-365,O25,0)))))))</f>
        <v>0</v>
      </c>
      <c r="V25" s="316">
        <f>IF(N25&gt;=0,0,IF(365&lt;-N25,O25,0))</f>
        <v>0</v>
      </c>
    </row>
    <row r="26" spans="1:22" s="290" customFormat="1" ht="15">
      <c r="A26" s="138"/>
      <c r="B26" s="138"/>
      <c r="C26" s="286"/>
      <c r="D26" s="140"/>
      <c r="E26" s="141">
        <f t="shared" ref="E26:K26" si="6">SUM(E25:E25)</f>
        <v>10925</v>
      </c>
      <c r="F26" s="141">
        <f t="shared" si="6"/>
        <v>0</v>
      </c>
      <c r="G26" s="141">
        <f t="shared" si="6"/>
        <v>0</v>
      </c>
      <c r="H26" s="141">
        <f t="shared" si="6"/>
        <v>0</v>
      </c>
      <c r="I26" s="141">
        <f t="shared" si="6"/>
        <v>10925</v>
      </c>
      <c r="J26" s="287">
        <f t="shared" si="6"/>
        <v>13110</v>
      </c>
      <c r="K26" s="287">
        <f t="shared" si="6"/>
        <v>13110</v>
      </c>
      <c r="L26" s="139"/>
      <c r="M26" s="139"/>
      <c r="N26" s="142"/>
      <c r="O26" s="141">
        <f>SUM(O25:O25)</f>
        <v>0</v>
      </c>
      <c r="P26" s="141">
        <f>SUM(P25:P25)</f>
        <v>0</v>
      </c>
      <c r="Q26" s="292"/>
      <c r="R26" s="337">
        <f>SUM(R25:R25)</f>
        <v>0</v>
      </c>
      <c r="S26" s="337">
        <f>SUM(S25:S25)</f>
        <v>0</v>
      </c>
      <c r="T26" s="337">
        <f>SUM(T25:T25)</f>
        <v>0</v>
      </c>
      <c r="U26" s="337">
        <f>SUM(U25:U25)</f>
        <v>0</v>
      </c>
      <c r="V26" s="337">
        <f>SUM(V25:V25)</f>
        <v>0</v>
      </c>
    </row>
    <row r="27" spans="1:22">
      <c r="A27" s="54" t="s">
        <v>121</v>
      </c>
      <c r="B27" s="54"/>
      <c r="C27" s="56"/>
      <c r="D27" s="57"/>
      <c r="E27" s="50">
        <v>712200</v>
      </c>
      <c r="F27" s="50">
        <f>-E27*$F$10</f>
        <v>0</v>
      </c>
      <c r="G27" s="50">
        <f>E27*$G$10</f>
        <v>0</v>
      </c>
      <c r="H27" s="50"/>
      <c r="I27" s="50">
        <f>+E27+F27-G27-H27</f>
        <v>712200</v>
      </c>
      <c r="J27" s="50">
        <f>+I27+(I27*$I$4)</f>
        <v>854640</v>
      </c>
      <c r="K27" s="50">
        <v>854640</v>
      </c>
      <c r="L27" s="51"/>
      <c r="M27" s="51"/>
      <c r="N27" s="52">
        <f>-IF(L27=0,,IF(M27=0,($C$10-L27),M27-L27))</f>
        <v>0</v>
      </c>
      <c r="O27" s="50">
        <f>+J27-K27</f>
        <v>0</v>
      </c>
      <c r="P27" s="50">
        <f>+IF($C$10&lt;L27,0,O27)</f>
        <v>0</v>
      </c>
      <c r="Q27" s="53"/>
      <c r="R27" s="316">
        <f>IF(N27&gt;=0,0,(IF(-N27&lt;=60,O27,0)))</f>
        <v>0</v>
      </c>
      <c r="S27" s="316">
        <f>IF(N27&gt;=0,0,(IF(N27&gt;=-60,0,IF(-60&gt;=N27,IF(N27&gt;=-120,O27,0)))))</f>
        <v>0</v>
      </c>
      <c r="T27" s="316">
        <f>IF(N27&gt;=0,0,(IF(N27&gt;-60,0,IF(-60&gt;=N27,IF(N27&gt;=-120,0,IF(N27&gt;=-180,O27,0))))))</f>
        <v>0</v>
      </c>
      <c r="U27" s="316">
        <f>IF(N27&gt;=0,0,(IF(N27&gt;-60,0,IF(-60&gt;=N27,IF(N27&gt;-120,0,IF(N27&gt;=-180,0,IF(N27&gt;=-365,O27,0)))))))</f>
        <v>0</v>
      </c>
      <c r="V27" s="316">
        <f>IF(N27&gt;=0,0,IF(365&lt;-N27,O27,0))</f>
        <v>0</v>
      </c>
    </row>
    <row r="28" spans="1:22" s="290" customFormat="1" ht="15">
      <c r="A28" s="138"/>
      <c r="B28" s="143"/>
      <c r="C28" s="286"/>
      <c r="D28" s="140"/>
      <c r="E28" s="141">
        <f t="shared" ref="E28:K28" si="7">SUM(E27:E27)</f>
        <v>712200</v>
      </c>
      <c r="F28" s="141">
        <f t="shared" si="7"/>
        <v>0</v>
      </c>
      <c r="G28" s="141">
        <f t="shared" si="7"/>
        <v>0</v>
      </c>
      <c r="H28" s="141">
        <f t="shared" si="7"/>
        <v>0</v>
      </c>
      <c r="I28" s="141">
        <f t="shared" si="7"/>
        <v>712200</v>
      </c>
      <c r="J28" s="287">
        <f t="shared" si="7"/>
        <v>854640</v>
      </c>
      <c r="K28" s="287">
        <f t="shared" si="7"/>
        <v>854640</v>
      </c>
      <c r="L28" s="139"/>
      <c r="M28" s="139"/>
      <c r="N28" s="142"/>
      <c r="O28" s="141">
        <f>SUM(O27)</f>
        <v>0</v>
      </c>
      <c r="P28" s="141">
        <f>SUM(P27)</f>
        <v>0</v>
      </c>
      <c r="Q28" s="292"/>
      <c r="R28" s="337">
        <f>SUM(R27)</f>
        <v>0</v>
      </c>
      <c r="S28" s="337">
        <f>SUM(S27)</f>
        <v>0</v>
      </c>
      <c r="T28" s="337">
        <f>SUM(T27)</f>
        <v>0</v>
      </c>
      <c r="U28" s="337">
        <f>SUM(U27)</f>
        <v>0</v>
      </c>
      <c r="V28" s="337">
        <f>SUM(V27)</f>
        <v>0</v>
      </c>
    </row>
    <row r="29" spans="1:22">
      <c r="A29" s="54" t="s">
        <v>122</v>
      </c>
      <c r="B29" s="54"/>
      <c r="C29" s="56"/>
      <c r="D29" s="57"/>
      <c r="E29" s="50">
        <f>38745/1.2</f>
        <v>32287.5</v>
      </c>
      <c r="F29" s="50">
        <f>-E29*$F$10</f>
        <v>0</v>
      </c>
      <c r="G29" s="50">
        <f>E29*$G$10</f>
        <v>0</v>
      </c>
      <c r="H29" s="50"/>
      <c r="I29" s="50">
        <f>+E29+F29-G29-H29</f>
        <v>32287.5</v>
      </c>
      <c r="J29" s="50">
        <f>+I29+(I29*$I$4)</f>
        <v>38745</v>
      </c>
      <c r="K29" s="50">
        <v>38745</v>
      </c>
      <c r="L29" s="51"/>
      <c r="M29" s="51"/>
      <c r="N29" s="52">
        <f>-IF(L29=0,,IF(M29=0,($C$10-L29),M29-L29))</f>
        <v>0</v>
      </c>
      <c r="O29" s="50">
        <f>+J29-K29</f>
        <v>0</v>
      </c>
      <c r="P29" s="50">
        <f>+IF($C$10&lt;L29,0,O29)</f>
        <v>0</v>
      </c>
      <c r="Q29" s="53"/>
      <c r="R29" s="316">
        <f>IF(N29&gt;=0,0,(IF(-N29&lt;=60,O29,0)))</f>
        <v>0</v>
      </c>
      <c r="S29" s="316">
        <f>IF(N29&gt;=0,0,(IF(N29&gt;=-60,0,IF(-60&gt;=N29,IF(N29&gt;=-120,O29,0)))))</f>
        <v>0</v>
      </c>
      <c r="T29" s="316">
        <f>IF(N29&gt;=0,0,(IF(N29&gt;-60,0,IF(-60&gt;=N29,IF(N29&gt;=-120,0,IF(N29&gt;=-180,O29,0))))))</f>
        <v>0</v>
      </c>
      <c r="U29" s="316">
        <f>IF(N29&gt;=0,0,(IF(N29&gt;-60,0,IF(-60&gt;=N29,IF(N29&gt;-120,0,IF(N29&gt;=-180,0,IF(N29&gt;=-365,O29,0)))))))</f>
        <v>0</v>
      </c>
      <c r="V29" s="316">
        <f>IF(N29&gt;=0,0,IF(365&lt;-N29,O29,0))</f>
        <v>0</v>
      </c>
    </row>
    <row r="30" spans="1:22" s="290" customFormat="1" ht="15">
      <c r="A30" s="138"/>
      <c r="B30" s="138"/>
      <c r="C30" s="286"/>
      <c r="D30" s="140"/>
      <c r="E30" s="141">
        <f t="shared" ref="E30:K30" si="8">SUM(E29:E29)</f>
        <v>32287.5</v>
      </c>
      <c r="F30" s="141">
        <f t="shared" si="8"/>
        <v>0</v>
      </c>
      <c r="G30" s="141">
        <f t="shared" si="8"/>
        <v>0</v>
      </c>
      <c r="H30" s="141">
        <f t="shared" si="8"/>
        <v>0</v>
      </c>
      <c r="I30" s="141">
        <f t="shared" si="8"/>
        <v>32287.5</v>
      </c>
      <c r="J30" s="287">
        <f t="shared" si="8"/>
        <v>38745</v>
      </c>
      <c r="K30" s="287">
        <f t="shared" si="8"/>
        <v>38745</v>
      </c>
      <c r="L30" s="139"/>
      <c r="M30" s="139"/>
      <c r="N30" s="142"/>
      <c r="O30" s="141">
        <f>SUM(O29:O29)</f>
        <v>0</v>
      </c>
      <c r="P30" s="141">
        <f>SUM(P29:P29)</f>
        <v>0</v>
      </c>
      <c r="Q30" s="292"/>
      <c r="R30" s="337">
        <f>SUM(R29:R29)</f>
        <v>0</v>
      </c>
      <c r="S30" s="337">
        <f>SUM(S29:S29)</f>
        <v>0</v>
      </c>
      <c r="T30" s="337">
        <f>SUM(T29:T29)</f>
        <v>0</v>
      </c>
      <c r="U30" s="337">
        <f>SUM(U29:U29)</f>
        <v>0</v>
      </c>
      <c r="V30" s="337">
        <f>SUM(V29:V29)</f>
        <v>0</v>
      </c>
    </row>
    <row r="31" spans="1:22">
      <c r="A31" s="54" t="s">
        <v>123</v>
      </c>
      <c r="B31" s="54"/>
      <c r="C31" s="56"/>
      <c r="D31" s="57"/>
      <c r="E31" s="50">
        <f>99450/1.2</f>
        <v>82875</v>
      </c>
      <c r="F31" s="50">
        <f>-E31*$F$10</f>
        <v>0</v>
      </c>
      <c r="G31" s="50">
        <f>E31*$G$10</f>
        <v>0</v>
      </c>
      <c r="H31" s="50"/>
      <c r="I31" s="50">
        <f>+E31+F31-G31-H31</f>
        <v>82875</v>
      </c>
      <c r="J31" s="50">
        <f>+I31+(I31*$I$4)</f>
        <v>99450</v>
      </c>
      <c r="K31" s="50">
        <v>99450</v>
      </c>
      <c r="L31" s="51"/>
      <c r="M31" s="51"/>
      <c r="N31" s="52">
        <f>-IF(L31=0,,IF(M31=0,($C$10-L31),M31-L31))</f>
        <v>0</v>
      </c>
      <c r="O31" s="50">
        <f>+J31-K31</f>
        <v>0</v>
      </c>
      <c r="P31" s="50">
        <f>+IF($C$10&lt;L31,0,O31)</f>
        <v>0</v>
      </c>
      <c r="Q31" s="53"/>
      <c r="R31" s="316">
        <f>IF(N31&gt;=0,0,(IF(-N31&lt;=60,O31,0)))</f>
        <v>0</v>
      </c>
      <c r="S31" s="316">
        <f>IF(N31&gt;=0,0,(IF(N31&gt;=-60,0,IF(-60&gt;=N31,IF(N31&gt;=-120,O31,0)))))</f>
        <v>0</v>
      </c>
      <c r="T31" s="316">
        <f>IF(N31&gt;=0,0,(IF(N31&gt;-60,0,IF(-60&gt;=N31,IF(N31&gt;=-120,0,IF(N31&gt;=-180,O31,0))))))</f>
        <v>0</v>
      </c>
      <c r="U31" s="316">
        <f>IF(N31&gt;=0,0,(IF(N31&gt;-60,0,IF(-60&gt;=N31,IF(N31&gt;-120,0,IF(N31&gt;=-180,0,IF(N31&gt;=-365,O31,0)))))))</f>
        <v>0</v>
      </c>
      <c r="V31" s="316">
        <f>IF(N31&gt;=0,0,IF(365&lt;-N31,O31,0))</f>
        <v>0</v>
      </c>
    </row>
    <row r="32" spans="1:22" s="290" customFormat="1" ht="15">
      <c r="A32" s="138"/>
      <c r="B32" s="143"/>
      <c r="C32" s="286"/>
      <c r="D32" s="140"/>
      <c r="E32" s="141">
        <f t="shared" ref="E32:K32" si="9">SUM(E31:E31)</f>
        <v>82875</v>
      </c>
      <c r="F32" s="141">
        <f t="shared" si="9"/>
        <v>0</v>
      </c>
      <c r="G32" s="141">
        <f t="shared" si="9"/>
        <v>0</v>
      </c>
      <c r="H32" s="141">
        <f t="shared" si="9"/>
        <v>0</v>
      </c>
      <c r="I32" s="141">
        <f t="shared" si="9"/>
        <v>82875</v>
      </c>
      <c r="J32" s="287">
        <f t="shared" si="9"/>
        <v>99450</v>
      </c>
      <c r="K32" s="287">
        <f t="shared" si="9"/>
        <v>99450</v>
      </c>
      <c r="L32" s="139"/>
      <c r="M32" s="139"/>
      <c r="N32" s="142"/>
      <c r="O32" s="141">
        <f>SUM(O31)</f>
        <v>0</v>
      </c>
      <c r="P32" s="141">
        <f>SUM(P31)</f>
        <v>0</v>
      </c>
      <c r="Q32" s="292"/>
      <c r="R32" s="337">
        <f>SUM(R31)</f>
        <v>0</v>
      </c>
      <c r="S32" s="337">
        <f>SUM(S31)</f>
        <v>0</v>
      </c>
      <c r="T32" s="337">
        <f>SUM(T31)</f>
        <v>0</v>
      </c>
      <c r="U32" s="337">
        <f>SUM(U31)</f>
        <v>0</v>
      </c>
      <c r="V32" s="337">
        <f>SUM(V31)</f>
        <v>0</v>
      </c>
    </row>
    <row r="33" spans="1:22">
      <c r="A33" s="54" t="s">
        <v>124</v>
      </c>
      <c r="B33" s="54"/>
      <c r="C33" s="56"/>
      <c r="D33" s="57"/>
      <c r="E33" s="50">
        <f>4408816.22/1.2</f>
        <v>3674013.5166666666</v>
      </c>
      <c r="F33" s="50">
        <f>-E33*$F$10</f>
        <v>0</v>
      </c>
      <c r="G33" s="50">
        <f>E33*$G$10</f>
        <v>0</v>
      </c>
      <c r="H33" s="50"/>
      <c r="I33" s="50">
        <f>+E33+F33-G33-H33</f>
        <v>3674013.5166666666</v>
      </c>
      <c r="J33" s="50">
        <f>+I33+(I33*$I$4)</f>
        <v>4408816.22</v>
      </c>
      <c r="K33" s="50">
        <v>4408816.22</v>
      </c>
      <c r="L33" s="51"/>
      <c r="M33" s="51"/>
      <c r="N33" s="52">
        <f>-IF(L33=0,,IF(M33=0,($C$10-L33),M33-L33))</f>
        <v>0</v>
      </c>
      <c r="O33" s="50">
        <f>+J33-K33</f>
        <v>0</v>
      </c>
      <c r="P33" s="50">
        <f>+IF($C$10&lt;L33,0,O33)</f>
        <v>0</v>
      </c>
      <c r="Q33" s="53"/>
      <c r="R33" s="316">
        <f>IF(N33&gt;=0,0,(IF(-N33&lt;=60,O33,0)))</f>
        <v>0</v>
      </c>
      <c r="S33" s="316">
        <f>IF(N33&gt;=0,0,(IF(N33&gt;=-60,0,IF(-60&gt;=N33,IF(N33&gt;=-120,O33,0)))))</f>
        <v>0</v>
      </c>
      <c r="T33" s="316">
        <f>IF(N33&gt;=0,0,(IF(N33&gt;-60,0,IF(-60&gt;=N33,IF(N33&gt;=-120,0,IF(N33&gt;=-180,O33,0))))))</f>
        <v>0</v>
      </c>
      <c r="U33" s="316">
        <f>IF(N33&gt;=0,0,(IF(N33&gt;-60,0,IF(-60&gt;=N33,IF(N33&gt;-120,0,IF(N33&gt;=-180,0,IF(N33&gt;=-365,O33,0)))))))</f>
        <v>0</v>
      </c>
      <c r="V33" s="316">
        <f>IF(N33&gt;=0,0,IF(365&lt;-N33,O33,0))</f>
        <v>0</v>
      </c>
    </row>
    <row r="34" spans="1:22" s="290" customFormat="1" ht="15">
      <c r="A34" s="138"/>
      <c r="B34" s="143"/>
      <c r="C34" s="286"/>
      <c r="D34" s="140"/>
      <c r="E34" s="141">
        <f t="shared" ref="E34:K34" si="10">SUM(E33:E33)</f>
        <v>3674013.5166666666</v>
      </c>
      <c r="F34" s="141">
        <f t="shared" si="10"/>
        <v>0</v>
      </c>
      <c r="G34" s="141">
        <f t="shared" si="10"/>
        <v>0</v>
      </c>
      <c r="H34" s="141">
        <f t="shared" si="10"/>
        <v>0</v>
      </c>
      <c r="I34" s="141">
        <f t="shared" si="10"/>
        <v>3674013.5166666666</v>
      </c>
      <c r="J34" s="287">
        <f t="shared" si="10"/>
        <v>4408816.22</v>
      </c>
      <c r="K34" s="287">
        <f t="shared" si="10"/>
        <v>4408816.22</v>
      </c>
      <c r="L34" s="139"/>
      <c r="M34" s="139"/>
      <c r="N34" s="142"/>
      <c r="O34" s="141">
        <f>SUM(O33:O33)</f>
        <v>0</v>
      </c>
      <c r="P34" s="141">
        <f>SUM(P33:P33)</f>
        <v>0</v>
      </c>
      <c r="Q34" s="292"/>
      <c r="R34" s="337">
        <f>SUM(R33:R33)</f>
        <v>0</v>
      </c>
      <c r="S34" s="337">
        <f>SUM(S33:S33)</f>
        <v>0</v>
      </c>
      <c r="T34" s="337">
        <f>SUM(T33:T33)</f>
        <v>0</v>
      </c>
      <c r="U34" s="337">
        <f>SUM(U33:U33)</f>
        <v>0</v>
      </c>
      <c r="V34" s="337">
        <f>SUM(V33:V33)</f>
        <v>0</v>
      </c>
    </row>
    <row r="35" spans="1:22">
      <c r="A35" s="54" t="s">
        <v>125</v>
      </c>
      <c r="B35" s="54"/>
      <c r="C35" s="56"/>
      <c r="D35" s="57"/>
      <c r="E35" s="50">
        <f>111614.4/1.2</f>
        <v>93012</v>
      </c>
      <c r="F35" s="50">
        <f>-E35*$F$10</f>
        <v>0</v>
      </c>
      <c r="G35" s="50">
        <f>E35*$G$10</f>
        <v>0</v>
      </c>
      <c r="H35" s="50"/>
      <c r="I35" s="50">
        <f>+E35+F35-G35-H35</f>
        <v>93012</v>
      </c>
      <c r="J35" s="50">
        <f>+I35+(I35*$I$4)</f>
        <v>111614.39999999999</v>
      </c>
      <c r="K35" s="50">
        <v>111614.39999999999</v>
      </c>
      <c r="L35" s="51"/>
      <c r="M35" s="51"/>
      <c r="N35" s="52">
        <f>-IF(L35=0,,IF(M35=0,($C$10-L35),M35-L35))</f>
        <v>0</v>
      </c>
      <c r="O35" s="50">
        <f>+J35-K35</f>
        <v>0</v>
      </c>
      <c r="P35" s="50">
        <f>+IF($C$10&lt;L35,0,O35)</f>
        <v>0</v>
      </c>
      <c r="Q35" s="53"/>
      <c r="R35" s="316">
        <f>IF(N35&gt;=0,0,(IF(-N35&lt;=60,O35,0)))</f>
        <v>0</v>
      </c>
      <c r="S35" s="316">
        <f>IF(N35&gt;=0,0,(IF(N35&gt;=-60,0,IF(-60&gt;=N35,IF(N35&gt;=-120,O35,0)))))</f>
        <v>0</v>
      </c>
      <c r="T35" s="316">
        <f>IF(N35&gt;=0,0,(IF(N35&gt;-60,0,IF(-60&gt;=N35,IF(N35&gt;=-120,0,IF(N35&gt;=-180,O35,0))))))</f>
        <v>0</v>
      </c>
      <c r="U35" s="316">
        <f>IF(N35&gt;=0,0,(IF(N35&gt;-60,0,IF(-60&gt;=N35,IF(N35&gt;-120,0,IF(N35&gt;=-180,0,IF(N35&gt;=-365,O35,0)))))))</f>
        <v>0</v>
      </c>
      <c r="V35" s="316">
        <f>IF(N35&gt;=0,0,IF(365&lt;-N35,O35,0))</f>
        <v>0</v>
      </c>
    </row>
    <row r="36" spans="1:22" s="290" customFormat="1" ht="15">
      <c r="A36" s="138"/>
      <c r="B36" s="143"/>
      <c r="C36" s="286"/>
      <c r="D36" s="140"/>
      <c r="E36" s="141">
        <f t="shared" ref="E36:K36" si="11">SUM(E35:E35)</f>
        <v>93012</v>
      </c>
      <c r="F36" s="141">
        <f t="shared" si="11"/>
        <v>0</v>
      </c>
      <c r="G36" s="141">
        <f t="shared" si="11"/>
        <v>0</v>
      </c>
      <c r="H36" s="141">
        <f t="shared" si="11"/>
        <v>0</v>
      </c>
      <c r="I36" s="141">
        <f t="shared" si="11"/>
        <v>93012</v>
      </c>
      <c r="J36" s="287">
        <f t="shared" si="11"/>
        <v>111614.39999999999</v>
      </c>
      <c r="K36" s="287">
        <f t="shared" si="11"/>
        <v>111614.39999999999</v>
      </c>
      <c r="L36" s="139"/>
      <c r="M36" s="139"/>
      <c r="N36" s="142"/>
      <c r="O36" s="141">
        <f>SUM(O35:O35)</f>
        <v>0</v>
      </c>
      <c r="P36" s="141">
        <f>SUM(P35:P35)</f>
        <v>0</v>
      </c>
      <c r="Q36" s="292"/>
      <c r="R36" s="337">
        <f>SUM(R35:R35)</f>
        <v>0</v>
      </c>
      <c r="S36" s="337">
        <f>SUM(S35:S35)</f>
        <v>0</v>
      </c>
      <c r="T36" s="337">
        <f>SUM(T35:T35)</f>
        <v>0</v>
      </c>
      <c r="U36" s="337">
        <f>SUM(U35:U35)</f>
        <v>0</v>
      </c>
      <c r="V36" s="337">
        <f>SUM(V35:V35)</f>
        <v>0</v>
      </c>
    </row>
    <row r="37" spans="1:22">
      <c r="A37" s="54" t="s">
        <v>126</v>
      </c>
      <c r="B37" s="54"/>
      <c r="C37" s="56"/>
      <c r="D37" s="57"/>
      <c r="E37" s="50">
        <f>460667.32/1.2</f>
        <v>383889.43333333335</v>
      </c>
      <c r="F37" s="50">
        <f>-E37*$F$10</f>
        <v>0</v>
      </c>
      <c r="G37" s="50">
        <f>E37*$G$10</f>
        <v>0</v>
      </c>
      <c r="H37" s="50"/>
      <c r="I37" s="50">
        <f>+E37+F37-G37-H37</f>
        <v>383889.43333333335</v>
      </c>
      <c r="J37" s="50">
        <f>+I37+(I37*$I$4)</f>
        <v>460667.32</v>
      </c>
      <c r="K37" s="50">
        <v>460667.32</v>
      </c>
      <c r="L37" s="51"/>
      <c r="M37" s="51"/>
      <c r="N37" s="52">
        <f>-IF(L37=0,,IF(M37=0,($C$10-L37),M37-L37))</f>
        <v>0</v>
      </c>
      <c r="O37" s="50">
        <f>+J37-K37</f>
        <v>0</v>
      </c>
      <c r="P37" s="50">
        <f>+IF($C$10&lt;L37,0,O37)</f>
        <v>0</v>
      </c>
      <c r="Q37" s="53"/>
      <c r="R37" s="316">
        <f>IF(N37&gt;=0,0,(IF(-N37&lt;=60,O37,0)))</f>
        <v>0</v>
      </c>
      <c r="S37" s="316">
        <f>IF(N37&gt;=0,0,(IF(N37&gt;=-60,0,IF(-60&gt;=N37,IF(N37&gt;=-120,O37,0)))))</f>
        <v>0</v>
      </c>
      <c r="T37" s="316">
        <f>IF(N37&gt;=0,0,(IF(N37&gt;-60,0,IF(-60&gt;=N37,IF(N37&gt;=-120,0,IF(N37&gt;=-180,O37,0))))))</f>
        <v>0</v>
      </c>
      <c r="U37" s="316">
        <f>IF(N37&gt;=0,0,(IF(N37&gt;-60,0,IF(-60&gt;=N37,IF(N37&gt;-120,0,IF(N37&gt;=-180,0,IF(N37&gt;=-365,O37,0)))))))</f>
        <v>0</v>
      </c>
      <c r="V37" s="316">
        <f>IF(N37&gt;=0,0,IF(365&lt;-N37,O37,0))</f>
        <v>0</v>
      </c>
    </row>
    <row r="38" spans="1:22" s="290" customFormat="1" ht="15">
      <c r="A38" s="138"/>
      <c r="B38" s="143"/>
      <c r="C38" s="286"/>
      <c r="D38" s="140"/>
      <c r="E38" s="141">
        <f t="shared" ref="E38:K38" si="12">SUM(E37:E37)</f>
        <v>383889.43333333335</v>
      </c>
      <c r="F38" s="141">
        <f t="shared" si="12"/>
        <v>0</v>
      </c>
      <c r="G38" s="141">
        <f t="shared" si="12"/>
        <v>0</v>
      </c>
      <c r="H38" s="141">
        <f t="shared" si="12"/>
        <v>0</v>
      </c>
      <c r="I38" s="141">
        <f t="shared" si="12"/>
        <v>383889.43333333335</v>
      </c>
      <c r="J38" s="287">
        <f t="shared" si="12"/>
        <v>460667.32</v>
      </c>
      <c r="K38" s="287">
        <f t="shared" si="12"/>
        <v>460667.32</v>
      </c>
      <c r="L38" s="139"/>
      <c r="M38" s="139"/>
      <c r="N38" s="142"/>
      <c r="O38" s="141">
        <f>SUM(O37:O37)</f>
        <v>0</v>
      </c>
      <c r="P38" s="141">
        <f>SUM(P37:P37)</f>
        <v>0</v>
      </c>
      <c r="Q38" s="292"/>
      <c r="R38" s="337">
        <f>SUM(R37:R37)</f>
        <v>0</v>
      </c>
      <c r="S38" s="337">
        <f>SUM(S37:S37)</f>
        <v>0</v>
      </c>
      <c r="T38" s="337">
        <f>SUM(T37:T37)</f>
        <v>0</v>
      </c>
      <c r="U38" s="337">
        <f>SUM(U37:U37)</f>
        <v>0</v>
      </c>
      <c r="V38" s="337">
        <f>SUM(V37:V37)</f>
        <v>0</v>
      </c>
    </row>
    <row r="39" spans="1:22">
      <c r="A39" s="54" t="s">
        <v>127</v>
      </c>
      <c r="B39" s="54"/>
      <c r="C39" s="56"/>
      <c r="D39" s="57"/>
      <c r="E39" s="50">
        <f>25864354.31/1.2</f>
        <v>21553628.591666665</v>
      </c>
      <c r="F39" s="50">
        <f>-E39*$F$10</f>
        <v>0</v>
      </c>
      <c r="G39" s="50">
        <f>E39*$G$10</f>
        <v>0</v>
      </c>
      <c r="H39" s="50"/>
      <c r="I39" s="50">
        <f>+E39+F39-G39-H39</f>
        <v>21553628.591666665</v>
      </c>
      <c r="J39" s="50">
        <f>+I39+(I39*$I$4)</f>
        <v>25864354.309999999</v>
      </c>
      <c r="K39" s="50">
        <v>25864354.309999999</v>
      </c>
      <c r="L39" s="51"/>
      <c r="M39" s="51"/>
      <c r="N39" s="52">
        <f>-IF(L39=0,,IF(M39=0,($C$10-L39),M39-L39))</f>
        <v>0</v>
      </c>
      <c r="O39" s="50">
        <f>+J39-K39</f>
        <v>0</v>
      </c>
      <c r="P39" s="50">
        <f>+IF($C$10&lt;L39,0,O39)</f>
        <v>0</v>
      </c>
      <c r="Q39" s="53"/>
      <c r="R39" s="316">
        <f>IF(N39&gt;=0,0,(IF(-N39&lt;=60,O39,0)))</f>
        <v>0</v>
      </c>
      <c r="S39" s="316">
        <f>IF(N39&gt;=0,0,(IF(N39&gt;=-60,0,IF(-60&gt;=N39,IF(N39&gt;=-120,O39,0)))))</f>
        <v>0</v>
      </c>
      <c r="T39" s="316">
        <f>IF(N39&gt;=0,0,(IF(N39&gt;-60,0,IF(-60&gt;=N39,IF(N39&gt;=-120,0,IF(N39&gt;=-180,O39,0))))))</f>
        <v>0</v>
      </c>
      <c r="U39" s="316">
        <f>IF(N39&gt;=0,0,(IF(N39&gt;-60,0,IF(-60&gt;=N39,IF(N39&gt;-120,0,IF(N39&gt;=-180,0,IF(N39&gt;=-365,O39,0)))))))</f>
        <v>0</v>
      </c>
      <c r="V39" s="316">
        <f>IF(N39&gt;=0,0,IF(365&lt;-N39,O39,0))</f>
        <v>0</v>
      </c>
    </row>
    <row r="40" spans="1:22" s="290" customFormat="1" ht="15">
      <c r="A40" s="138"/>
      <c r="B40" s="143"/>
      <c r="C40" s="286"/>
      <c r="D40" s="140"/>
      <c r="E40" s="141">
        <f t="shared" ref="E40:K40" si="13">SUM(E39:E39)</f>
        <v>21553628.591666665</v>
      </c>
      <c r="F40" s="141">
        <f t="shared" si="13"/>
        <v>0</v>
      </c>
      <c r="G40" s="141">
        <f t="shared" si="13"/>
        <v>0</v>
      </c>
      <c r="H40" s="141">
        <f t="shared" si="13"/>
        <v>0</v>
      </c>
      <c r="I40" s="141">
        <f t="shared" si="13"/>
        <v>21553628.591666665</v>
      </c>
      <c r="J40" s="287">
        <f t="shared" si="13"/>
        <v>25864354.309999999</v>
      </c>
      <c r="K40" s="287">
        <f t="shared" si="13"/>
        <v>25864354.309999999</v>
      </c>
      <c r="L40" s="139"/>
      <c r="M40" s="139"/>
      <c r="N40" s="142"/>
      <c r="O40" s="141">
        <f>SUM(O39:O39)</f>
        <v>0</v>
      </c>
      <c r="P40" s="141">
        <f>SUM(P39:P39)</f>
        <v>0</v>
      </c>
      <c r="Q40" s="292"/>
      <c r="R40" s="337">
        <f>SUM(R39:R39)</f>
        <v>0</v>
      </c>
      <c r="S40" s="337">
        <f>SUM(S39:S39)</f>
        <v>0</v>
      </c>
      <c r="T40" s="337">
        <f>SUM(T39:T39)</f>
        <v>0</v>
      </c>
      <c r="U40" s="337">
        <f>SUM(U39:U39)</f>
        <v>0</v>
      </c>
      <c r="V40" s="337">
        <f>SUM(V39:V39)</f>
        <v>0</v>
      </c>
    </row>
    <row r="41" spans="1:22">
      <c r="A41" s="54" t="s">
        <v>128</v>
      </c>
      <c r="B41" s="54"/>
      <c r="C41" s="56"/>
      <c r="D41" s="57"/>
      <c r="E41" s="50">
        <f>67259.25/1.2</f>
        <v>56049.375</v>
      </c>
      <c r="F41" s="50">
        <f>-E41*$F$10</f>
        <v>0</v>
      </c>
      <c r="G41" s="50">
        <f>E41*$G$10</f>
        <v>0</v>
      </c>
      <c r="H41" s="50"/>
      <c r="I41" s="50">
        <f>+E41+F41-G41-H41</f>
        <v>56049.375</v>
      </c>
      <c r="J41" s="50">
        <f>+I41+(I41*$I$4)</f>
        <v>67259.25</v>
      </c>
      <c r="K41" s="50">
        <v>67259.25</v>
      </c>
      <c r="L41" s="51"/>
      <c r="M41" s="51"/>
      <c r="N41" s="52">
        <f>-IF(L41=0,,IF(M41=0,($C$10-L41),M41-L41))</f>
        <v>0</v>
      </c>
      <c r="O41" s="50">
        <f>+J41-K41</f>
        <v>0</v>
      </c>
      <c r="P41" s="50">
        <f>+IF($C$10&lt;L41,0,O41)</f>
        <v>0</v>
      </c>
      <c r="Q41" s="53"/>
      <c r="R41" s="316">
        <f>IF(N41&gt;=0,0,(IF(-N41&lt;=60,O41,0)))</f>
        <v>0</v>
      </c>
      <c r="S41" s="316">
        <f>IF(N41&gt;=0,0,(IF(N41&gt;=-60,0,IF(-60&gt;=N41,IF(N41&gt;=-120,O41,0)))))</f>
        <v>0</v>
      </c>
      <c r="T41" s="316">
        <f>IF(N41&gt;=0,0,(IF(N41&gt;-60,0,IF(-60&gt;=N41,IF(N41&gt;=-120,0,IF(N41&gt;=-180,O41,0))))))</f>
        <v>0</v>
      </c>
      <c r="U41" s="316">
        <f>IF(N41&gt;=0,0,(IF(N41&gt;-60,0,IF(-60&gt;=N41,IF(N41&gt;-120,0,IF(N41&gt;=-180,0,IF(N41&gt;=-365,O41,0)))))))</f>
        <v>0</v>
      </c>
      <c r="V41" s="316">
        <f>IF(N41&gt;=0,0,IF(365&lt;-N41,O41,0))</f>
        <v>0</v>
      </c>
    </row>
    <row r="42" spans="1:22" s="290" customFormat="1" ht="15">
      <c r="A42" s="138"/>
      <c r="B42" s="143"/>
      <c r="C42" s="286"/>
      <c r="D42" s="140"/>
      <c r="E42" s="141">
        <f t="shared" ref="E42:K42" si="14">SUM(E41:E41)</f>
        <v>56049.375</v>
      </c>
      <c r="F42" s="141">
        <f t="shared" si="14"/>
        <v>0</v>
      </c>
      <c r="G42" s="141">
        <f t="shared" si="14"/>
        <v>0</v>
      </c>
      <c r="H42" s="141">
        <f t="shared" si="14"/>
        <v>0</v>
      </c>
      <c r="I42" s="141">
        <f t="shared" si="14"/>
        <v>56049.375</v>
      </c>
      <c r="J42" s="287">
        <f t="shared" si="14"/>
        <v>67259.25</v>
      </c>
      <c r="K42" s="287">
        <f t="shared" si="14"/>
        <v>67259.25</v>
      </c>
      <c r="L42" s="139"/>
      <c r="M42" s="139"/>
      <c r="N42" s="142"/>
      <c r="O42" s="141">
        <f>SUM(O41:O41)</f>
        <v>0</v>
      </c>
      <c r="P42" s="141">
        <f>SUM(P41:P41)</f>
        <v>0</v>
      </c>
      <c r="Q42" s="292"/>
      <c r="R42" s="337">
        <f>SUM(R41:R41)</f>
        <v>0</v>
      </c>
      <c r="S42" s="337">
        <f>SUM(S41:S41)</f>
        <v>0</v>
      </c>
      <c r="T42" s="337">
        <f>SUM(T41:T41)</f>
        <v>0</v>
      </c>
      <c r="U42" s="337">
        <f>SUM(U41:U41)</f>
        <v>0</v>
      </c>
      <c r="V42" s="337">
        <f>SUM(V41:V41)</f>
        <v>0</v>
      </c>
    </row>
    <row r="43" spans="1:22">
      <c r="A43" s="54" t="s">
        <v>129</v>
      </c>
      <c r="B43" s="54"/>
      <c r="C43" s="56"/>
      <c r="D43" s="57"/>
      <c r="E43" s="50">
        <v>8100</v>
      </c>
      <c r="F43" s="50">
        <f>-E43*$F$10</f>
        <v>0</v>
      </c>
      <c r="G43" s="50">
        <f>E43*$G$10</f>
        <v>0</v>
      </c>
      <c r="H43" s="50"/>
      <c r="I43" s="50">
        <f>+E43+F43-G43-H43</f>
        <v>8100</v>
      </c>
      <c r="J43" s="50">
        <f>+I43+(I43*$I$4)</f>
        <v>9720</v>
      </c>
      <c r="K43" s="50">
        <v>9720</v>
      </c>
      <c r="L43" s="51"/>
      <c r="M43" s="293"/>
      <c r="N43" s="52">
        <f>-IF(L43=0,,IF(M43=0,($C$10-L43),M43-L43))</f>
        <v>0</v>
      </c>
      <c r="O43" s="50">
        <f>+J43-K43</f>
        <v>0</v>
      </c>
      <c r="P43" s="50">
        <f>+IF($C$10&lt;L43,0,O43)</f>
        <v>0</v>
      </c>
      <c r="Q43" s="53"/>
      <c r="R43" s="316">
        <f>IF(N43&gt;=0,0,(IF(-N43&lt;=60,O43,0)))</f>
        <v>0</v>
      </c>
      <c r="S43" s="316">
        <f>IF(N43&gt;=0,0,(IF(N43&gt;=-60,0,IF(-60&gt;=N43,IF(N43&gt;=-120,O43,0)))))</f>
        <v>0</v>
      </c>
      <c r="T43" s="316">
        <f>IF(N43&gt;=0,0,(IF(N43&gt;-60,0,IF(-60&gt;=N43,IF(N43&gt;=-120,0,IF(N43&gt;=-180,O43,0))))))</f>
        <v>0</v>
      </c>
      <c r="U43" s="316">
        <f>IF(N43&gt;=0,0,(IF(N43&gt;-60,0,IF(-60&gt;=N43,IF(N43&gt;-120,0,IF(N43&gt;=-180,0,IF(N43&gt;=-365,O43,0)))))))</f>
        <v>0</v>
      </c>
      <c r="V43" s="316">
        <f>IF(N43&gt;=0,0,IF(365&lt;-N43,O43,0))</f>
        <v>0</v>
      </c>
    </row>
    <row r="44" spans="1:22" s="290" customFormat="1" ht="15">
      <c r="A44" s="138"/>
      <c r="B44" s="138"/>
      <c r="C44" s="286"/>
      <c r="D44" s="140"/>
      <c r="E44" s="141">
        <f t="shared" ref="E44:K44" si="15">SUM(E43:E43)</f>
        <v>8100</v>
      </c>
      <c r="F44" s="141">
        <f t="shared" si="15"/>
        <v>0</v>
      </c>
      <c r="G44" s="141">
        <f t="shared" si="15"/>
        <v>0</v>
      </c>
      <c r="H44" s="141">
        <f t="shared" si="15"/>
        <v>0</v>
      </c>
      <c r="I44" s="141">
        <f t="shared" si="15"/>
        <v>8100</v>
      </c>
      <c r="J44" s="287">
        <f t="shared" si="15"/>
        <v>9720</v>
      </c>
      <c r="K44" s="287">
        <f t="shared" si="15"/>
        <v>9720</v>
      </c>
      <c r="L44" s="139"/>
      <c r="M44" s="294"/>
      <c r="N44" s="142"/>
      <c r="O44" s="141">
        <f>SUM(O43:O43)</f>
        <v>0</v>
      </c>
      <c r="P44" s="141">
        <f>SUM(P43:P43)</f>
        <v>0</v>
      </c>
      <c r="Q44" s="292"/>
      <c r="R44" s="337">
        <f>SUM(R43:R43)</f>
        <v>0</v>
      </c>
      <c r="S44" s="337">
        <f>SUM(S43:S43)</f>
        <v>0</v>
      </c>
      <c r="T44" s="337">
        <f>SUM(T43:T43)</f>
        <v>0</v>
      </c>
      <c r="U44" s="337">
        <f>SUM(U43:U43)</f>
        <v>0</v>
      </c>
      <c r="V44" s="337">
        <f>SUM(V43:V43)</f>
        <v>0</v>
      </c>
    </row>
    <row r="45" spans="1:22">
      <c r="A45" s="54" t="s">
        <v>130</v>
      </c>
      <c r="B45" s="54"/>
      <c r="C45" s="56"/>
      <c r="D45" s="57"/>
      <c r="E45" s="50">
        <f>35691.68/1.2</f>
        <v>29743.066666666669</v>
      </c>
      <c r="F45" s="50">
        <f t="shared" ref="F45" si="16">-E45*$F$10</f>
        <v>0</v>
      </c>
      <c r="G45" s="50">
        <f t="shared" ref="G45" si="17">E45*$G$10</f>
        <v>0</v>
      </c>
      <c r="H45" s="50"/>
      <c r="I45" s="50">
        <f t="shared" ref="I45" si="18">+E45+F45-G45-H45</f>
        <v>29743.066666666669</v>
      </c>
      <c r="J45" s="50">
        <f t="shared" ref="J45" si="19">+I45+(I45*$I$4)</f>
        <v>35691.680000000008</v>
      </c>
      <c r="K45" s="50">
        <v>35691.680000000008</v>
      </c>
      <c r="L45" s="51"/>
      <c r="M45" s="51"/>
      <c r="N45" s="52">
        <f t="shared" ref="N45" si="20">-IF(L45=0,,IF(M45=0,($C$10-L45),M45-L45))</f>
        <v>0</v>
      </c>
      <c r="O45" s="50">
        <f t="shared" ref="O45" si="21">+J45-K45</f>
        <v>0</v>
      </c>
      <c r="P45" s="50">
        <f t="shared" ref="P45" si="22">+IF($C$10&lt;L45,0,O45)</f>
        <v>0</v>
      </c>
      <c r="Q45" s="53"/>
      <c r="R45" s="316">
        <f t="shared" ref="R45" si="23">IF(N45&gt;=0,0,(IF(-N45&lt;=60,O45,0)))</f>
        <v>0</v>
      </c>
      <c r="S45" s="316">
        <f t="shared" ref="S45" si="24">IF(N45&gt;=0,0,(IF(N45&gt;=-60,0,IF(-60&gt;=N45,IF(N45&gt;=-120,O45,0)))))</f>
        <v>0</v>
      </c>
      <c r="T45" s="316">
        <f t="shared" ref="T45" si="25">IF(N45&gt;=0,0,(IF(N45&gt;-60,0,IF(-60&gt;=N45,IF(N45&gt;=-120,0,IF(N45&gt;=-180,O45,0))))))</f>
        <v>0</v>
      </c>
      <c r="U45" s="316">
        <f t="shared" ref="U45" si="26">IF(N45&gt;=0,0,(IF(N45&gt;-60,0,IF(-60&gt;=N45,IF(N45&gt;-120,0,IF(N45&gt;=-180,0,IF(N45&gt;=-365,O45,0)))))))</f>
        <v>0</v>
      </c>
      <c r="V45" s="316">
        <f t="shared" ref="V45" si="27">IF(N45&gt;=0,0,IF(365&lt;-N45,O45,0))</f>
        <v>0</v>
      </c>
    </row>
    <row r="46" spans="1:22" s="290" customFormat="1" ht="15">
      <c r="A46" s="138"/>
      <c r="B46" s="143"/>
      <c r="C46" s="286"/>
      <c r="D46" s="140"/>
      <c r="E46" s="141">
        <f t="shared" ref="E46:K46" si="28">SUM(E45:E45)</f>
        <v>29743.066666666669</v>
      </c>
      <c r="F46" s="141">
        <f t="shared" si="28"/>
        <v>0</v>
      </c>
      <c r="G46" s="141">
        <f t="shared" si="28"/>
        <v>0</v>
      </c>
      <c r="H46" s="141">
        <f t="shared" si="28"/>
        <v>0</v>
      </c>
      <c r="I46" s="141">
        <f t="shared" si="28"/>
        <v>29743.066666666669</v>
      </c>
      <c r="J46" s="287">
        <f t="shared" si="28"/>
        <v>35691.680000000008</v>
      </c>
      <c r="K46" s="287">
        <f t="shared" si="28"/>
        <v>35691.680000000008</v>
      </c>
      <c r="L46" s="139"/>
      <c r="M46" s="139"/>
      <c r="N46" s="142"/>
      <c r="O46" s="141">
        <f>SUM(O45:O45)</f>
        <v>0</v>
      </c>
      <c r="P46" s="141">
        <f>SUM(P45:P45)</f>
        <v>0</v>
      </c>
      <c r="Q46" s="292"/>
      <c r="R46" s="337">
        <f>SUM(R45:R45)</f>
        <v>0</v>
      </c>
      <c r="S46" s="337">
        <f>SUM(S45:S45)</f>
        <v>0</v>
      </c>
      <c r="T46" s="337">
        <f>SUM(T45:T45)</f>
        <v>0</v>
      </c>
      <c r="U46" s="337">
        <f>SUM(U45:U45)</f>
        <v>0</v>
      </c>
      <c r="V46" s="337">
        <f>SUM(V45:V45)</f>
        <v>0</v>
      </c>
    </row>
    <row r="47" spans="1:22">
      <c r="A47" s="54" t="s">
        <v>131</v>
      </c>
      <c r="B47" s="54"/>
      <c r="C47" s="56"/>
      <c r="D47" s="57"/>
      <c r="E47" s="50">
        <f>400788.77/1.2</f>
        <v>333990.64166666672</v>
      </c>
      <c r="F47" s="50">
        <f>-E47*$F$10</f>
        <v>0</v>
      </c>
      <c r="G47" s="50">
        <f>E47*$G$10</f>
        <v>0</v>
      </c>
      <c r="H47" s="50"/>
      <c r="I47" s="50">
        <f>+E47+F47-G47-H47</f>
        <v>333990.64166666672</v>
      </c>
      <c r="J47" s="50">
        <f>+I47+(I47*$I$4)</f>
        <v>400788.77000000008</v>
      </c>
      <c r="K47" s="50">
        <v>400788.77000000008</v>
      </c>
      <c r="L47" s="51"/>
      <c r="M47" s="51"/>
      <c r="N47" s="52">
        <f>-IF(L47=0,,IF(M47=0,($C$10-L47),M47-L47))</f>
        <v>0</v>
      </c>
      <c r="O47" s="50">
        <f>+J47-K47</f>
        <v>0</v>
      </c>
      <c r="P47" s="50">
        <f>+IF($C$10&lt;L47,0,O47)</f>
        <v>0</v>
      </c>
      <c r="Q47" s="53"/>
      <c r="R47" s="316">
        <f>IF(N47&gt;=0,0,(IF(-N47&lt;=60,O47,0)))</f>
        <v>0</v>
      </c>
      <c r="S47" s="316">
        <f>IF(N47&gt;=0,0,(IF(N47&gt;=-60,0,IF(-60&gt;=N47,IF(N47&gt;=-120,O47,0)))))</f>
        <v>0</v>
      </c>
      <c r="T47" s="316">
        <f>IF(N47&gt;=0,0,(IF(N47&gt;-60,0,IF(-60&gt;=N47,IF(N47&gt;=-120,0,IF(N47&gt;=-180,O47,0))))))</f>
        <v>0</v>
      </c>
      <c r="U47" s="316">
        <f>IF(N47&gt;=0,0,(IF(N47&gt;-60,0,IF(-60&gt;=N47,IF(N47&gt;-120,0,IF(N47&gt;=-180,0,IF(N47&gt;=-365,O47,0)))))))</f>
        <v>0</v>
      </c>
      <c r="V47" s="316">
        <f>IF(N47&gt;=0,0,IF(365&lt;-N47,O47,0))</f>
        <v>0</v>
      </c>
    </row>
    <row r="48" spans="1:22" s="290" customFormat="1" ht="15">
      <c r="A48" s="138"/>
      <c r="B48" s="143"/>
      <c r="C48" s="286"/>
      <c r="D48" s="140"/>
      <c r="E48" s="141">
        <f t="shared" ref="E48:K48" si="29">SUM(E47:E47)</f>
        <v>333990.64166666672</v>
      </c>
      <c r="F48" s="141">
        <f t="shared" si="29"/>
        <v>0</v>
      </c>
      <c r="G48" s="141">
        <f t="shared" si="29"/>
        <v>0</v>
      </c>
      <c r="H48" s="141">
        <f t="shared" si="29"/>
        <v>0</v>
      </c>
      <c r="I48" s="141">
        <f t="shared" si="29"/>
        <v>333990.64166666672</v>
      </c>
      <c r="J48" s="287">
        <f t="shared" si="29"/>
        <v>400788.77000000008</v>
      </c>
      <c r="K48" s="287">
        <f t="shared" si="29"/>
        <v>400788.77000000008</v>
      </c>
      <c r="L48" s="139"/>
      <c r="M48" s="139"/>
      <c r="N48" s="142"/>
      <c r="O48" s="141">
        <f>SUM(O47:O47)</f>
        <v>0</v>
      </c>
      <c r="P48" s="141">
        <f>SUM(P47:P47)</f>
        <v>0</v>
      </c>
      <c r="Q48" s="292"/>
      <c r="R48" s="337">
        <f>SUM(R47:R47)</f>
        <v>0</v>
      </c>
      <c r="S48" s="337">
        <f>SUM(S47:S47)</f>
        <v>0</v>
      </c>
      <c r="T48" s="337">
        <f>SUM(T47:T47)</f>
        <v>0</v>
      </c>
      <c r="U48" s="337">
        <f>SUM(U47:U47)</f>
        <v>0</v>
      </c>
      <c r="V48" s="337">
        <f>SUM(V47:V47)</f>
        <v>0</v>
      </c>
    </row>
    <row r="49" spans="1:22">
      <c r="A49" s="54" t="s">
        <v>132</v>
      </c>
      <c r="B49" s="54"/>
      <c r="C49" s="56"/>
      <c r="D49" s="57"/>
      <c r="E49" s="50">
        <f>8398163.41/1.2</f>
        <v>6998469.5083333338</v>
      </c>
      <c r="F49" s="50">
        <f>-E49*$F$10</f>
        <v>0</v>
      </c>
      <c r="G49" s="50">
        <f>E49*$G$10</f>
        <v>0</v>
      </c>
      <c r="H49" s="50"/>
      <c r="I49" s="50">
        <f>+E49+F49-G49-H49</f>
        <v>6998469.5083333338</v>
      </c>
      <c r="J49" s="50">
        <f>+I49+(I49*$I$4)</f>
        <v>8398163.4100000001</v>
      </c>
      <c r="K49" s="50">
        <v>8398163.4100000001</v>
      </c>
      <c r="L49" s="51"/>
      <c r="M49" s="51"/>
      <c r="N49" s="52">
        <f>-IF(L49=0,,IF(M49=0,($C$10-L49),M49-L49))</f>
        <v>0</v>
      </c>
      <c r="O49" s="50">
        <f>+J49-K49</f>
        <v>0</v>
      </c>
      <c r="P49" s="50">
        <f>+IF($C$10&lt;L49,0,O49)</f>
        <v>0</v>
      </c>
      <c r="Q49" s="53"/>
      <c r="R49" s="316">
        <f>IF(N49&gt;=0,0,(IF(-N49&lt;=60,O49,0)))</f>
        <v>0</v>
      </c>
      <c r="S49" s="316">
        <f>IF(N49&gt;=0,0,(IF(N49&gt;=-60,0,IF(-60&gt;=N49,IF(N49&gt;=-120,O49,0)))))</f>
        <v>0</v>
      </c>
      <c r="T49" s="316">
        <f>IF(N49&gt;=0,0,(IF(N49&gt;-60,0,IF(-60&gt;=N49,IF(N49&gt;=-120,0,IF(N49&gt;=-180,O49,0))))))</f>
        <v>0</v>
      </c>
      <c r="U49" s="316">
        <f>IF(N49&gt;=0,0,(IF(N49&gt;-60,0,IF(-60&gt;=N49,IF(N49&gt;-120,0,IF(N49&gt;=-180,0,IF(N49&gt;=-365,O49,0)))))))</f>
        <v>0</v>
      </c>
      <c r="V49" s="316">
        <f>IF(N49&gt;=0,0,IF(365&lt;-N49,O49,0))</f>
        <v>0</v>
      </c>
    </row>
    <row r="50" spans="1:22" s="290" customFormat="1" ht="15">
      <c r="A50" s="138"/>
      <c r="B50" s="138"/>
      <c r="C50" s="286"/>
      <c r="D50" s="140"/>
      <c r="E50" s="141">
        <f t="shared" ref="E50:K50" si="30">SUM(E49:E49)</f>
        <v>6998469.5083333338</v>
      </c>
      <c r="F50" s="141">
        <f t="shared" si="30"/>
        <v>0</v>
      </c>
      <c r="G50" s="141">
        <f t="shared" si="30"/>
        <v>0</v>
      </c>
      <c r="H50" s="141">
        <f t="shared" si="30"/>
        <v>0</v>
      </c>
      <c r="I50" s="141">
        <f t="shared" si="30"/>
        <v>6998469.5083333338</v>
      </c>
      <c r="J50" s="287">
        <f t="shared" si="30"/>
        <v>8398163.4100000001</v>
      </c>
      <c r="K50" s="287">
        <f t="shared" si="30"/>
        <v>8398163.4100000001</v>
      </c>
      <c r="L50" s="139"/>
      <c r="M50" s="139"/>
      <c r="N50" s="142"/>
      <c r="O50" s="141">
        <f>SUM(O49:O49)</f>
        <v>0</v>
      </c>
      <c r="P50" s="141">
        <f>SUM(P49:P49)</f>
        <v>0</v>
      </c>
      <c r="Q50" s="292"/>
      <c r="R50" s="337">
        <f>SUM(R49:R49)</f>
        <v>0</v>
      </c>
      <c r="S50" s="337">
        <f>SUM(S49:S49)</f>
        <v>0</v>
      </c>
      <c r="T50" s="337">
        <f>SUM(T49:T49)</f>
        <v>0</v>
      </c>
      <c r="U50" s="337">
        <f>SUM(U49:U49)</f>
        <v>0</v>
      </c>
      <c r="V50" s="337">
        <f>SUM(V49:V49)</f>
        <v>0</v>
      </c>
    </row>
    <row r="51" spans="1:22">
      <c r="A51" s="54" t="s">
        <v>133</v>
      </c>
      <c r="B51" s="54"/>
      <c r="C51" s="56"/>
      <c r="D51" s="57"/>
      <c r="E51" s="50">
        <f>74410.32/1.2</f>
        <v>62008.600000000006</v>
      </c>
      <c r="F51" s="50">
        <f>-E51*$F$10</f>
        <v>0</v>
      </c>
      <c r="G51" s="50">
        <f>E51*$G$10</f>
        <v>0</v>
      </c>
      <c r="H51" s="50"/>
      <c r="I51" s="50">
        <f>+E51+F51-G51-H51</f>
        <v>62008.600000000006</v>
      </c>
      <c r="J51" s="50">
        <f>+I51+(I51*$I$4)</f>
        <v>74410.320000000007</v>
      </c>
      <c r="K51" s="50">
        <v>74410.320000000007</v>
      </c>
      <c r="L51" s="51"/>
      <c r="M51" s="293"/>
      <c r="N51" s="52">
        <f>-IF(L51=0,,IF(M51=0,($C$10-L51),M51-L51))</f>
        <v>0</v>
      </c>
      <c r="O51" s="50">
        <f>+J51-K51</f>
        <v>0</v>
      </c>
      <c r="P51" s="50">
        <f>+IF($C$10&lt;L51,0,O51)</f>
        <v>0</v>
      </c>
      <c r="Q51" s="53"/>
      <c r="R51" s="316">
        <f>IF(N51&gt;=0,0,(IF(-N51&lt;=60,O51,0)))</f>
        <v>0</v>
      </c>
      <c r="S51" s="316">
        <f>IF(N51&gt;=0,0,(IF(N51&gt;=-60,0,IF(-60&gt;=N51,IF(N51&gt;=-120,O51,0)))))</f>
        <v>0</v>
      </c>
      <c r="T51" s="316">
        <f>IF(N51&gt;=0,0,(IF(N51&gt;-60,0,IF(-60&gt;=N51,IF(N51&gt;=-120,0,IF(N51&gt;=-180,O51,0))))))</f>
        <v>0</v>
      </c>
      <c r="U51" s="316">
        <f>IF(N51&gt;=0,0,(IF(N51&gt;-60,0,IF(-60&gt;=N51,IF(N51&gt;-120,0,IF(N51&gt;=-180,0,IF(N51&gt;=-365,O51,0)))))))</f>
        <v>0</v>
      </c>
      <c r="V51" s="316">
        <f>IF(N51&gt;=0,0,IF(365&lt;-N51,O51,0))</f>
        <v>0</v>
      </c>
    </row>
    <row r="52" spans="1:22" s="290" customFormat="1" ht="15">
      <c r="A52" s="138"/>
      <c r="B52" s="138"/>
      <c r="C52" s="286"/>
      <c r="D52" s="140"/>
      <c r="E52" s="141">
        <f t="shared" ref="E52:K52" si="31">SUM(E51:E51)</f>
        <v>62008.600000000006</v>
      </c>
      <c r="F52" s="141">
        <f t="shared" si="31"/>
        <v>0</v>
      </c>
      <c r="G52" s="141">
        <f t="shared" si="31"/>
        <v>0</v>
      </c>
      <c r="H52" s="141">
        <f t="shared" si="31"/>
        <v>0</v>
      </c>
      <c r="I52" s="141">
        <f t="shared" si="31"/>
        <v>62008.600000000006</v>
      </c>
      <c r="J52" s="287">
        <f t="shared" si="31"/>
        <v>74410.320000000007</v>
      </c>
      <c r="K52" s="287">
        <f t="shared" si="31"/>
        <v>74410.320000000007</v>
      </c>
      <c r="L52" s="139"/>
      <c r="M52" s="139"/>
      <c r="N52" s="142"/>
      <c r="O52" s="141">
        <f>SUM(O51:O51)</f>
        <v>0</v>
      </c>
      <c r="P52" s="141">
        <f>SUM(P51:P51)</f>
        <v>0</v>
      </c>
      <c r="Q52" s="292"/>
      <c r="R52" s="337">
        <f>SUM(R51:R51)</f>
        <v>0</v>
      </c>
      <c r="S52" s="337">
        <f>SUM(S51:S51)</f>
        <v>0</v>
      </c>
      <c r="T52" s="337">
        <f>SUM(T51:T51)</f>
        <v>0</v>
      </c>
      <c r="U52" s="337">
        <f>SUM(U51:U51)</f>
        <v>0</v>
      </c>
      <c r="V52" s="337">
        <f>SUM(V51:V51)</f>
        <v>0</v>
      </c>
    </row>
    <row r="53" spans="1:22">
      <c r="A53" s="54" t="s">
        <v>134</v>
      </c>
      <c r="B53" s="54"/>
      <c r="C53" s="56"/>
      <c r="D53" s="57"/>
      <c r="E53" s="50">
        <f>46140/1.2</f>
        <v>38450</v>
      </c>
      <c r="F53" s="50">
        <f>-E53*$F$10</f>
        <v>0</v>
      </c>
      <c r="G53" s="50">
        <f>E53*$G$10</f>
        <v>0</v>
      </c>
      <c r="H53" s="50"/>
      <c r="I53" s="50">
        <f>+E53+F53-G53-H53</f>
        <v>38450</v>
      </c>
      <c r="J53" s="50">
        <f>+I53+(I53*$I$4)</f>
        <v>46140</v>
      </c>
      <c r="K53" s="50">
        <v>46140</v>
      </c>
      <c r="L53" s="51"/>
      <c r="M53" s="293"/>
      <c r="N53" s="52">
        <f>-IF(L53=0,,IF(M53=0,($C$10-L53),M53-L53))</f>
        <v>0</v>
      </c>
      <c r="O53" s="50">
        <f>+J53-K53</f>
        <v>0</v>
      </c>
      <c r="P53" s="50">
        <f>+IF($C$10&lt;L53,0,O53)</f>
        <v>0</v>
      </c>
      <c r="Q53" s="53"/>
      <c r="R53" s="316">
        <f>IF(N53&gt;=0,0,(IF(-N53&lt;=60,O53,0)))</f>
        <v>0</v>
      </c>
      <c r="S53" s="316">
        <f>IF(N53&gt;=0,0,(IF(N53&gt;=-60,0,IF(-60&gt;=N53,IF(N53&gt;=-120,O53,0)))))</f>
        <v>0</v>
      </c>
      <c r="T53" s="316">
        <f>IF(N53&gt;=0,0,(IF(N53&gt;-60,0,IF(-60&gt;=N53,IF(N53&gt;=-120,0,IF(N53&gt;=-180,O53,0))))))</f>
        <v>0</v>
      </c>
      <c r="U53" s="316">
        <f>IF(N53&gt;=0,0,(IF(N53&gt;-60,0,IF(-60&gt;=N53,IF(N53&gt;-120,0,IF(N53&gt;=-180,0,IF(N53&gt;=-365,O53,0)))))))</f>
        <v>0</v>
      </c>
      <c r="V53" s="316">
        <f>IF(N53&gt;=0,0,IF(365&lt;-N53,O53,0))</f>
        <v>0</v>
      </c>
    </row>
    <row r="54" spans="1:22" s="290" customFormat="1" ht="15">
      <c r="A54" s="138"/>
      <c r="B54" s="138"/>
      <c r="C54" s="286"/>
      <c r="D54" s="140"/>
      <c r="E54" s="141">
        <f t="shared" ref="E54:K54" si="32">SUM(E53:E53)</f>
        <v>38450</v>
      </c>
      <c r="F54" s="141">
        <f t="shared" si="32"/>
        <v>0</v>
      </c>
      <c r="G54" s="141">
        <f t="shared" si="32"/>
        <v>0</v>
      </c>
      <c r="H54" s="141">
        <f t="shared" si="32"/>
        <v>0</v>
      </c>
      <c r="I54" s="141">
        <f t="shared" si="32"/>
        <v>38450</v>
      </c>
      <c r="J54" s="287">
        <f t="shared" si="32"/>
        <v>46140</v>
      </c>
      <c r="K54" s="287">
        <f t="shared" si="32"/>
        <v>46140</v>
      </c>
      <c r="L54" s="139"/>
      <c r="M54" s="139"/>
      <c r="N54" s="142"/>
      <c r="O54" s="141">
        <f>SUM(O53:O53)</f>
        <v>0</v>
      </c>
      <c r="P54" s="141">
        <f>SUM(P53:P53)</f>
        <v>0</v>
      </c>
      <c r="Q54" s="292"/>
      <c r="R54" s="337">
        <f>SUM(R53:R53)</f>
        <v>0</v>
      </c>
      <c r="S54" s="337">
        <f>SUM(S53:S53)</f>
        <v>0</v>
      </c>
      <c r="T54" s="337">
        <f>SUM(T53:T53)</f>
        <v>0</v>
      </c>
      <c r="U54" s="337">
        <f>SUM(U53:U53)</f>
        <v>0</v>
      </c>
      <c r="V54" s="337">
        <f>SUM(V53:V53)</f>
        <v>0</v>
      </c>
    </row>
    <row r="55" spans="1:22">
      <c r="A55" s="54" t="s">
        <v>135</v>
      </c>
      <c r="B55" s="54"/>
      <c r="C55" s="56"/>
      <c r="D55" s="57"/>
      <c r="E55" s="50">
        <f>2189742.55/1.2</f>
        <v>1824785.4583333333</v>
      </c>
      <c r="F55" s="50">
        <f>-E55*$F$10</f>
        <v>0</v>
      </c>
      <c r="G55" s="50">
        <f>E55*$G$10</f>
        <v>0</v>
      </c>
      <c r="H55" s="50"/>
      <c r="I55" s="50">
        <f>+E55+F55-G55-H55</f>
        <v>1824785.4583333333</v>
      </c>
      <c r="J55" s="50">
        <f>+I55+(I55*$I$4)</f>
        <v>2189742.5499999998</v>
      </c>
      <c r="K55" s="50">
        <v>2189742.5499999998</v>
      </c>
      <c r="L55" s="51"/>
      <c r="M55" s="51"/>
      <c r="N55" s="52">
        <f>-IF(L55=0,,IF(M55=0,($C$10-L55),M55-L55))</f>
        <v>0</v>
      </c>
      <c r="O55" s="50">
        <f>+J55-K55</f>
        <v>0</v>
      </c>
      <c r="P55" s="50">
        <f>+IF($C$10&lt;L55,0,O55)</f>
        <v>0</v>
      </c>
      <c r="Q55" s="53"/>
      <c r="R55" s="316">
        <f>IF(N55&gt;=0,0,(IF(-N55&lt;=60,O55,0)))</f>
        <v>0</v>
      </c>
      <c r="S55" s="316">
        <f>IF(N55&gt;=0,0,(IF(N55&gt;=-60,0,IF(-60&gt;=N55,IF(N55&gt;=-120,O55,0)))))</f>
        <v>0</v>
      </c>
      <c r="T55" s="316">
        <f>IF(N55&gt;=0,0,(IF(N55&gt;-60,0,IF(-60&gt;=N55,IF(N55&gt;=-120,0,IF(N55&gt;=-180,O55,0))))))</f>
        <v>0</v>
      </c>
      <c r="U55" s="316">
        <f>IF(N55&gt;=0,0,(IF(N55&gt;-60,0,IF(-60&gt;=N55,IF(N55&gt;-120,0,IF(N55&gt;=-180,0,IF(N55&gt;=-365,O55,0)))))))</f>
        <v>0</v>
      </c>
      <c r="V55" s="316">
        <f>IF(N55&gt;=0,0,IF(365&lt;-N55,O55,0))</f>
        <v>0</v>
      </c>
    </row>
    <row r="56" spans="1:22" s="290" customFormat="1" ht="15">
      <c r="A56" s="138"/>
      <c r="B56" s="138"/>
      <c r="C56" s="286"/>
      <c r="D56" s="140"/>
      <c r="E56" s="141">
        <f t="shared" ref="E56:K56" si="33">SUM(E55:E55)</f>
        <v>1824785.4583333333</v>
      </c>
      <c r="F56" s="141">
        <f t="shared" si="33"/>
        <v>0</v>
      </c>
      <c r="G56" s="141">
        <f t="shared" si="33"/>
        <v>0</v>
      </c>
      <c r="H56" s="141">
        <f t="shared" si="33"/>
        <v>0</v>
      </c>
      <c r="I56" s="141">
        <f t="shared" si="33"/>
        <v>1824785.4583333333</v>
      </c>
      <c r="J56" s="287">
        <f t="shared" si="33"/>
        <v>2189742.5499999998</v>
      </c>
      <c r="K56" s="287">
        <f t="shared" si="33"/>
        <v>2189742.5499999998</v>
      </c>
      <c r="L56" s="139"/>
      <c r="M56" s="139"/>
      <c r="N56" s="142"/>
      <c r="O56" s="141">
        <f>SUM(O55:O55)</f>
        <v>0</v>
      </c>
      <c r="P56" s="141">
        <f>SUM(P55:P55)</f>
        <v>0</v>
      </c>
      <c r="Q56" s="292"/>
      <c r="R56" s="337">
        <f>SUM(R55:R55)</f>
        <v>0</v>
      </c>
      <c r="S56" s="337">
        <f>SUM(S55:S55)</f>
        <v>0</v>
      </c>
      <c r="T56" s="337">
        <f>SUM(T55:T55)</f>
        <v>0</v>
      </c>
      <c r="U56" s="337">
        <f>SUM(U55:U55)</f>
        <v>0</v>
      </c>
      <c r="V56" s="337">
        <f>SUM(V55:V55)</f>
        <v>0</v>
      </c>
    </row>
    <row r="57" spans="1:22">
      <c r="A57" s="54" t="s">
        <v>136</v>
      </c>
      <c r="B57" s="54"/>
      <c r="C57" s="56"/>
      <c r="D57" s="57"/>
      <c r="E57" s="50">
        <f>37384.87/1.2</f>
        <v>31154.058333333338</v>
      </c>
      <c r="F57" s="50">
        <f>-E57*$F$10</f>
        <v>0</v>
      </c>
      <c r="G57" s="50">
        <f>E57*$G$10</f>
        <v>0</v>
      </c>
      <c r="H57" s="50"/>
      <c r="I57" s="50">
        <f>+E57+F57-G57-H57</f>
        <v>31154.058333333338</v>
      </c>
      <c r="J57" s="50">
        <f>+I57+(I57*$I$4)</f>
        <v>37384.87000000001</v>
      </c>
      <c r="K57" s="50">
        <v>37384.87000000001</v>
      </c>
      <c r="L57" s="51"/>
      <c r="M57" s="293"/>
      <c r="N57" s="52">
        <f>-IF(L57=0,,IF(M57=0,($C$10-L57),M57-L57))</f>
        <v>0</v>
      </c>
      <c r="O57" s="50">
        <f>+J57-K57</f>
        <v>0</v>
      </c>
      <c r="P57" s="50">
        <f>+IF($C$10&lt;L57,0,O57)</f>
        <v>0</v>
      </c>
      <c r="Q57" s="53"/>
      <c r="R57" s="316">
        <f>IF(N57&gt;=0,0,(IF(-N57&lt;=60,O57,0)))</f>
        <v>0</v>
      </c>
      <c r="S57" s="316">
        <f>IF(N57&gt;=0,0,(IF(N57&gt;=-60,0,IF(-60&gt;=N57,IF(N57&gt;=-120,O57,0)))))</f>
        <v>0</v>
      </c>
      <c r="T57" s="316">
        <f>IF(N57&gt;=0,0,(IF(N57&gt;-60,0,IF(-60&gt;=N57,IF(N57&gt;=-120,0,IF(N57&gt;=-180,O57,0))))))</f>
        <v>0</v>
      </c>
      <c r="U57" s="316">
        <f>IF(N57&gt;=0,0,(IF(N57&gt;-60,0,IF(-60&gt;=N57,IF(N57&gt;-120,0,IF(N57&gt;=-180,0,IF(N57&gt;=-365,O57,0)))))))</f>
        <v>0</v>
      </c>
      <c r="V57" s="316">
        <f>IF(N57&gt;=0,0,IF(365&lt;-N57,O57,0))</f>
        <v>0</v>
      </c>
    </row>
    <row r="58" spans="1:22" s="290" customFormat="1" ht="15">
      <c r="A58" s="138"/>
      <c r="B58" s="138"/>
      <c r="C58" s="286"/>
      <c r="D58" s="140"/>
      <c r="E58" s="141">
        <f t="shared" ref="E58:K58" si="34">SUM(E57:E57)</f>
        <v>31154.058333333338</v>
      </c>
      <c r="F58" s="141">
        <f t="shared" si="34"/>
        <v>0</v>
      </c>
      <c r="G58" s="141">
        <f t="shared" si="34"/>
        <v>0</v>
      </c>
      <c r="H58" s="141">
        <f t="shared" si="34"/>
        <v>0</v>
      </c>
      <c r="I58" s="141">
        <f t="shared" si="34"/>
        <v>31154.058333333338</v>
      </c>
      <c r="J58" s="287">
        <f t="shared" si="34"/>
        <v>37384.87000000001</v>
      </c>
      <c r="K58" s="287">
        <f t="shared" si="34"/>
        <v>37384.87000000001</v>
      </c>
      <c r="L58" s="139"/>
      <c r="M58" s="139"/>
      <c r="N58" s="142"/>
      <c r="O58" s="141">
        <f>SUM(O57:O57)</f>
        <v>0</v>
      </c>
      <c r="P58" s="141">
        <f>SUM(P57:P57)</f>
        <v>0</v>
      </c>
      <c r="Q58" s="292"/>
      <c r="R58" s="337">
        <f>SUM(R57:R57)</f>
        <v>0</v>
      </c>
      <c r="S58" s="337">
        <f>SUM(S57:S57)</f>
        <v>0</v>
      </c>
      <c r="T58" s="337">
        <f>SUM(T57:T57)</f>
        <v>0</v>
      </c>
      <c r="U58" s="337">
        <f>SUM(U57:U57)</f>
        <v>0</v>
      </c>
      <c r="V58" s="337">
        <f>SUM(V57:V57)</f>
        <v>0</v>
      </c>
    </row>
    <row r="59" spans="1:22">
      <c r="A59" s="54" t="s">
        <v>137</v>
      </c>
      <c r="B59" s="54"/>
      <c r="C59" s="56"/>
      <c r="D59" s="57"/>
      <c r="E59" s="50">
        <f>1175880.07/1.2</f>
        <v>979900.05833333347</v>
      </c>
      <c r="F59" s="50">
        <f>-E59*$F$10</f>
        <v>0</v>
      </c>
      <c r="G59" s="50">
        <f>E59*$G$10</f>
        <v>0</v>
      </c>
      <c r="H59" s="50"/>
      <c r="I59" s="50">
        <f>+E59+F59-G59-H59</f>
        <v>979900.05833333347</v>
      </c>
      <c r="J59" s="50">
        <f>+I59+(I59*$I$4)</f>
        <v>1175880.0700000003</v>
      </c>
      <c r="K59" s="50">
        <v>1175880.0700000003</v>
      </c>
      <c r="L59" s="51"/>
      <c r="M59" s="293"/>
      <c r="N59" s="52">
        <f>-IF(L59=0,,IF(M59=0,($C$10-L59),M59-L59))</f>
        <v>0</v>
      </c>
      <c r="O59" s="50">
        <f>+J59-K59</f>
        <v>0</v>
      </c>
      <c r="P59" s="50">
        <f>+IF($C$10&lt;L59,0,O59)</f>
        <v>0</v>
      </c>
      <c r="Q59" s="53"/>
      <c r="R59" s="316">
        <f>IF(N59&gt;=0,0,(IF(-N59&lt;=60,O59,0)))</f>
        <v>0</v>
      </c>
      <c r="S59" s="316">
        <f>IF(N59&gt;=0,0,(IF(N59&gt;=-60,0,IF(-60&gt;=N59,IF(N59&gt;=-120,O59,0)))))</f>
        <v>0</v>
      </c>
      <c r="T59" s="316">
        <f>IF(N59&gt;=0,0,(IF(N59&gt;-60,0,IF(-60&gt;=N59,IF(N59&gt;=-120,0,IF(N59&gt;=-180,O59,0))))))</f>
        <v>0</v>
      </c>
      <c r="U59" s="316">
        <f>IF(N59&gt;=0,0,(IF(N59&gt;-60,0,IF(-60&gt;=N59,IF(N59&gt;-120,0,IF(N59&gt;=-180,0,IF(N59&gt;=-365,O59,0)))))))</f>
        <v>0</v>
      </c>
      <c r="V59" s="316">
        <f>IF(N59&gt;=0,0,IF(365&lt;-N59,O59,0))</f>
        <v>0</v>
      </c>
    </row>
    <row r="60" spans="1:22" s="290" customFormat="1" ht="15">
      <c r="A60" s="138"/>
      <c r="B60" s="138"/>
      <c r="C60" s="286"/>
      <c r="D60" s="140"/>
      <c r="E60" s="141">
        <f t="shared" ref="E60:K60" si="35">SUM(E59:E59)</f>
        <v>979900.05833333347</v>
      </c>
      <c r="F60" s="141">
        <f t="shared" si="35"/>
        <v>0</v>
      </c>
      <c r="G60" s="141">
        <f t="shared" si="35"/>
        <v>0</v>
      </c>
      <c r="H60" s="141">
        <f t="shared" si="35"/>
        <v>0</v>
      </c>
      <c r="I60" s="141">
        <f t="shared" si="35"/>
        <v>979900.05833333347</v>
      </c>
      <c r="J60" s="287">
        <f t="shared" si="35"/>
        <v>1175880.0700000003</v>
      </c>
      <c r="K60" s="287">
        <f t="shared" si="35"/>
        <v>1175880.0700000003</v>
      </c>
      <c r="L60" s="139"/>
      <c r="M60" s="139"/>
      <c r="N60" s="142"/>
      <c r="O60" s="141">
        <f>SUM(O59:O59)</f>
        <v>0</v>
      </c>
      <c r="P60" s="141">
        <f>SUM(P59:P59)</f>
        <v>0</v>
      </c>
      <c r="Q60" s="292"/>
      <c r="R60" s="337">
        <f>SUM(R59:R59)</f>
        <v>0</v>
      </c>
      <c r="S60" s="337">
        <f>SUM(S59:S59)</f>
        <v>0</v>
      </c>
      <c r="T60" s="337">
        <f>SUM(T59:T59)</f>
        <v>0</v>
      </c>
      <c r="U60" s="337">
        <f>SUM(U59:U59)</f>
        <v>0</v>
      </c>
      <c r="V60" s="337">
        <f>SUM(V59:V59)</f>
        <v>0</v>
      </c>
    </row>
    <row r="61" spans="1:22">
      <c r="A61" s="54" t="s">
        <v>138</v>
      </c>
      <c r="B61" s="54"/>
      <c r="C61" s="56"/>
      <c r="D61" s="57"/>
      <c r="E61" s="50">
        <f>23716.77/1.2</f>
        <v>19763.975000000002</v>
      </c>
      <c r="F61" s="50">
        <f>-E61*$F$10</f>
        <v>0</v>
      </c>
      <c r="G61" s="50">
        <f>E61*$G$10</f>
        <v>0</v>
      </c>
      <c r="H61" s="50"/>
      <c r="I61" s="50">
        <f>+E61+F61-G61-H61</f>
        <v>19763.975000000002</v>
      </c>
      <c r="J61" s="50">
        <f>+I61+(I61*$I$4)</f>
        <v>23716.770000000004</v>
      </c>
      <c r="K61" s="50">
        <v>23716.770000000004</v>
      </c>
      <c r="L61" s="51"/>
      <c r="M61" s="293"/>
      <c r="N61" s="52">
        <f>-IF(L61=0,,IF(M61=0,($C$10-L61),M61-L61))</f>
        <v>0</v>
      </c>
      <c r="O61" s="50">
        <f>+J61-K61</f>
        <v>0</v>
      </c>
      <c r="P61" s="50">
        <f>+IF($C$10&lt;L61,0,O61)</f>
        <v>0</v>
      </c>
      <c r="Q61" s="53"/>
      <c r="R61" s="316">
        <f>IF(N61&gt;=0,0,(IF(-N61&lt;=60,O61,0)))</f>
        <v>0</v>
      </c>
      <c r="S61" s="316">
        <f>IF(N61&gt;=0,0,(IF(N61&gt;=-60,0,IF(-60&gt;=N61,IF(N61&gt;=-120,O61,0)))))</f>
        <v>0</v>
      </c>
      <c r="T61" s="316">
        <f>IF(N61&gt;=0,0,(IF(N61&gt;-60,0,IF(-60&gt;=N61,IF(N61&gt;=-120,0,IF(N61&gt;=-180,O61,0))))))</f>
        <v>0</v>
      </c>
      <c r="U61" s="316">
        <f>IF(N61&gt;=0,0,(IF(N61&gt;-60,0,IF(-60&gt;=N61,IF(N61&gt;-120,0,IF(N61&gt;=-180,0,IF(N61&gt;=-365,O61,0)))))))</f>
        <v>0</v>
      </c>
      <c r="V61" s="316">
        <f>IF(N61&gt;=0,0,IF(365&lt;-N61,O61,0))</f>
        <v>0</v>
      </c>
    </row>
    <row r="62" spans="1:22" s="290" customFormat="1" ht="15">
      <c r="A62" s="138"/>
      <c r="B62" s="138"/>
      <c r="C62" s="286"/>
      <c r="D62" s="140"/>
      <c r="E62" s="141">
        <f t="shared" ref="E62:K62" si="36">SUM(E61:E61)</f>
        <v>19763.975000000002</v>
      </c>
      <c r="F62" s="141">
        <f t="shared" si="36"/>
        <v>0</v>
      </c>
      <c r="G62" s="141">
        <f t="shared" si="36"/>
        <v>0</v>
      </c>
      <c r="H62" s="141">
        <f t="shared" si="36"/>
        <v>0</v>
      </c>
      <c r="I62" s="141">
        <f t="shared" si="36"/>
        <v>19763.975000000002</v>
      </c>
      <c r="J62" s="287">
        <f t="shared" si="36"/>
        <v>23716.770000000004</v>
      </c>
      <c r="K62" s="287">
        <f t="shared" si="36"/>
        <v>23716.770000000004</v>
      </c>
      <c r="L62" s="139"/>
      <c r="M62" s="139"/>
      <c r="N62" s="142"/>
      <c r="O62" s="141">
        <f>SUM(O61:O61)</f>
        <v>0</v>
      </c>
      <c r="P62" s="141">
        <f>SUM(P61:P61)</f>
        <v>0</v>
      </c>
      <c r="Q62" s="292"/>
      <c r="R62" s="337">
        <f>SUM(R61:R61)</f>
        <v>0</v>
      </c>
      <c r="S62" s="337">
        <f>SUM(S61:S61)</f>
        <v>0</v>
      </c>
      <c r="T62" s="337">
        <f>SUM(T61:T61)</f>
        <v>0</v>
      </c>
      <c r="U62" s="337">
        <f>SUM(U61:U61)</f>
        <v>0</v>
      </c>
      <c r="V62" s="337">
        <f>SUM(V61:V61)</f>
        <v>0</v>
      </c>
    </row>
    <row r="63" spans="1:22">
      <c r="A63" s="54" t="s">
        <v>139</v>
      </c>
      <c r="B63" s="54"/>
      <c r="C63" s="56"/>
      <c r="D63" s="57"/>
      <c r="E63" s="50">
        <f>49684.81/1.2</f>
        <v>41404.008333333331</v>
      </c>
      <c r="F63" s="50">
        <f>-E63*$F$10</f>
        <v>0</v>
      </c>
      <c r="G63" s="50">
        <f>E63*$G$10</f>
        <v>0</v>
      </c>
      <c r="H63" s="50"/>
      <c r="I63" s="50">
        <f>+E63+F63-G63-H63</f>
        <v>41404.008333333331</v>
      </c>
      <c r="J63" s="50">
        <f>+I63+(I63*$I$4)</f>
        <v>49684.81</v>
      </c>
      <c r="K63" s="50">
        <v>49684.81</v>
      </c>
      <c r="L63" s="51"/>
      <c r="M63" s="293"/>
      <c r="N63" s="52">
        <f>-IF(L63=0,,IF(M63=0,($C$10-L63),M63-L63))</f>
        <v>0</v>
      </c>
      <c r="O63" s="50">
        <f>+J63-K63</f>
        <v>0</v>
      </c>
      <c r="P63" s="50">
        <f>+IF($C$10&lt;L63,0,O63)</f>
        <v>0</v>
      </c>
      <c r="Q63" s="53"/>
      <c r="R63" s="316">
        <f>IF(N63&gt;=0,0,(IF(-N63&lt;=60,O63,0)))</f>
        <v>0</v>
      </c>
      <c r="S63" s="316">
        <f>IF(N63&gt;=0,0,(IF(N63&gt;=-60,0,IF(-60&gt;=N63,IF(N63&gt;=-120,O63,0)))))</f>
        <v>0</v>
      </c>
      <c r="T63" s="316">
        <f>IF(N63&gt;=0,0,(IF(N63&gt;-60,0,IF(-60&gt;=N63,IF(N63&gt;=-120,0,IF(N63&gt;=-180,O63,0))))))</f>
        <v>0</v>
      </c>
      <c r="U63" s="316">
        <f>IF(N63&gt;=0,0,(IF(N63&gt;-60,0,IF(-60&gt;=N63,IF(N63&gt;-120,0,IF(N63&gt;=-180,0,IF(N63&gt;=-365,O63,0)))))))</f>
        <v>0</v>
      </c>
      <c r="V63" s="316">
        <f>IF(N63&gt;=0,0,IF(365&lt;-N63,O63,0))</f>
        <v>0</v>
      </c>
    </row>
    <row r="64" spans="1:22" s="290" customFormat="1" ht="15">
      <c r="A64" s="138"/>
      <c r="B64" s="138"/>
      <c r="C64" s="286"/>
      <c r="D64" s="140"/>
      <c r="E64" s="141">
        <f t="shared" ref="E64:K64" si="37">SUM(E63:E63)</f>
        <v>41404.008333333331</v>
      </c>
      <c r="F64" s="141">
        <f t="shared" si="37"/>
        <v>0</v>
      </c>
      <c r="G64" s="141">
        <f t="shared" si="37"/>
        <v>0</v>
      </c>
      <c r="H64" s="141">
        <f t="shared" si="37"/>
        <v>0</v>
      </c>
      <c r="I64" s="141">
        <f t="shared" si="37"/>
        <v>41404.008333333331</v>
      </c>
      <c r="J64" s="287">
        <f t="shared" si="37"/>
        <v>49684.81</v>
      </c>
      <c r="K64" s="287">
        <f t="shared" si="37"/>
        <v>49684.81</v>
      </c>
      <c r="L64" s="139"/>
      <c r="M64" s="139"/>
      <c r="N64" s="142"/>
      <c r="O64" s="141">
        <f>SUM(O63:O63)</f>
        <v>0</v>
      </c>
      <c r="P64" s="141">
        <f>SUM(P63:P63)</f>
        <v>0</v>
      </c>
      <c r="Q64" s="292"/>
      <c r="R64" s="337">
        <f>SUM(R63:R63)</f>
        <v>0</v>
      </c>
      <c r="S64" s="337">
        <f>SUM(S63:S63)</f>
        <v>0</v>
      </c>
      <c r="T64" s="337">
        <f>SUM(T63:T63)</f>
        <v>0</v>
      </c>
      <c r="U64" s="337">
        <f>SUM(U63:U63)</f>
        <v>0</v>
      </c>
      <c r="V64" s="337">
        <f>SUM(V63:V63)</f>
        <v>0</v>
      </c>
    </row>
    <row r="65" spans="1:22">
      <c r="A65" s="54" t="s">
        <v>140</v>
      </c>
      <c r="B65" s="54"/>
      <c r="C65" s="56"/>
      <c r="D65" s="57"/>
      <c r="E65" s="50">
        <f>353902.38/1.2</f>
        <v>294918.65000000002</v>
      </c>
      <c r="F65" s="50">
        <f>-E65*$F$10</f>
        <v>0</v>
      </c>
      <c r="G65" s="50">
        <f>E65*$G$10</f>
        <v>0</v>
      </c>
      <c r="H65" s="50"/>
      <c r="I65" s="50">
        <f>+E65+F65-G65-H65</f>
        <v>294918.65000000002</v>
      </c>
      <c r="J65" s="50">
        <f>+I65+(I65*$I$4)</f>
        <v>353902.38</v>
      </c>
      <c r="K65" s="50">
        <v>353902.38</v>
      </c>
      <c r="L65" s="51"/>
      <c r="M65" s="293"/>
      <c r="N65" s="52">
        <f>-IF(L65=0,,IF(M65=0,($C$10-L65),M65-L65))</f>
        <v>0</v>
      </c>
      <c r="O65" s="50">
        <f>+J65-K65</f>
        <v>0</v>
      </c>
      <c r="P65" s="50">
        <f>+IF($C$10&lt;L65,0,O65)</f>
        <v>0</v>
      </c>
      <c r="Q65" s="53"/>
      <c r="R65" s="316">
        <f>IF(N65&gt;=0,0,(IF(-N65&lt;=60,O65,0)))</f>
        <v>0</v>
      </c>
      <c r="S65" s="316">
        <f>IF(N65&gt;=0,0,(IF(N65&gt;=-60,0,IF(-60&gt;=N65,IF(N65&gt;=-120,O65,0)))))</f>
        <v>0</v>
      </c>
      <c r="T65" s="316">
        <f>IF(N65&gt;=0,0,(IF(N65&gt;-60,0,IF(-60&gt;=N65,IF(N65&gt;=-120,0,IF(N65&gt;=-180,O65,0))))))</f>
        <v>0</v>
      </c>
      <c r="U65" s="316">
        <f>IF(N65&gt;=0,0,(IF(N65&gt;-60,0,IF(-60&gt;=N65,IF(N65&gt;-120,0,IF(N65&gt;=-180,0,IF(N65&gt;=-365,O65,0)))))))</f>
        <v>0</v>
      </c>
      <c r="V65" s="316">
        <f>IF(N65&gt;=0,0,IF(365&lt;-N65,O65,0))</f>
        <v>0</v>
      </c>
    </row>
    <row r="66" spans="1:22" s="290" customFormat="1" ht="15">
      <c r="A66" s="138"/>
      <c r="B66" s="138"/>
      <c r="C66" s="286"/>
      <c r="D66" s="140"/>
      <c r="E66" s="141">
        <f t="shared" ref="E66:K66" si="38">SUM(E65:E65)</f>
        <v>294918.65000000002</v>
      </c>
      <c r="F66" s="141">
        <f t="shared" si="38"/>
        <v>0</v>
      </c>
      <c r="G66" s="141">
        <f t="shared" si="38"/>
        <v>0</v>
      </c>
      <c r="H66" s="141">
        <f t="shared" si="38"/>
        <v>0</v>
      </c>
      <c r="I66" s="141">
        <f t="shared" si="38"/>
        <v>294918.65000000002</v>
      </c>
      <c r="J66" s="287">
        <f t="shared" si="38"/>
        <v>353902.38</v>
      </c>
      <c r="K66" s="287">
        <f t="shared" si="38"/>
        <v>353902.38</v>
      </c>
      <c r="L66" s="139"/>
      <c r="M66" s="139"/>
      <c r="N66" s="142"/>
      <c r="O66" s="141">
        <f>SUM(O65:O65)</f>
        <v>0</v>
      </c>
      <c r="P66" s="141">
        <f>SUM(P65:P65)</f>
        <v>0</v>
      </c>
      <c r="Q66" s="292"/>
      <c r="R66" s="337">
        <f>SUM(R65:R65)</f>
        <v>0</v>
      </c>
      <c r="S66" s="337">
        <f>SUM(S65:S65)</f>
        <v>0</v>
      </c>
      <c r="T66" s="337">
        <f>SUM(T65:T65)</f>
        <v>0</v>
      </c>
      <c r="U66" s="337">
        <f>SUM(U65:U65)</f>
        <v>0</v>
      </c>
      <c r="V66" s="337">
        <f>SUM(V65:V65)</f>
        <v>0</v>
      </c>
    </row>
    <row r="67" spans="1:22">
      <c r="A67" s="54" t="s">
        <v>141</v>
      </c>
      <c r="B67" s="54"/>
      <c r="C67" s="56"/>
      <c r="D67" s="57"/>
      <c r="E67" s="50">
        <f>54148.8/1.2</f>
        <v>45124.000000000007</v>
      </c>
      <c r="F67" s="50">
        <f>-E67*$F$10</f>
        <v>0</v>
      </c>
      <c r="G67" s="50">
        <f>E67*$G$10</f>
        <v>0</v>
      </c>
      <c r="H67" s="50"/>
      <c r="I67" s="50">
        <f>+E67+F67-G67-H67</f>
        <v>45124.000000000007</v>
      </c>
      <c r="J67" s="50">
        <f>+I67+(I67*$I$4)</f>
        <v>54148.80000000001</v>
      </c>
      <c r="K67" s="50">
        <v>54148.80000000001</v>
      </c>
      <c r="L67" s="51"/>
      <c r="M67" s="51"/>
      <c r="N67" s="52">
        <f>-IF(L67=0,,IF(M67=0,($C$10-L67),M67-L67))</f>
        <v>0</v>
      </c>
      <c r="O67" s="50">
        <f>+J67-K67</f>
        <v>0</v>
      </c>
      <c r="P67" s="50">
        <f>+IF($C$10&lt;L67,0,O67)</f>
        <v>0</v>
      </c>
      <c r="Q67" s="53"/>
      <c r="R67" s="316">
        <f>IF(N67&gt;=0,0,(IF(-N67&lt;=60,O67,0)))</f>
        <v>0</v>
      </c>
      <c r="S67" s="316">
        <f>IF(N67&gt;=0,0,(IF(N67&gt;=-60,0,IF(-60&gt;=N67,IF(N67&gt;=-120,O67,0)))))</f>
        <v>0</v>
      </c>
      <c r="T67" s="316">
        <f>IF(N67&gt;=0,0,(IF(N67&gt;-60,0,IF(-60&gt;=N67,IF(N67&gt;=-120,0,IF(N67&gt;=-180,O67,0))))))</f>
        <v>0</v>
      </c>
      <c r="U67" s="316">
        <f>IF(N67&gt;=0,0,(IF(N67&gt;-60,0,IF(-60&gt;=N67,IF(N67&gt;-120,0,IF(N67&gt;=-180,0,IF(N67&gt;=-365,O67,0)))))))</f>
        <v>0</v>
      </c>
      <c r="V67" s="316">
        <f>IF(N67&gt;=0,0,IF(365&lt;-N67,O67,0))</f>
        <v>0</v>
      </c>
    </row>
    <row r="68" spans="1:22" s="290" customFormat="1" ht="15">
      <c r="A68" s="138"/>
      <c r="B68" s="138"/>
      <c r="C68" s="286"/>
      <c r="D68" s="140"/>
      <c r="E68" s="141">
        <f t="shared" ref="E68:K68" si="39">SUM(E67:E67)</f>
        <v>45124.000000000007</v>
      </c>
      <c r="F68" s="141">
        <f t="shared" si="39"/>
        <v>0</v>
      </c>
      <c r="G68" s="141">
        <f t="shared" si="39"/>
        <v>0</v>
      </c>
      <c r="H68" s="141">
        <f t="shared" si="39"/>
        <v>0</v>
      </c>
      <c r="I68" s="141">
        <f t="shared" si="39"/>
        <v>45124.000000000007</v>
      </c>
      <c r="J68" s="287">
        <f t="shared" si="39"/>
        <v>54148.80000000001</v>
      </c>
      <c r="K68" s="287">
        <f t="shared" si="39"/>
        <v>54148.80000000001</v>
      </c>
      <c r="L68" s="139"/>
      <c r="M68" s="139"/>
      <c r="N68" s="142"/>
      <c r="O68" s="141">
        <f>SUM(O67:O67)</f>
        <v>0</v>
      </c>
      <c r="P68" s="141">
        <f>SUM(P67:P67)</f>
        <v>0</v>
      </c>
      <c r="Q68" s="292"/>
      <c r="R68" s="337">
        <f>SUM(R67:R67)</f>
        <v>0</v>
      </c>
      <c r="S68" s="337">
        <f>SUM(S67:S67)</f>
        <v>0</v>
      </c>
      <c r="T68" s="337">
        <f>SUM(T67:T67)</f>
        <v>0</v>
      </c>
      <c r="U68" s="337">
        <f>SUM(U67:U67)</f>
        <v>0</v>
      </c>
      <c r="V68" s="337">
        <f>SUM(V67:V67)</f>
        <v>0</v>
      </c>
    </row>
    <row r="69" spans="1:22">
      <c r="A69" s="54" t="s">
        <v>142</v>
      </c>
      <c r="B69" s="54"/>
      <c r="C69" s="56"/>
      <c r="D69" s="57"/>
      <c r="E69" s="50">
        <f>40759.74/1.2</f>
        <v>33966.449999999997</v>
      </c>
      <c r="F69" s="50">
        <f>-E69*$F$10</f>
        <v>0</v>
      </c>
      <c r="G69" s="50">
        <f>E69*$G$10</f>
        <v>0</v>
      </c>
      <c r="H69" s="50"/>
      <c r="I69" s="50">
        <f>+E69+F69-G69-H69</f>
        <v>33966.449999999997</v>
      </c>
      <c r="J69" s="50">
        <f>+I69+(I69*$I$4)</f>
        <v>40759.74</v>
      </c>
      <c r="K69" s="50">
        <v>40759.74</v>
      </c>
      <c r="L69" s="51"/>
      <c r="M69" s="51"/>
      <c r="N69" s="52">
        <f>-IF(L69=0,,IF(M69=0,($C$10-L69),M69-L69))</f>
        <v>0</v>
      </c>
      <c r="O69" s="50">
        <f>+J69-K69</f>
        <v>0</v>
      </c>
      <c r="P69" s="50">
        <f>+IF($C$10&lt;L69,0,O69)</f>
        <v>0</v>
      </c>
      <c r="Q69" s="53"/>
      <c r="R69" s="316">
        <f>IF(N69&gt;=0,0,(IF(-N69&lt;=60,O69,0)))</f>
        <v>0</v>
      </c>
      <c r="S69" s="316">
        <f>IF(N69&gt;=0,0,(IF(N69&gt;=-60,0,IF(-60&gt;=N69,IF(N69&gt;=-120,O69,0)))))</f>
        <v>0</v>
      </c>
      <c r="T69" s="316">
        <f>IF(N69&gt;=0,0,(IF(N69&gt;-60,0,IF(-60&gt;=N69,IF(N69&gt;=-120,0,IF(N69&gt;=-180,O69,0))))))</f>
        <v>0</v>
      </c>
      <c r="U69" s="316">
        <f>IF(N69&gt;=0,0,(IF(N69&gt;-60,0,IF(-60&gt;=N69,IF(N69&gt;-120,0,IF(N69&gt;=-180,0,IF(N69&gt;=-365,O69,0)))))))</f>
        <v>0</v>
      </c>
      <c r="V69" s="316">
        <f>IF(N69&gt;=0,0,IF(365&lt;-N69,O69,0))</f>
        <v>0</v>
      </c>
    </row>
    <row r="70" spans="1:22" s="290" customFormat="1" ht="15">
      <c r="A70" s="138"/>
      <c r="B70" s="138"/>
      <c r="C70" s="286"/>
      <c r="D70" s="140"/>
      <c r="E70" s="141">
        <f t="shared" ref="E70:K70" si="40">SUM(E69:E69)</f>
        <v>33966.449999999997</v>
      </c>
      <c r="F70" s="141">
        <f t="shared" si="40"/>
        <v>0</v>
      </c>
      <c r="G70" s="141">
        <f t="shared" si="40"/>
        <v>0</v>
      </c>
      <c r="H70" s="141">
        <f t="shared" si="40"/>
        <v>0</v>
      </c>
      <c r="I70" s="141">
        <f t="shared" si="40"/>
        <v>33966.449999999997</v>
      </c>
      <c r="J70" s="287">
        <f t="shared" si="40"/>
        <v>40759.74</v>
      </c>
      <c r="K70" s="287">
        <f t="shared" si="40"/>
        <v>40759.74</v>
      </c>
      <c r="L70" s="139"/>
      <c r="M70" s="139"/>
      <c r="N70" s="142"/>
      <c r="O70" s="141">
        <f>SUM(O69:O69)</f>
        <v>0</v>
      </c>
      <c r="P70" s="141">
        <f>SUM(P69:P69)</f>
        <v>0</v>
      </c>
      <c r="Q70" s="292"/>
      <c r="R70" s="337">
        <f>SUM(R69:R69)</f>
        <v>0</v>
      </c>
      <c r="S70" s="337">
        <f>SUM(S69:S69)</f>
        <v>0</v>
      </c>
      <c r="T70" s="337">
        <f>SUM(T69:T69)</f>
        <v>0</v>
      </c>
      <c r="U70" s="337">
        <f>SUM(U69:U69)</f>
        <v>0</v>
      </c>
      <c r="V70" s="337">
        <f>SUM(V69:V69)</f>
        <v>0</v>
      </c>
    </row>
    <row r="71" spans="1:22">
      <c r="A71" s="54" t="s">
        <v>143</v>
      </c>
      <c r="B71" s="54"/>
      <c r="C71" s="56"/>
      <c r="D71" s="57"/>
      <c r="E71" s="50">
        <f>151170.78/1.2</f>
        <v>125975.65000000001</v>
      </c>
      <c r="F71" s="50">
        <f>-E71*$F$10</f>
        <v>0</v>
      </c>
      <c r="G71" s="50">
        <f>E71*$G$10</f>
        <v>0</v>
      </c>
      <c r="H71" s="50"/>
      <c r="I71" s="50">
        <f>+E71+F71-G71-H71</f>
        <v>125975.65000000001</v>
      </c>
      <c r="J71" s="50">
        <f>+I71+(I71*$I$4)</f>
        <v>151170.78000000003</v>
      </c>
      <c r="K71" s="50">
        <v>151170.78000000003</v>
      </c>
      <c r="L71" s="51"/>
      <c r="M71" s="51"/>
      <c r="N71" s="52">
        <f>-IF(L71=0,,IF(M71=0,($C$10-L71),M71-L71))</f>
        <v>0</v>
      </c>
      <c r="O71" s="50">
        <f>+J71-K71</f>
        <v>0</v>
      </c>
      <c r="P71" s="50">
        <f>+IF($C$10&lt;L71,0,O71)</f>
        <v>0</v>
      </c>
      <c r="Q71" s="53"/>
      <c r="R71" s="316">
        <f>IF(N71&gt;=0,0,(IF(-N71&lt;=60,O71,0)))</f>
        <v>0</v>
      </c>
      <c r="S71" s="316">
        <f>IF(N71&gt;=0,0,(IF(N71&gt;=-60,0,IF(-60&gt;=N71,IF(N71&gt;=-120,O71,0)))))</f>
        <v>0</v>
      </c>
      <c r="T71" s="316">
        <f>IF(N71&gt;=0,0,(IF(N71&gt;-60,0,IF(-60&gt;=N71,IF(N71&gt;=-120,0,IF(N71&gt;=-180,O71,0))))))</f>
        <v>0</v>
      </c>
      <c r="U71" s="316">
        <f>IF(N71&gt;=0,0,(IF(N71&gt;-60,0,IF(-60&gt;=N71,IF(N71&gt;-120,0,IF(N71&gt;=-180,0,IF(N71&gt;=-365,O71,0)))))))</f>
        <v>0</v>
      </c>
      <c r="V71" s="316">
        <f>IF(N71&gt;=0,0,IF(365&lt;-N71,O71,0))</f>
        <v>0</v>
      </c>
    </row>
    <row r="72" spans="1:22" s="290" customFormat="1" ht="15">
      <c r="A72" s="138"/>
      <c r="B72" s="138"/>
      <c r="C72" s="286"/>
      <c r="D72" s="140"/>
      <c r="E72" s="141">
        <f t="shared" ref="E72:K72" si="41">SUM(E71:E71)</f>
        <v>125975.65000000001</v>
      </c>
      <c r="F72" s="141">
        <f t="shared" si="41"/>
        <v>0</v>
      </c>
      <c r="G72" s="141">
        <f t="shared" si="41"/>
        <v>0</v>
      </c>
      <c r="H72" s="141">
        <f t="shared" si="41"/>
        <v>0</v>
      </c>
      <c r="I72" s="141">
        <f t="shared" si="41"/>
        <v>125975.65000000001</v>
      </c>
      <c r="J72" s="287">
        <f t="shared" si="41"/>
        <v>151170.78000000003</v>
      </c>
      <c r="K72" s="287">
        <f t="shared" si="41"/>
        <v>151170.78000000003</v>
      </c>
      <c r="L72" s="139"/>
      <c r="M72" s="139"/>
      <c r="N72" s="142"/>
      <c r="O72" s="141">
        <f>SUM(O71:O71)</f>
        <v>0</v>
      </c>
      <c r="P72" s="141">
        <f>SUM(P71:P71)</f>
        <v>0</v>
      </c>
      <c r="Q72" s="292"/>
      <c r="R72" s="337">
        <f>SUM(R71:R71)</f>
        <v>0</v>
      </c>
      <c r="S72" s="337">
        <f>SUM(S71:S71)</f>
        <v>0</v>
      </c>
      <c r="T72" s="337">
        <f>SUM(T71:T71)</f>
        <v>0</v>
      </c>
      <c r="U72" s="337">
        <f>SUM(U71:U71)</f>
        <v>0</v>
      </c>
      <c r="V72" s="337">
        <f>SUM(V71:V71)</f>
        <v>0</v>
      </c>
    </row>
    <row r="73" spans="1:22">
      <c r="A73" s="54" t="s">
        <v>144</v>
      </c>
      <c r="B73" s="54"/>
      <c r="C73" s="56"/>
      <c r="D73" s="57"/>
      <c r="E73" s="50">
        <f>33203.52/1.2</f>
        <v>27669.599999999999</v>
      </c>
      <c r="F73" s="50">
        <f>-E73*$F$10</f>
        <v>0</v>
      </c>
      <c r="G73" s="50">
        <f>E73*$G$10</f>
        <v>0</v>
      </c>
      <c r="H73" s="50"/>
      <c r="I73" s="50">
        <f>+E73+F73-G73-H73</f>
        <v>27669.599999999999</v>
      </c>
      <c r="J73" s="50">
        <f>+I73+(I73*$I$4)</f>
        <v>33203.519999999997</v>
      </c>
      <c r="K73" s="50">
        <v>33203.519999999997</v>
      </c>
      <c r="L73" s="51"/>
      <c r="M73" s="51"/>
      <c r="N73" s="52">
        <f>-IF(L73=0,,IF(M73=0,($C$10-L73),M73-L73))</f>
        <v>0</v>
      </c>
      <c r="O73" s="50">
        <f>+J73-K73</f>
        <v>0</v>
      </c>
      <c r="P73" s="50">
        <f>+IF($C$10&lt;L73,0,O73)</f>
        <v>0</v>
      </c>
      <c r="Q73" s="53"/>
      <c r="R73" s="316">
        <f>IF(N73&gt;=0,0,(IF(-N73&lt;=60,O73,0)))</f>
        <v>0</v>
      </c>
      <c r="S73" s="316">
        <f>IF(N73&gt;=0,0,(IF(N73&gt;=-60,0,IF(-60&gt;=N73,IF(N73&gt;=-120,O73,0)))))</f>
        <v>0</v>
      </c>
      <c r="T73" s="316">
        <f>IF(N73&gt;=0,0,(IF(N73&gt;-60,0,IF(-60&gt;=N73,IF(N73&gt;=-120,0,IF(N73&gt;=-180,O73,0))))))</f>
        <v>0</v>
      </c>
      <c r="U73" s="316">
        <f>IF(N73&gt;=0,0,(IF(N73&gt;-60,0,IF(-60&gt;=N73,IF(N73&gt;-120,0,IF(N73&gt;=-180,0,IF(N73&gt;=-365,O73,0)))))))</f>
        <v>0</v>
      </c>
      <c r="V73" s="316">
        <f>IF(N73&gt;=0,0,IF(365&lt;-N73,O73,0))</f>
        <v>0</v>
      </c>
    </row>
    <row r="74" spans="1:22" s="290" customFormat="1" ht="15">
      <c r="A74" s="138"/>
      <c r="B74" s="138"/>
      <c r="C74" s="286"/>
      <c r="D74" s="140"/>
      <c r="E74" s="141">
        <f t="shared" ref="E74:K74" si="42">SUM(E73:E73)</f>
        <v>27669.599999999999</v>
      </c>
      <c r="F74" s="141">
        <f t="shared" si="42"/>
        <v>0</v>
      </c>
      <c r="G74" s="141">
        <f t="shared" si="42"/>
        <v>0</v>
      </c>
      <c r="H74" s="141">
        <f t="shared" si="42"/>
        <v>0</v>
      </c>
      <c r="I74" s="141">
        <f t="shared" si="42"/>
        <v>27669.599999999999</v>
      </c>
      <c r="J74" s="287">
        <f t="shared" si="42"/>
        <v>33203.519999999997</v>
      </c>
      <c r="K74" s="287">
        <f t="shared" si="42"/>
        <v>33203.519999999997</v>
      </c>
      <c r="L74" s="139"/>
      <c r="M74" s="139"/>
      <c r="N74" s="142"/>
      <c r="O74" s="141">
        <f>SUM(O73:O73)</f>
        <v>0</v>
      </c>
      <c r="P74" s="141">
        <f>SUM(P73:P73)</f>
        <v>0</v>
      </c>
      <c r="Q74" s="292"/>
      <c r="R74" s="337">
        <f>SUM(R73:R73)</f>
        <v>0</v>
      </c>
      <c r="S74" s="337">
        <f>SUM(S73:S73)</f>
        <v>0</v>
      </c>
      <c r="T74" s="337">
        <f>SUM(T73:T73)</f>
        <v>0</v>
      </c>
      <c r="U74" s="337">
        <f>SUM(U73:U73)</f>
        <v>0</v>
      </c>
      <c r="V74" s="337">
        <f>SUM(V73:V73)</f>
        <v>0</v>
      </c>
    </row>
    <row r="75" spans="1:22">
      <c r="A75" s="54" t="s">
        <v>145</v>
      </c>
      <c r="B75" s="54"/>
      <c r="C75" s="56"/>
      <c r="D75" s="57"/>
      <c r="E75" s="50">
        <f>16465.68/1.2</f>
        <v>13721.400000000001</v>
      </c>
      <c r="F75" s="50">
        <f>-E75*$F$10</f>
        <v>0</v>
      </c>
      <c r="G75" s="50">
        <f>E75*$G$10</f>
        <v>0</v>
      </c>
      <c r="H75" s="50"/>
      <c r="I75" s="50">
        <f>+E75+F75-G75-H75</f>
        <v>13721.400000000001</v>
      </c>
      <c r="J75" s="50">
        <f>+I75+(I75*$I$4)</f>
        <v>16465.68</v>
      </c>
      <c r="K75" s="50">
        <v>16465.68</v>
      </c>
      <c r="L75" s="51"/>
      <c r="M75" s="51"/>
      <c r="N75" s="52">
        <f>-IF(L75=0,,IF(M75=0,($C$10-L75),M75-L75))</f>
        <v>0</v>
      </c>
      <c r="O75" s="50">
        <f>+J75-K75</f>
        <v>0</v>
      </c>
      <c r="P75" s="50">
        <f>+IF($C$10&lt;L75,0,O75)</f>
        <v>0</v>
      </c>
      <c r="Q75" s="53"/>
      <c r="R75" s="316">
        <f>IF(N75&gt;=0,0,(IF(-N75&lt;=60,O75,0)))</f>
        <v>0</v>
      </c>
      <c r="S75" s="316">
        <f>IF(N75&gt;=0,0,(IF(N75&gt;=-60,0,IF(-60&gt;=N75,IF(N75&gt;=-120,O75,0)))))</f>
        <v>0</v>
      </c>
      <c r="T75" s="316">
        <f>IF(N75&gt;=0,0,(IF(N75&gt;-60,0,IF(-60&gt;=N75,IF(N75&gt;=-120,0,IF(N75&gt;=-180,O75,0))))))</f>
        <v>0</v>
      </c>
      <c r="U75" s="316">
        <f>IF(N75&gt;=0,0,(IF(N75&gt;-60,0,IF(-60&gt;=N75,IF(N75&gt;-120,0,IF(N75&gt;=-180,0,IF(N75&gt;=-365,O75,0)))))))</f>
        <v>0</v>
      </c>
      <c r="V75" s="316">
        <f>IF(N75&gt;=0,0,IF(365&lt;-N75,O75,0))</f>
        <v>0</v>
      </c>
    </row>
    <row r="76" spans="1:22" s="290" customFormat="1" ht="15">
      <c r="A76" s="138"/>
      <c r="B76" s="138"/>
      <c r="C76" s="286"/>
      <c r="D76" s="140"/>
      <c r="E76" s="141">
        <f t="shared" ref="E76:K76" si="43">SUM(E75:E75)</f>
        <v>13721.400000000001</v>
      </c>
      <c r="F76" s="141">
        <f t="shared" si="43"/>
        <v>0</v>
      </c>
      <c r="G76" s="141">
        <f t="shared" si="43"/>
        <v>0</v>
      </c>
      <c r="H76" s="141">
        <f t="shared" si="43"/>
        <v>0</v>
      </c>
      <c r="I76" s="141">
        <f t="shared" si="43"/>
        <v>13721.400000000001</v>
      </c>
      <c r="J76" s="287">
        <f t="shared" si="43"/>
        <v>16465.68</v>
      </c>
      <c r="K76" s="287">
        <f t="shared" si="43"/>
        <v>16465.68</v>
      </c>
      <c r="L76" s="139"/>
      <c r="M76" s="139"/>
      <c r="N76" s="142"/>
      <c r="O76" s="141">
        <f>SUM(O75:O75)</f>
        <v>0</v>
      </c>
      <c r="P76" s="141">
        <f>SUM(P75:P75)</f>
        <v>0</v>
      </c>
      <c r="Q76" s="292"/>
      <c r="R76" s="337">
        <f>SUM(R75:R75)</f>
        <v>0</v>
      </c>
      <c r="S76" s="337">
        <f>SUM(S75:S75)</f>
        <v>0</v>
      </c>
      <c r="T76" s="337">
        <f>SUM(T75:T75)</f>
        <v>0</v>
      </c>
      <c r="U76" s="337">
        <f>SUM(U75:U75)</f>
        <v>0</v>
      </c>
      <c r="V76" s="337">
        <f>SUM(V75:V75)</f>
        <v>0</v>
      </c>
    </row>
    <row r="77" spans="1:22">
      <c r="A77" s="54" t="s">
        <v>146</v>
      </c>
      <c r="B77" s="54"/>
      <c r="C77" s="56"/>
      <c r="D77" s="57"/>
      <c r="E77" s="50">
        <f>190993.99/1.2</f>
        <v>159161.65833333333</v>
      </c>
      <c r="F77" s="50">
        <f>-E77*$F$10</f>
        <v>0</v>
      </c>
      <c r="G77" s="50">
        <f>E77*$G$10</f>
        <v>0</v>
      </c>
      <c r="H77" s="50"/>
      <c r="I77" s="50">
        <f>+E77+F77-G77-H77</f>
        <v>159161.65833333333</v>
      </c>
      <c r="J77" s="50">
        <f>+I77+(I77*$I$4)</f>
        <v>190993.99</v>
      </c>
      <c r="K77" s="50">
        <v>190993.99</v>
      </c>
      <c r="L77" s="51"/>
      <c r="M77" s="51"/>
      <c r="N77" s="52">
        <f>-IF(L77=0,,IF(M77=0,($C$10-L77),M77-L77))</f>
        <v>0</v>
      </c>
      <c r="O77" s="50">
        <f>+J77-K77</f>
        <v>0</v>
      </c>
      <c r="P77" s="50">
        <f>+IF($C$10&lt;L77,0,O77)</f>
        <v>0</v>
      </c>
      <c r="Q77" s="53"/>
      <c r="R77" s="316">
        <f>IF(N77&gt;=0,0,(IF(-N77&lt;=60,O77,0)))</f>
        <v>0</v>
      </c>
      <c r="S77" s="316">
        <f>IF(N77&gt;=0,0,(IF(N77&gt;=-60,0,IF(-60&gt;=N77,IF(N77&gt;=-120,O77,0)))))</f>
        <v>0</v>
      </c>
      <c r="T77" s="316">
        <f>IF(N77&gt;=0,0,(IF(N77&gt;-60,0,IF(-60&gt;=N77,IF(N77&gt;=-120,0,IF(N77&gt;=-180,O77,0))))))</f>
        <v>0</v>
      </c>
      <c r="U77" s="316">
        <f>IF(N77&gt;=0,0,(IF(N77&gt;-60,0,IF(-60&gt;=N77,IF(N77&gt;-120,0,IF(N77&gt;=-180,0,IF(N77&gt;=-365,O77,0)))))))</f>
        <v>0</v>
      </c>
      <c r="V77" s="316">
        <f>IF(N77&gt;=0,0,IF(365&lt;-N77,O77,0))</f>
        <v>0</v>
      </c>
    </row>
    <row r="78" spans="1:22" s="290" customFormat="1" ht="15">
      <c r="A78" s="138"/>
      <c r="B78" s="138"/>
      <c r="C78" s="286"/>
      <c r="D78" s="140"/>
      <c r="E78" s="141">
        <f t="shared" ref="E78:K78" si="44">SUM(E77:E77)</f>
        <v>159161.65833333333</v>
      </c>
      <c r="F78" s="141">
        <f t="shared" si="44"/>
        <v>0</v>
      </c>
      <c r="G78" s="141">
        <f t="shared" si="44"/>
        <v>0</v>
      </c>
      <c r="H78" s="141">
        <f t="shared" si="44"/>
        <v>0</v>
      </c>
      <c r="I78" s="141">
        <f t="shared" si="44"/>
        <v>159161.65833333333</v>
      </c>
      <c r="J78" s="287">
        <f t="shared" si="44"/>
        <v>190993.99</v>
      </c>
      <c r="K78" s="287">
        <f t="shared" si="44"/>
        <v>190993.99</v>
      </c>
      <c r="L78" s="139"/>
      <c r="M78" s="139"/>
      <c r="N78" s="142"/>
      <c r="O78" s="141">
        <f>SUM(O77:O77)</f>
        <v>0</v>
      </c>
      <c r="P78" s="141">
        <f>SUM(P77:P77)</f>
        <v>0</v>
      </c>
      <c r="Q78" s="292"/>
      <c r="R78" s="337">
        <f>SUM(R77:R77)</f>
        <v>0</v>
      </c>
      <c r="S78" s="337">
        <f>SUM(S77:S77)</f>
        <v>0</v>
      </c>
      <c r="T78" s="337">
        <f>SUM(T77:T77)</f>
        <v>0</v>
      </c>
      <c r="U78" s="337">
        <f>SUM(U77:U77)</f>
        <v>0</v>
      </c>
      <c r="V78" s="337">
        <f>SUM(V77:V77)</f>
        <v>0</v>
      </c>
    </row>
    <row r="79" spans="1:22">
      <c r="A79" s="54" t="s">
        <v>147</v>
      </c>
      <c r="B79" s="54"/>
      <c r="C79" s="56"/>
      <c r="D79" s="57"/>
      <c r="E79" s="50">
        <f>64022.4/1.2</f>
        <v>53352</v>
      </c>
      <c r="F79" s="50">
        <f>-E79*$F$10</f>
        <v>0</v>
      </c>
      <c r="G79" s="50">
        <f>E79*$G$10</f>
        <v>0</v>
      </c>
      <c r="H79" s="50"/>
      <c r="I79" s="50">
        <f>+E79+F79-G79-H79</f>
        <v>53352</v>
      </c>
      <c r="J79" s="50">
        <f>+I79+(I79*$I$4)</f>
        <v>64022.400000000001</v>
      </c>
      <c r="K79" s="50">
        <v>64022.400000000001</v>
      </c>
      <c r="L79" s="51"/>
      <c r="M79" s="51"/>
      <c r="N79" s="52">
        <f>-IF(L79=0,,IF(M79=0,($C$10-L79),M79-L79))</f>
        <v>0</v>
      </c>
      <c r="O79" s="50">
        <f>+J79-K79</f>
        <v>0</v>
      </c>
      <c r="P79" s="50">
        <f>+IF($C$10&lt;L79,0,O79)</f>
        <v>0</v>
      </c>
      <c r="Q79" s="53"/>
      <c r="R79" s="316">
        <f>IF(N79&gt;=0,0,(IF(-N79&lt;=60,O79,0)))</f>
        <v>0</v>
      </c>
      <c r="S79" s="316">
        <f>IF(N79&gt;=0,0,(IF(N79&gt;=-60,0,IF(-60&gt;=N79,IF(N79&gt;=-120,O79,0)))))</f>
        <v>0</v>
      </c>
      <c r="T79" s="316">
        <f>IF(N79&gt;=0,0,(IF(N79&gt;-60,0,IF(-60&gt;=N79,IF(N79&gt;=-120,0,IF(N79&gt;=-180,O79,0))))))</f>
        <v>0</v>
      </c>
      <c r="U79" s="316">
        <f>IF(N79&gt;=0,0,(IF(N79&gt;-60,0,IF(-60&gt;=N79,IF(N79&gt;-120,0,IF(N79&gt;=-180,0,IF(N79&gt;=-365,O79,0)))))))</f>
        <v>0</v>
      </c>
      <c r="V79" s="316">
        <f>IF(N79&gt;=0,0,IF(365&lt;-N79,O79,0))</f>
        <v>0</v>
      </c>
    </row>
    <row r="80" spans="1:22" s="290" customFormat="1" ht="15">
      <c r="A80" s="138"/>
      <c r="B80" s="138"/>
      <c r="C80" s="286"/>
      <c r="D80" s="140"/>
      <c r="E80" s="141">
        <f t="shared" ref="E80:K80" si="45">SUM(E79:E79)</f>
        <v>53352</v>
      </c>
      <c r="F80" s="141">
        <f t="shared" si="45"/>
        <v>0</v>
      </c>
      <c r="G80" s="141">
        <f t="shared" si="45"/>
        <v>0</v>
      </c>
      <c r="H80" s="141">
        <f t="shared" si="45"/>
        <v>0</v>
      </c>
      <c r="I80" s="141">
        <f t="shared" si="45"/>
        <v>53352</v>
      </c>
      <c r="J80" s="287">
        <f t="shared" si="45"/>
        <v>64022.400000000001</v>
      </c>
      <c r="K80" s="287">
        <f t="shared" si="45"/>
        <v>64022.400000000001</v>
      </c>
      <c r="L80" s="139"/>
      <c r="M80" s="139"/>
      <c r="N80" s="142"/>
      <c r="O80" s="141">
        <f>SUM(O79:O79)</f>
        <v>0</v>
      </c>
      <c r="P80" s="141">
        <f>SUM(P79:P79)</f>
        <v>0</v>
      </c>
      <c r="Q80" s="292"/>
      <c r="R80" s="337">
        <f>SUM(R79:R79)</f>
        <v>0</v>
      </c>
      <c r="S80" s="337">
        <f>SUM(S79:S79)</f>
        <v>0</v>
      </c>
      <c r="T80" s="337">
        <f>SUM(T79:T79)</f>
        <v>0</v>
      </c>
      <c r="U80" s="337">
        <f>SUM(U79:U79)</f>
        <v>0</v>
      </c>
      <c r="V80" s="337">
        <f>SUM(V79:V79)</f>
        <v>0</v>
      </c>
    </row>
    <row r="81" spans="1:22">
      <c r="A81" s="54" t="s">
        <v>148</v>
      </c>
      <c r="B81" s="54"/>
      <c r="C81" s="56"/>
      <c r="D81" s="57"/>
      <c r="E81" s="50">
        <f>134702.4/1.2</f>
        <v>112252</v>
      </c>
      <c r="F81" s="50">
        <f>-E81*$F$10</f>
        <v>0</v>
      </c>
      <c r="G81" s="50">
        <f>E81*$G$10</f>
        <v>0</v>
      </c>
      <c r="H81" s="50"/>
      <c r="I81" s="50">
        <f>+E81+F81-G81-H81</f>
        <v>112252</v>
      </c>
      <c r="J81" s="50">
        <f>+I81+(I81*$I$4)</f>
        <v>134702.39999999999</v>
      </c>
      <c r="K81" s="50">
        <v>134702.39999999999</v>
      </c>
      <c r="L81" s="51"/>
      <c r="M81" s="51"/>
      <c r="N81" s="52">
        <f>-IF(L81=0,,IF(M81=0,($C$10-L81),M81-L81))</f>
        <v>0</v>
      </c>
      <c r="O81" s="50">
        <f>+J81-K81</f>
        <v>0</v>
      </c>
      <c r="P81" s="50">
        <f>+IF($C$10&lt;L81,0,O81)</f>
        <v>0</v>
      </c>
      <c r="Q81" s="53"/>
      <c r="R81" s="316">
        <f>IF(N81&gt;=0,0,(IF(-N81&lt;=60,O81,0)))</f>
        <v>0</v>
      </c>
      <c r="S81" s="316">
        <f>IF(N81&gt;=0,0,(IF(N81&gt;=-60,0,IF(-60&gt;=N81,IF(N81&gt;=-120,O81,0)))))</f>
        <v>0</v>
      </c>
      <c r="T81" s="316">
        <f>IF(N81&gt;=0,0,(IF(N81&gt;-60,0,IF(-60&gt;=N81,IF(N81&gt;=-120,0,IF(N81&gt;=-180,O81,0))))))</f>
        <v>0</v>
      </c>
      <c r="U81" s="316">
        <f>IF(N81&gt;=0,0,(IF(N81&gt;-60,0,IF(-60&gt;=N81,IF(N81&gt;-120,0,IF(N81&gt;=-180,0,IF(N81&gt;=-365,O81,0)))))))</f>
        <v>0</v>
      </c>
      <c r="V81" s="316">
        <f>IF(N81&gt;=0,0,IF(365&lt;-N81,O81,0))</f>
        <v>0</v>
      </c>
    </row>
    <row r="82" spans="1:22" s="290" customFormat="1" ht="15">
      <c r="A82" s="138"/>
      <c r="B82" s="138"/>
      <c r="C82" s="286"/>
      <c r="D82" s="140"/>
      <c r="E82" s="141">
        <f t="shared" ref="E82:K82" si="46">SUM(E81:E81)</f>
        <v>112252</v>
      </c>
      <c r="F82" s="141">
        <f t="shared" si="46"/>
        <v>0</v>
      </c>
      <c r="G82" s="141">
        <f t="shared" si="46"/>
        <v>0</v>
      </c>
      <c r="H82" s="141">
        <f t="shared" si="46"/>
        <v>0</v>
      </c>
      <c r="I82" s="141">
        <f t="shared" si="46"/>
        <v>112252</v>
      </c>
      <c r="J82" s="287">
        <f t="shared" si="46"/>
        <v>134702.39999999999</v>
      </c>
      <c r="K82" s="287">
        <f t="shared" si="46"/>
        <v>134702.39999999999</v>
      </c>
      <c r="L82" s="139"/>
      <c r="M82" s="139"/>
      <c r="N82" s="142"/>
      <c r="O82" s="141">
        <f>SUM(O81:O81)</f>
        <v>0</v>
      </c>
      <c r="P82" s="141">
        <f>SUM(P81:P81)</f>
        <v>0</v>
      </c>
      <c r="Q82" s="292"/>
      <c r="R82" s="337">
        <f>SUM(R81:R81)</f>
        <v>0</v>
      </c>
      <c r="S82" s="337">
        <f>SUM(S81:S81)</f>
        <v>0</v>
      </c>
      <c r="T82" s="337">
        <f>SUM(T81:T81)</f>
        <v>0</v>
      </c>
      <c r="U82" s="337">
        <f>SUM(U81:U81)</f>
        <v>0</v>
      </c>
      <c r="V82" s="337">
        <f>SUM(V81:V81)</f>
        <v>0</v>
      </c>
    </row>
    <row r="83" spans="1:22">
      <c r="A83" s="54" t="s">
        <v>149</v>
      </c>
      <c r="B83" s="54"/>
      <c r="C83" s="56"/>
      <c r="D83" s="57"/>
      <c r="E83" s="50">
        <f>414123.36/1.2</f>
        <v>345102.8</v>
      </c>
      <c r="F83" s="50">
        <f>-E83*$F$10</f>
        <v>0</v>
      </c>
      <c r="G83" s="50">
        <f>E83*$G$10</f>
        <v>0</v>
      </c>
      <c r="H83" s="50"/>
      <c r="I83" s="50">
        <f>+E83+F83-G83-H83</f>
        <v>345102.8</v>
      </c>
      <c r="J83" s="50">
        <f>+I83+(I83*$I$4)</f>
        <v>414123.36</v>
      </c>
      <c r="K83" s="50">
        <v>414123.36</v>
      </c>
      <c r="L83" s="51"/>
      <c r="M83" s="51"/>
      <c r="N83" s="52">
        <f>-IF(L83=0,,IF(M83=0,($C$10-L83),M83-L83))</f>
        <v>0</v>
      </c>
      <c r="O83" s="50">
        <f>+J83-K83</f>
        <v>0</v>
      </c>
      <c r="P83" s="50">
        <f>+IF($C$10&lt;L83,0,O83)</f>
        <v>0</v>
      </c>
      <c r="Q83" s="53"/>
      <c r="R83" s="316">
        <f>IF(N83&gt;=0,0,(IF(-N83&lt;=60,O83,0)))</f>
        <v>0</v>
      </c>
      <c r="S83" s="316">
        <f>IF(N83&gt;=0,0,(IF(N83&gt;=-60,0,IF(-60&gt;=N83,IF(N83&gt;=-120,O83,0)))))</f>
        <v>0</v>
      </c>
      <c r="T83" s="316">
        <f>IF(N83&gt;=0,0,(IF(N83&gt;-60,0,IF(-60&gt;=N83,IF(N83&gt;=-120,0,IF(N83&gt;=-180,O83,0))))))</f>
        <v>0</v>
      </c>
      <c r="U83" s="316">
        <f>IF(N83&gt;=0,0,(IF(N83&gt;-60,0,IF(-60&gt;=N83,IF(N83&gt;-120,0,IF(N83&gt;=-180,0,IF(N83&gt;=-365,O83,0)))))))</f>
        <v>0</v>
      </c>
      <c r="V83" s="316">
        <f>IF(N83&gt;=0,0,IF(365&lt;-N83,O83,0))</f>
        <v>0</v>
      </c>
    </row>
    <row r="84" spans="1:22" s="290" customFormat="1" ht="15">
      <c r="A84" s="138"/>
      <c r="B84" s="138"/>
      <c r="C84" s="286"/>
      <c r="D84" s="140"/>
      <c r="E84" s="141">
        <f t="shared" ref="E84:K84" si="47">SUM(E83:E83)</f>
        <v>345102.8</v>
      </c>
      <c r="F84" s="141">
        <f t="shared" si="47"/>
        <v>0</v>
      </c>
      <c r="G84" s="141">
        <f t="shared" si="47"/>
        <v>0</v>
      </c>
      <c r="H84" s="141">
        <f t="shared" si="47"/>
        <v>0</v>
      </c>
      <c r="I84" s="141">
        <f t="shared" si="47"/>
        <v>345102.8</v>
      </c>
      <c r="J84" s="287">
        <f t="shared" si="47"/>
        <v>414123.36</v>
      </c>
      <c r="K84" s="287">
        <f t="shared" si="47"/>
        <v>414123.36</v>
      </c>
      <c r="L84" s="139"/>
      <c r="M84" s="139"/>
      <c r="N84" s="142"/>
      <c r="O84" s="141">
        <f>SUM(O83:O83)</f>
        <v>0</v>
      </c>
      <c r="P84" s="141">
        <f>SUM(P83:P83)</f>
        <v>0</v>
      </c>
      <c r="Q84" s="292"/>
      <c r="R84" s="337">
        <f>SUM(R83:R83)</f>
        <v>0</v>
      </c>
      <c r="S84" s="337">
        <f>SUM(S83:S83)</f>
        <v>0</v>
      </c>
      <c r="T84" s="337">
        <f>SUM(T83:T83)</f>
        <v>0</v>
      </c>
      <c r="U84" s="337">
        <f>SUM(U83:U83)</f>
        <v>0</v>
      </c>
      <c r="V84" s="337">
        <f>SUM(V83:V83)</f>
        <v>0</v>
      </c>
    </row>
    <row r="85" spans="1:22">
      <c r="A85" s="54" t="s">
        <v>150</v>
      </c>
      <c r="B85" s="54"/>
      <c r="C85" s="56"/>
      <c r="D85" s="57"/>
      <c r="E85" s="50">
        <f>42504/1.2</f>
        <v>35420</v>
      </c>
      <c r="F85" s="50">
        <f>-E85*$F$10</f>
        <v>0</v>
      </c>
      <c r="G85" s="50">
        <f>E85*$G$10</f>
        <v>0</v>
      </c>
      <c r="H85" s="50"/>
      <c r="I85" s="50">
        <f>+E85+F85-G85-H85</f>
        <v>35420</v>
      </c>
      <c r="J85" s="50">
        <f>+I85+(I85*$I$4)</f>
        <v>42504</v>
      </c>
      <c r="K85" s="50">
        <v>42504</v>
      </c>
      <c r="L85" s="51"/>
      <c r="M85" s="51"/>
      <c r="N85" s="52">
        <f>-IF(L85=0,,IF(M85=0,($C$10-L85),M85-L85))</f>
        <v>0</v>
      </c>
      <c r="O85" s="50">
        <f>+J85-K85</f>
        <v>0</v>
      </c>
      <c r="P85" s="50">
        <f>+IF($C$10&lt;L85,0,O85)</f>
        <v>0</v>
      </c>
      <c r="Q85" s="53"/>
      <c r="R85" s="316">
        <f>IF(N85&gt;=0,0,(IF(-N85&lt;=60,O85,0)))</f>
        <v>0</v>
      </c>
      <c r="S85" s="316">
        <f>IF(N85&gt;=0,0,(IF(N85&gt;=-60,0,IF(-60&gt;=N85,IF(N85&gt;=-120,O85,0)))))</f>
        <v>0</v>
      </c>
      <c r="T85" s="316">
        <f>IF(N85&gt;=0,0,(IF(N85&gt;-60,0,IF(-60&gt;=N85,IF(N85&gt;=-120,0,IF(N85&gt;=-180,O85,0))))))</f>
        <v>0</v>
      </c>
      <c r="U85" s="316">
        <f>IF(N85&gt;=0,0,(IF(N85&gt;-60,0,IF(-60&gt;=N85,IF(N85&gt;-120,0,IF(N85&gt;=-180,0,IF(N85&gt;=-365,O85,0)))))))</f>
        <v>0</v>
      </c>
      <c r="V85" s="316">
        <f>IF(N85&gt;=0,0,IF(365&lt;-N85,O85,0))</f>
        <v>0</v>
      </c>
    </row>
    <row r="86" spans="1:22" s="290" customFormat="1" ht="15">
      <c r="A86" s="138"/>
      <c r="B86" s="138"/>
      <c r="C86" s="286"/>
      <c r="D86" s="140"/>
      <c r="E86" s="141">
        <f t="shared" ref="E86:K86" si="48">SUM(E85:E85)</f>
        <v>35420</v>
      </c>
      <c r="F86" s="141">
        <f t="shared" si="48"/>
        <v>0</v>
      </c>
      <c r="G86" s="141">
        <f t="shared" si="48"/>
        <v>0</v>
      </c>
      <c r="H86" s="141">
        <f t="shared" si="48"/>
        <v>0</v>
      </c>
      <c r="I86" s="141">
        <f t="shared" si="48"/>
        <v>35420</v>
      </c>
      <c r="J86" s="287">
        <f t="shared" si="48"/>
        <v>42504</v>
      </c>
      <c r="K86" s="287">
        <f t="shared" si="48"/>
        <v>42504</v>
      </c>
      <c r="L86" s="139"/>
      <c r="M86" s="139"/>
      <c r="N86" s="142"/>
      <c r="O86" s="141">
        <f>SUM(O85:O85)</f>
        <v>0</v>
      </c>
      <c r="P86" s="141">
        <f>SUM(P85:P85)</f>
        <v>0</v>
      </c>
      <c r="Q86" s="292"/>
      <c r="R86" s="337">
        <f>SUM(R85:R85)</f>
        <v>0</v>
      </c>
      <c r="S86" s="337">
        <f>SUM(S85:S85)</f>
        <v>0</v>
      </c>
      <c r="T86" s="337">
        <f>SUM(T85:T85)</f>
        <v>0</v>
      </c>
      <c r="U86" s="337">
        <f>SUM(U85:U85)</f>
        <v>0</v>
      </c>
      <c r="V86" s="337">
        <f>SUM(V85:V85)</f>
        <v>0</v>
      </c>
    </row>
    <row r="87" spans="1:22">
      <c r="A87" s="54" t="s">
        <v>151</v>
      </c>
      <c r="B87" s="54"/>
      <c r="C87" s="56"/>
      <c r="D87" s="57"/>
      <c r="E87" s="50">
        <f>1223425.56/1.2</f>
        <v>1019521.3</v>
      </c>
      <c r="F87" s="50">
        <f>-E87*$F$10</f>
        <v>0</v>
      </c>
      <c r="G87" s="50">
        <f>E87*$G$10</f>
        <v>0</v>
      </c>
      <c r="H87" s="50"/>
      <c r="I87" s="50">
        <f>+E87+F87-G87-H87</f>
        <v>1019521.3</v>
      </c>
      <c r="J87" s="50">
        <f>+I87+(I87*$I$4)</f>
        <v>1223425.56</v>
      </c>
      <c r="K87" s="50">
        <v>1223425.56</v>
      </c>
      <c r="L87" s="51"/>
      <c r="M87" s="51"/>
      <c r="N87" s="52">
        <f>-IF(L87=0,,IF(M87=0,($C$10-L87),M87-L87))</f>
        <v>0</v>
      </c>
      <c r="O87" s="50">
        <f>+J87-K87</f>
        <v>0</v>
      </c>
      <c r="P87" s="50">
        <f>+IF($C$10&lt;L87,0,O87)</f>
        <v>0</v>
      </c>
      <c r="Q87" s="53"/>
      <c r="R87" s="316">
        <f>IF(N87&gt;=0,0,(IF(-N87&lt;=60,O87,0)))</f>
        <v>0</v>
      </c>
      <c r="S87" s="316">
        <f>IF(N87&gt;=0,0,(IF(N87&gt;=-60,0,IF(-60&gt;=N87,IF(N87&gt;=-120,O87,0)))))</f>
        <v>0</v>
      </c>
      <c r="T87" s="316">
        <f>IF(N87&gt;=0,0,(IF(N87&gt;-60,0,IF(-60&gt;=N87,IF(N87&gt;=-120,0,IF(N87&gt;=-180,O87,0))))))</f>
        <v>0</v>
      </c>
      <c r="U87" s="316">
        <f>IF(N87&gt;=0,0,(IF(N87&gt;-60,0,IF(-60&gt;=N87,IF(N87&gt;-120,0,IF(N87&gt;=-180,0,IF(N87&gt;=-365,O87,0)))))))</f>
        <v>0</v>
      </c>
      <c r="V87" s="316">
        <f>IF(N87&gt;=0,0,IF(365&lt;-N87,O87,0))</f>
        <v>0</v>
      </c>
    </row>
    <row r="88" spans="1:22" s="290" customFormat="1" ht="15">
      <c r="A88" s="138"/>
      <c r="B88" s="138"/>
      <c r="C88" s="286"/>
      <c r="D88" s="140"/>
      <c r="E88" s="141">
        <f t="shared" ref="E88:K88" si="49">SUM(E87:E87)</f>
        <v>1019521.3</v>
      </c>
      <c r="F88" s="141">
        <f t="shared" si="49"/>
        <v>0</v>
      </c>
      <c r="G88" s="141">
        <f t="shared" si="49"/>
        <v>0</v>
      </c>
      <c r="H88" s="141">
        <f t="shared" si="49"/>
        <v>0</v>
      </c>
      <c r="I88" s="141">
        <f t="shared" si="49"/>
        <v>1019521.3</v>
      </c>
      <c r="J88" s="287">
        <f t="shared" si="49"/>
        <v>1223425.56</v>
      </c>
      <c r="K88" s="287">
        <f t="shared" si="49"/>
        <v>1223425.56</v>
      </c>
      <c r="L88" s="139"/>
      <c r="M88" s="139"/>
      <c r="N88" s="142"/>
      <c r="O88" s="141">
        <f>SUM(O87:O87)</f>
        <v>0</v>
      </c>
      <c r="P88" s="141">
        <f>SUM(P87:P87)</f>
        <v>0</v>
      </c>
      <c r="Q88" s="292"/>
      <c r="R88" s="337">
        <f>SUM(R87:R87)</f>
        <v>0</v>
      </c>
      <c r="S88" s="337">
        <f>SUM(S87:S87)</f>
        <v>0</v>
      </c>
      <c r="T88" s="337">
        <f>SUM(T87:T87)</f>
        <v>0</v>
      </c>
      <c r="U88" s="337">
        <f>SUM(U87:U87)</f>
        <v>0</v>
      </c>
      <c r="V88" s="337">
        <f>SUM(V87:V87)</f>
        <v>0</v>
      </c>
    </row>
    <row r="89" spans="1:22">
      <c r="A89" s="54" t="s">
        <v>152</v>
      </c>
      <c r="B89" s="54"/>
      <c r="C89" s="56"/>
      <c r="D89" s="57"/>
      <c r="E89" s="50">
        <f>55064.05/1.2</f>
        <v>45886.708333333336</v>
      </c>
      <c r="F89" s="50">
        <f>-E89*$F$10</f>
        <v>0</v>
      </c>
      <c r="G89" s="50">
        <f>E89*$G$10</f>
        <v>0</v>
      </c>
      <c r="H89" s="50"/>
      <c r="I89" s="50">
        <f>+E89+F89-G89-H89</f>
        <v>45886.708333333336</v>
      </c>
      <c r="J89" s="50">
        <f>+I89+(I89*$I$4)</f>
        <v>55064.05</v>
      </c>
      <c r="K89" s="50">
        <v>55064.05</v>
      </c>
      <c r="L89" s="51"/>
      <c r="M89" s="51"/>
      <c r="N89" s="52">
        <f>-IF(L89=0,,IF(M89=0,($C$10-L89),M89-L89))</f>
        <v>0</v>
      </c>
      <c r="O89" s="50">
        <f>+J89-K89</f>
        <v>0</v>
      </c>
      <c r="P89" s="50">
        <f>+IF($C$10&lt;L89,0,O89)</f>
        <v>0</v>
      </c>
      <c r="Q89" s="53"/>
      <c r="R89" s="316">
        <f>IF(N89&gt;=0,0,(IF(-N89&lt;=60,O89,0)))</f>
        <v>0</v>
      </c>
      <c r="S89" s="316">
        <f>IF(N89&gt;=0,0,(IF(N89&gt;=-60,0,IF(-60&gt;=N89,IF(N89&gt;=-120,O89,0)))))</f>
        <v>0</v>
      </c>
      <c r="T89" s="316">
        <f>IF(N89&gt;=0,0,(IF(N89&gt;-60,0,IF(-60&gt;=N89,IF(N89&gt;=-120,0,IF(N89&gt;=-180,O89,0))))))</f>
        <v>0</v>
      </c>
      <c r="U89" s="316">
        <f>IF(N89&gt;=0,0,(IF(N89&gt;-60,0,IF(-60&gt;=N89,IF(N89&gt;-120,0,IF(N89&gt;=-180,0,IF(N89&gt;=-365,O89,0)))))))</f>
        <v>0</v>
      </c>
      <c r="V89" s="316">
        <f>IF(N89&gt;=0,0,IF(365&lt;-N89,O89,0))</f>
        <v>0</v>
      </c>
    </row>
    <row r="90" spans="1:22" s="290" customFormat="1" ht="15">
      <c r="A90" s="138"/>
      <c r="B90" s="138"/>
      <c r="C90" s="286"/>
      <c r="D90" s="140"/>
      <c r="E90" s="141">
        <f t="shared" ref="E90:K90" si="50">SUM(E89:E89)</f>
        <v>45886.708333333336</v>
      </c>
      <c r="F90" s="141">
        <f t="shared" si="50"/>
        <v>0</v>
      </c>
      <c r="G90" s="141">
        <f t="shared" si="50"/>
        <v>0</v>
      </c>
      <c r="H90" s="141">
        <f t="shared" si="50"/>
        <v>0</v>
      </c>
      <c r="I90" s="141">
        <f t="shared" si="50"/>
        <v>45886.708333333336</v>
      </c>
      <c r="J90" s="287">
        <f t="shared" si="50"/>
        <v>55064.05</v>
      </c>
      <c r="K90" s="287">
        <f t="shared" si="50"/>
        <v>55064.05</v>
      </c>
      <c r="L90" s="139"/>
      <c r="M90" s="139"/>
      <c r="N90" s="142"/>
      <c r="O90" s="141">
        <f>SUM(O89:O89)</f>
        <v>0</v>
      </c>
      <c r="P90" s="141">
        <f>SUM(P89:P89)</f>
        <v>0</v>
      </c>
      <c r="Q90" s="292"/>
      <c r="R90" s="337">
        <f>SUM(R89:R89)</f>
        <v>0</v>
      </c>
      <c r="S90" s="337">
        <f>SUM(S89:S89)</f>
        <v>0</v>
      </c>
      <c r="T90" s="337">
        <f>SUM(T89:T89)</f>
        <v>0</v>
      </c>
      <c r="U90" s="337">
        <f>SUM(U89:U89)</f>
        <v>0</v>
      </c>
      <c r="V90" s="337">
        <f>SUM(V89:V89)</f>
        <v>0</v>
      </c>
    </row>
    <row r="91" spans="1:22">
      <c r="A91" s="54" t="s">
        <v>153</v>
      </c>
      <c r="B91" s="54"/>
      <c r="C91" s="56"/>
      <c r="D91" s="57"/>
      <c r="E91" s="50">
        <f>53432.86/1.2</f>
        <v>44527.383333333339</v>
      </c>
      <c r="F91" s="50">
        <f>-E91*$F$10</f>
        <v>0</v>
      </c>
      <c r="G91" s="50">
        <f>E91*$G$10</f>
        <v>0</v>
      </c>
      <c r="H91" s="50"/>
      <c r="I91" s="50">
        <f>+E91+F91-G91-H91</f>
        <v>44527.383333333339</v>
      </c>
      <c r="J91" s="50">
        <f>+I91+(I91*$I$4)</f>
        <v>53432.860000000008</v>
      </c>
      <c r="K91" s="50">
        <v>53432.860000000008</v>
      </c>
      <c r="L91" s="51"/>
      <c r="M91" s="51"/>
      <c r="N91" s="52">
        <f>-IF(L91=0,,IF(M91=0,($C$10-L91),M91-L91))</f>
        <v>0</v>
      </c>
      <c r="O91" s="50">
        <f>+J91-K91</f>
        <v>0</v>
      </c>
      <c r="P91" s="50">
        <f>+IF($C$10&lt;L91,0,O91)</f>
        <v>0</v>
      </c>
      <c r="Q91" s="53"/>
      <c r="R91" s="316">
        <f>IF(N91&gt;=0,0,(IF(-N91&lt;=60,O91,0)))</f>
        <v>0</v>
      </c>
      <c r="S91" s="316">
        <f>IF(N91&gt;=0,0,(IF(N91&gt;=-60,0,IF(-60&gt;=N91,IF(N91&gt;=-120,O91,0)))))</f>
        <v>0</v>
      </c>
      <c r="T91" s="316">
        <f>IF(N91&gt;=0,0,(IF(N91&gt;-60,0,IF(-60&gt;=N91,IF(N91&gt;=-120,0,IF(N91&gt;=-180,O91,0))))))</f>
        <v>0</v>
      </c>
      <c r="U91" s="316">
        <f>IF(N91&gt;=0,0,(IF(N91&gt;-60,0,IF(-60&gt;=N91,IF(N91&gt;-120,0,IF(N91&gt;=-180,0,IF(N91&gt;=-365,O91,0)))))))</f>
        <v>0</v>
      </c>
      <c r="V91" s="316">
        <f>IF(N91&gt;=0,0,IF(365&lt;-N91,O91,0))</f>
        <v>0</v>
      </c>
    </row>
    <row r="92" spans="1:22" s="290" customFormat="1" ht="15">
      <c r="A92" s="138"/>
      <c r="B92" s="138"/>
      <c r="C92" s="286"/>
      <c r="D92" s="140"/>
      <c r="E92" s="141">
        <f t="shared" ref="E92:K92" si="51">SUM(E91:E91)</f>
        <v>44527.383333333339</v>
      </c>
      <c r="F92" s="141">
        <f t="shared" si="51"/>
        <v>0</v>
      </c>
      <c r="G92" s="141">
        <f t="shared" si="51"/>
        <v>0</v>
      </c>
      <c r="H92" s="141">
        <f t="shared" si="51"/>
        <v>0</v>
      </c>
      <c r="I92" s="141">
        <f t="shared" si="51"/>
        <v>44527.383333333339</v>
      </c>
      <c r="J92" s="287">
        <f t="shared" si="51"/>
        <v>53432.860000000008</v>
      </c>
      <c r="K92" s="287">
        <f t="shared" si="51"/>
        <v>53432.860000000008</v>
      </c>
      <c r="L92" s="139"/>
      <c r="M92" s="139"/>
      <c r="N92" s="142"/>
      <c r="O92" s="141">
        <f>SUM(O91:O91)</f>
        <v>0</v>
      </c>
      <c r="P92" s="141">
        <f>SUM(P91:P91)</f>
        <v>0</v>
      </c>
      <c r="Q92" s="292"/>
      <c r="R92" s="337">
        <f>SUM(R91:R91)</f>
        <v>0</v>
      </c>
      <c r="S92" s="337">
        <f>SUM(S91:S91)</f>
        <v>0</v>
      </c>
      <c r="T92" s="337">
        <f>SUM(T91:T91)</f>
        <v>0</v>
      </c>
      <c r="U92" s="337">
        <f>SUM(U91:U91)</f>
        <v>0</v>
      </c>
      <c r="V92" s="337">
        <f>SUM(V91:V91)</f>
        <v>0</v>
      </c>
    </row>
    <row r="93" spans="1:22">
      <c r="A93" s="54" t="s">
        <v>154</v>
      </c>
      <c r="B93" s="54"/>
      <c r="C93" s="56"/>
      <c r="D93" s="57"/>
      <c r="E93" s="50">
        <f>338330.4/1.2</f>
        <v>281942.00000000006</v>
      </c>
      <c r="F93" s="50">
        <f>-E93*$F$10</f>
        <v>0</v>
      </c>
      <c r="G93" s="50">
        <f>E93*$G$10</f>
        <v>0</v>
      </c>
      <c r="H93" s="50"/>
      <c r="I93" s="50">
        <f>+E93+F93-G93-H93</f>
        <v>281942.00000000006</v>
      </c>
      <c r="J93" s="50">
        <f>+I93+(I93*$I$4)</f>
        <v>338330.40000000008</v>
      </c>
      <c r="K93" s="50">
        <v>338330.40000000008</v>
      </c>
      <c r="L93" s="51"/>
      <c r="M93" s="51"/>
      <c r="N93" s="52">
        <f>-IF(L93=0,,IF(M93=0,($C$10-L93),M93-L93))</f>
        <v>0</v>
      </c>
      <c r="O93" s="50">
        <f>+J93-K93</f>
        <v>0</v>
      </c>
      <c r="P93" s="50">
        <f>+IF($C$10&lt;L93,0,O93)</f>
        <v>0</v>
      </c>
      <c r="Q93" s="53"/>
      <c r="R93" s="316">
        <f>IF(N93&gt;=0,0,(IF(-N93&lt;=60,O93,0)))</f>
        <v>0</v>
      </c>
      <c r="S93" s="316">
        <f>IF(N93&gt;=0,0,(IF(N93&gt;=-60,0,IF(-60&gt;=N93,IF(N93&gt;=-120,O93,0)))))</f>
        <v>0</v>
      </c>
      <c r="T93" s="316">
        <f>IF(N93&gt;=0,0,(IF(N93&gt;-60,0,IF(-60&gt;=N93,IF(N93&gt;=-120,0,IF(N93&gt;=-180,O93,0))))))</f>
        <v>0</v>
      </c>
      <c r="U93" s="316">
        <f>IF(N93&gt;=0,0,(IF(N93&gt;-60,0,IF(-60&gt;=N93,IF(N93&gt;-120,0,IF(N93&gt;=-180,0,IF(N93&gt;=-365,O93,0)))))))</f>
        <v>0</v>
      </c>
      <c r="V93" s="316">
        <f>IF(N93&gt;=0,0,IF(365&lt;-N93,O93,0))</f>
        <v>0</v>
      </c>
    </row>
    <row r="94" spans="1:22" s="290" customFormat="1" ht="15">
      <c r="A94" s="138"/>
      <c r="B94" s="138"/>
      <c r="C94" s="286"/>
      <c r="D94" s="140"/>
      <c r="E94" s="141">
        <f t="shared" ref="E94:K94" si="52">SUM(E93:E93)</f>
        <v>281942.00000000006</v>
      </c>
      <c r="F94" s="141">
        <f t="shared" si="52"/>
        <v>0</v>
      </c>
      <c r="G94" s="141">
        <f t="shared" si="52"/>
        <v>0</v>
      </c>
      <c r="H94" s="141">
        <f t="shared" si="52"/>
        <v>0</v>
      </c>
      <c r="I94" s="141">
        <f t="shared" si="52"/>
        <v>281942.00000000006</v>
      </c>
      <c r="J94" s="287">
        <f t="shared" si="52"/>
        <v>338330.40000000008</v>
      </c>
      <c r="K94" s="287">
        <f t="shared" si="52"/>
        <v>338330.40000000008</v>
      </c>
      <c r="L94" s="139"/>
      <c r="M94" s="139"/>
      <c r="N94" s="142"/>
      <c r="O94" s="141">
        <f>SUM(O93:O93)</f>
        <v>0</v>
      </c>
      <c r="P94" s="141">
        <f>SUM(P93:P93)</f>
        <v>0</v>
      </c>
      <c r="Q94" s="292"/>
      <c r="R94" s="337">
        <f>SUM(R93:R93)</f>
        <v>0</v>
      </c>
      <c r="S94" s="337">
        <f>SUM(S93:S93)</f>
        <v>0</v>
      </c>
      <c r="T94" s="337">
        <f>SUM(T93:T93)</f>
        <v>0</v>
      </c>
      <c r="U94" s="337">
        <f>SUM(U93:U93)</f>
        <v>0</v>
      </c>
      <c r="V94" s="337">
        <f>SUM(V93:V93)</f>
        <v>0</v>
      </c>
    </row>
    <row r="95" spans="1:22">
      <c r="A95" s="54" t="s">
        <v>155</v>
      </c>
      <c r="B95" s="54"/>
      <c r="C95" s="56"/>
      <c r="D95" s="57"/>
      <c r="E95" s="50">
        <f>63472.29/1.2</f>
        <v>52893.575000000004</v>
      </c>
      <c r="F95" s="50">
        <f>-E95*$F$10</f>
        <v>0</v>
      </c>
      <c r="G95" s="50">
        <f>E95*$G$10</f>
        <v>0</v>
      </c>
      <c r="H95" s="50"/>
      <c r="I95" s="50">
        <f>+E95+F95-G95-H95</f>
        <v>52893.575000000004</v>
      </c>
      <c r="J95" s="50">
        <f>+I95+(I95*$I$4)</f>
        <v>63472.290000000008</v>
      </c>
      <c r="K95" s="50">
        <v>63472.290000000008</v>
      </c>
      <c r="L95" s="51"/>
      <c r="M95" s="51"/>
      <c r="N95" s="52">
        <f>-IF(L95=0,,IF(M95=0,($C$10-L95),M95-L95))</f>
        <v>0</v>
      </c>
      <c r="O95" s="50">
        <f>+J95-K95</f>
        <v>0</v>
      </c>
      <c r="P95" s="50">
        <f>+IF($C$10&lt;L95,0,O95)</f>
        <v>0</v>
      </c>
      <c r="Q95" s="53"/>
      <c r="R95" s="316">
        <f>IF(N95&gt;=0,0,(IF(-N95&lt;=60,O95,0)))</f>
        <v>0</v>
      </c>
      <c r="S95" s="316">
        <f>IF(N95&gt;=0,0,(IF(N95&gt;=-60,0,IF(-60&gt;=N95,IF(N95&gt;=-120,O95,0)))))</f>
        <v>0</v>
      </c>
      <c r="T95" s="316">
        <f>IF(N95&gt;=0,0,(IF(N95&gt;-60,0,IF(-60&gt;=N95,IF(N95&gt;=-120,0,IF(N95&gt;=-180,O95,0))))))</f>
        <v>0</v>
      </c>
      <c r="U95" s="316">
        <f>IF(N95&gt;=0,0,(IF(N95&gt;-60,0,IF(-60&gt;=N95,IF(N95&gt;-120,0,IF(N95&gt;=-180,0,IF(N95&gt;=-365,O95,0)))))))</f>
        <v>0</v>
      </c>
      <c r="V95" s="316">
        <f>IF(N95&gt;=0,0,IF(365&lt;-N95,O95,0))</f>
        <v>0</v>
      </c>
    </row>
    <row r="96" spans="1:22" s="290" customFormat="1" ht="15">
      <c r="A96" s="138"/>
      <c r="B96" s="138"/>
      <c r="C96" s="286"/>
      <c r="D96" s="140"/>
      <c r="E96" s="141">
        <f t="shared" ref="E96:K96" si="53">SUM(E95:E95)</f>
        <v>52893.575000000004</v>
      </c>
      <c r="F96" s="141">
        <f t="shared" si="53"/>
        <v>0</v>
      </c>
      <c r="G96" s="141">
        <f t="shared" si="53"/>
        <v>0</v>
      </c>
      <c r="H96" s="141">
        <f t="shared" si="53"/>
        <v>0</v>
      </c>
      <c r="I96" s="141">
        <f t="shared" si="53"/>
        <v>52893.575000000004</v>
      </c>
      <c r="J96" s="287">
        <f t="shared" si="53"/>
        <v>63472.290000000008</v>
      </c>
      <c r="K96" s="287">
        <f t="shared" si="53"/>
        <v>63472.290000000008</v>
      </c>
      <c r="L96" s="139"/>
      <c r="M96" s="139"/>
      <c r="N96" s="142"/>
      <c r="O96" s="141">
        <f>SUM(O95:O95)</f>
        <v>0</v>
      </c>
      <c r="P96" s="141">
        <f>SUM(P95:P95)</f>
        <v>0</v>
      </c>
      <c r="Q96" s="292"/>
      <c r="R96" s="337">
        <f>SUM(R95:R95)</f>
        <v>0</v>
      </c>
      <c r="S96" s="337">
        <f>SUM(S95:S95)</f>
        <v>0</v>
      </c>
      <c r="T96" s="337">
        <f>SUM(T95:T95)</f>
        <v>0</v>
      </c>
      <c r="U96" s="337">
        <f>SUM(U95:U95)</f>
        <v>0</v>
      </c>
      <c r="V96" s="337">
        <f>SUM(V95:V95)</f>
        <v>0</v>
      </c>
    </row>
    <row r="97" spans="1:22">
      <c r="A97" s="54" t="s">
        <v>156</v>
      </c>
      <c r="B97" s="54"/>
      <c r="C97" s="56"/>
      <c r="D97" s="57"/>
      <c r="E97" s="50">
        <f>179253.25/1.2</f>
        <v>149377.70833333334</v>
      </c>
      <c r="F97" s="50">
        <f>-E97*$F$10</f>
        <v>0</v>
      </c>
      <c r="G97" s="50">
        <f>E97*$G$10</f>
        <v>0</v>
      </c>
      <c r="H97" s="50"/>
      <c r="I97" s="50">
        <f>+E97+F97-G97-H97</f>
        <v>149377.70833333334</v>
      </c>
      <c r="J97" s="50">
        <f>+I97+(I97*$I$4)</f>
        <v>179253.25</v>
      </c>
      <c r="K97" s="50">
        <v>179253.25</v>
      </c>
      <c r="L97" s="51"/>
      <c r="M97" s="51"/>
      <c r="N97" s="52">
        <f>-IF(L97=0,,IF(M97=0,($C$10-L97),M97-L97))</f>
        <v>0</v>
      </c>
      <c r="O97" s="50">
        <f>+J97-K97</f>
        <v>0</v>
      </c>
      <c r="P97" s="50">
        <f>+IF($C$10&lt;L97,0,O97)</f>
        <v>0</v>
      </c>
      <c r="Q97" s="53"/>
      <c r="R97" s="316">
        <f>IF(N97&gt;=0,0,(IF(-N97&lt;=60,O97,0)))</f>
        <v>0</v>
      </c>
      <c r="S97" s="316">
        <f>IF(N97&gt;=0,0,(IF(N97&gt;=-60,0,IF(-60&gt;=N97,IF(N97&gt;=-120,O97,0)))))</f>
        <v>0</v>
      </c>
      <c r="T97" s="316">
        <f>IF(N97&gt;=0,0,(IF(N97&gt;-60,0,IF(-60&gt;=N97,IF(N97&gt;=-120,0,IF(N97&gt;=-180,O97,0))))))</f>
        <v>0</v>
      </c>
      <c r="U97" s="316">
        <f>IF(N97&gt;=0,0,(IF(N97&gt;-60,0,IF(-60&gt;=N97,IF(N97&gt;-120,0,IF(N97&gt;=-180,0,IF(N97&gt;=-365,O97,0)))))))</f>
        <v>0</v>
      </c>
      <c r="V97" s="316">
        <f>IF(N97&gt;=0,0,IF(365&lt;-N97,O97,0))</f>
        <v>0</v>
      </c>
    </row>
    <row r="98" spans="1:22" s="290" customFormat="1" ht="15">
      <c r="A98" s="138"/>
      <c r="B98" s="138"/>
      <c r="C98" s="286"/>
      <c r="D98" s="140"/>
      <c r="E98" s="141">
        <f t="shared" ref="E98:K98" si="54">SUM(E97:E97)</f>
        <v>149377.70833333334</v>
      </c>
      <c r="F98" s="141">
        <f t="shared" si="54"/>
        <v>0</v>
      </c>
      <c r="G98" s="141">
        <f t="shared" si="54"/>
        <v>0</v>
      </c>
      <c r="H98" s="141">
        <f t="shared" si="54"/>
        <v>0</v>
      </c>
      <c r="I98" s="141">
        <f t="shared" si="54"/>
        <v>149377.70833333334</v>
      </c>
      <c r="J98" s="287">
        <f t="shared" si="54"/>
        <v>179253.25</v>
      </c>
      <c r="K98" s="287">
        <f t="shared" si="54"/>
        <v>179253.25</v>
      </c>
      <c r="L98" s="139"/>
      <c r="M98" s="139"/>
      <c r="N98" s="142"/>
      <c r="O98" s="141">
        <f>SUM(O97:O97)</f>
        <v>0</v>
      </c>
      <c r="P98" s="141">
        <f>SUM(P97:P97)</f>
        <v>0</v>
      </c>
      <c r="Q98" s="292"/>
      <c r="R98" s="337">
        <f>SUM(R97:R97)</f>
        <v>0</v>
      </c>
      <c r="S98" s="337">
        <f>SUM(S97:S97)</f>
        <v>0</v>
      </c>
      <c r="T98" s="337">
        <f>SUM(T97:T97)</f>
        <v>0</v>
      </c>
      <c r="U98" s="337">
        <f>SUM(U97:U97)</f>
        <v>0</v>
      </c>
      <c r="V98" s="337">
        <f>SUM(V97:V97)</f>
        <v>0</v>
      </c>
    </row>
    <row r="99" spans="1:22">
      <c r="A99" s="54" t="s">
        <v>157</v>
      </c>
      <c r="B99" s="54"/>
      <c r="C99" s="56"/>
      <c r="D99" s="57"/>
      <c r="E99" s="50">
        <f>99610.49/1.2</f>
        <v>83008.741666666669</v>
      </c>
      <c r="F99" s="50">
        <f>-E99*$F$10</f>
        <v>0</v>
      </c>
      <c r="G99" s="50">
        <f>E99*$G$10</f>
        <v>0</v>
      </c>
      <c r="H99" s="50"/>
      <c r="I99" s="50">
        <f>+E99+F99-G99-H99</f>
        <v>83008.741666666669</v>
      </c>
      <c r="J99" s="50">
        <f>+I99+(I99*$I$4)</f>
        <v>99610.49</v>
      </c>
      <c r="K99" s="50">
        <v>99610.49</v>
      </c>
      <c r="L99" s="51"/>
      <c r="M99" s="51"/>
      <c r="N99" s="52">
        <f>-IF(L99=0,,IF(M99=0,($C$10-L99),M99-L99))</f>
        <v>0</v>
      </c>
      <c r="O99" s="50">
        <f>+J99-K99</f>
        <v>0</v>
      </c>
      <c r="P99" s="50">
        <f>+IF($C$10&lt;L99,0,O99)</f>
        <v>0</v>
      </c>
      <c r="Q99" s="53"/>
      <c r="R99" s="316">
        <f>IF(N99&gt;=0,0,(IF(-N99&lt;=60,O99,0)))</f>
        <v>0</v>
      </c>
      <c r="S99" s="316">
        <f>IF(N99&gt;=0,0,(IF(N99&gt;=-60,0,IF(-60&gt;=N99,IF(N99&gt;=-120,O99,0)))))</f>
        <v>0</v>
      </c>
      <c r="T99" s="316">
        <f>IF(N99&gt;=0,0,(IF(N99&gt;-60,0,IF(-60&gt;=N99,IF(N99&gt;=-120,0,IF(N99&gt;=-180,O99,0))))))</f>
        <v>0</v>
      </c>
      <c r="U99" s="316">
        <f>IF(N99&gt;=0,0,(IF(N99&gt;-60,0,IF(-60&gt;=N99,IF(N99&gt;-120,0,IF(N99&gt;=-180,0,IF(N99&gt;=-365,O99,0)))))))</f>
        <v>0</v>
      </c>
      <c r="V99" s="316">
        <f>IF(N99&gt;=0,0,IF(365&lt;-N99,O99,0))</f>
        <v>0</v>
      </c>
    </row>
    <row r="100" spans="1:22" s="290" customFormat="1" ht="15">
      <c r="A100" s="138"/>
      <c r="B100" s="138"/>
      <c r="C100" s="286"/>
      <c r="D100" s="140"/>
      <c r="E100" s="141">
        <f t="shared" ref="E100:K100" si="55">SUM(E99:E99)</f>
        <v>83008.741666666669</v>
      </c>
      <c r="F100" s="141">
        <f t="shared" si="55"/>
        <v>0</v>
      </c>
      <c r="G100" s="141">
        <f t="shared" si="55"/>
        <v>0</v>
      </c>
      <c r="H100" s="141">
        <f t="shared" si="55"/>
        <v>0</v>
      </c>
      <c r="I100" s="141">
        <f t="shared" si="55"/>
        <v>83008.741666666669</v>
      </c>
      <c r="J100" s="287">
        <f t="shared" si="55"/>
        <v>99610.49</v>
      </c>
      <c r="K100" s="287">
        <f t="shared" si="55"/>
        <v>99610.49</v>
      </c>
      <c r="L100" s="139"/>
      <c r="M100" s="139"/>
      <c r="N100" s="142"/>
      <c r="O100" s="141">
        <f>SUM(O99:O99)</f>
        <v>0</v>
      </c>
      <c r="P100" s="141">
        <f>SUM(P99:P99)</f>
        <v>0</v>
      </c>
      <c r="Q100" s="292"/>
      <c r="R100" s="337">
        <f>SUM(R99:R99)</f>
        <v>0</v>
      </c>
      <c r="S100" s="337">
        <f>SUM(S99:S99)</f>
        <v>0</v>
      </c>
      <c r="T100" s="337">
        <f>SUM(T99:T99)</f>
        <v>0</v>
      </c>
      <c r="U100" s="337">
        <f>SUM(U99:U99)</f>
        <v>0</v>
      </c>
      <c r="V100" s="337">
        <f>SUM(V99:V99)</f>
        <v>0</v>
      </c>
    </row>
    <row r="101" spans="1:22">
      <c r="A101" s="54" t="s">
        <v>158</v>
      </c>
      <c r="B101" s="54"/>
      <c r="C101" s="56"/>
      <c r="D101" s="57"/>
      <c r="E101" s="50">
        <f>297058.77/1.2</f>
        <v>247548.97500000003</v>
      </c>
      <c r="F101" s="50">
        <f>-E101*$F$10</f>
        <v>0</v>
      </c>
      <c r="G101" s="50">
        <f>E101*$G$10</f>
        <v>0</v>
      </c>
      <c r="H101" s="50"/>
      <c r="I101" s="50">
        <f>+E101+F101-G101-H101</f>
        <v>247548.97500000003</v>
      </c>
      <c r="J101" s="50">
        <f>+I101+(I101*$I$4)</f>
        <v>297058.77</v>
      </c>
      <c r="K101" s="50">
        <v>297058.77</v>
      </c>
      <c r="L101" s="51"/>
      <c r="M101" s="51"/>
      <c r="N101" s="52">
        <f>-IF(L101=0,,IF(M101=0,($C$10-L101),M101-L101))</f>
        <v>0</v>
      </c>
      <c r="O101" s="50">
        <f>+J101-K101</f>
        <v>0</v>
      </c>
      <c r="P101" s="50">
        <f>+IF($C$10&lt;L101,0,O101)</f>
        <v>0</v>
      </c>
      <c r="Q101" s="53"/>
      <c r="R101" s="316">
        <f>IF(N101&gt;=0,0,(IF(-N101&lt;=60,O101,0)))</f>
        <v>0</v>
      </c>
      <c r="S101" s="316">
        <f>IF(N101&gt;=0,0,(IF(N101&gt;=-60,0,IF(-60&gt;=N101,IF(N101&gt;=-120,O101,0)))))</f>
        <v>0</v>
      </c>
      <c r="T101" s="316">
        <f>IF(N101&gt;=0,0,(IF(N101&gt;-60,0,IF(-60&gt;=N101,IF(N101&gt;=-120,0,IF(N101&gt;=-180,O101,0))))))</f>
        <v>0</v>
      </c>
      <c r="U101" s="316">
        <f>IF(N101&gt;=0,0,(IF(N101&gt;-60,0,IF(-60&gt;=N101,IF(N101&gt;-120,0,IF(N101&gt;=-180,0,IF(N101&gt;=-365,O101,0)))))))</f>
        <v>0</v>
      </c>
      <c r="V101" s="316">
        <f>IF(N101&gt;=0,0,IF(365&lt;-N101,O101,0))</f>
        <v>0</v>
      </c>
    </row>
    <row r="102" spans="1:22" s="290" customFormat="1" ht="15">
      <c r="A102" s="138"/>
      <c r="B102" s="138"/>
      <c r="C102" s="286"/>
      <c r="D102" s="140"/>
      <c r="E102" s="141">
        <f t="shared" ref="E102:K102" si="56">SUM(E101:E101)</f>
        <v>247548.97500000003</v>
      </c>
      <c r="F102" s="141">
        <f t="shared" si="56"/>
        <v>0</v>
      </c>
      <c r="G102" s="141">
        <f t="shared" si="56"/>
        <v>0</v>
      </c>
      <c r="H102" s="141">
        <f t="shared" si="56"/>
        <v>0</v>
      </c>
      <c r="I102" s="141">
        <f t="shared" si="56"/>
        <v>247548.97500000003</v>
      </c>
      <c r="J102" s="287">
        <f t="shared" si="56"/>
        <v>297058.77</v>
      </c>
      <c r="K102" s="287">
        <f t="shared" si="56"/>
        <v>297058.77</v>
      </c>
      <c r="L102" s="139"/>
      <c r="M102" s="139"/>
      <c r="N102" s="142"/>
      <c r="O102" s="141">
        <f>SUM(O101:O101)</f>
        <v>0</v>
      </c>
      <c r="P102" s="141">
        <f>SUM(P101:P101)</f>
        <v>0</v>
      </c>
      <c r="Q102" s="292"/>
      <c r="R102" s="337">
        <f>SUM(R101:R101)</f>
        <v>0</v>
      </c>
      <c r="S102" s="337">
        <f>SUM(S101:S101)</f>
        <v>0</v>
      </c>
      <c r="T102" s="337">
        <f>SUM(T101:T101)</f>
        <v>0</v>
      </c>
      <c r="U102" s="337">
        <f>SUM(U101:U101)</f>
        <v>0</v>
      </c>
      <c r="V102" s="337">
        <f>SUM(V101:V101)</f>
        <v>0</v>
      </c>
    </row>
    <row r="103" spans="1:22">
      <c r="A103" s="54" t="s">
        <v>159</v>
      </c>
      <c r="B103" s="54"/>
      <c r="C103" s="56"/>
      <c r="D103" s="57"/>
      <c r="E103" s="50">
        <f>10243.58/1.2</f>
        <v>8536.3166666666675</v>
      </c>
      <c r="F103" s="50">
        <f>-E103*$F$10</f>
        <v>0</v>
      </c>
      <c r="G103" s="50">
        <f>E103*$G$10</f>
        <v>0</v>
      </c>
      <c r="H103" s="50"/>
      <c r="I103" s="50">
        <f>+E103+F103-G103-H103</f>
        <v>8536.3166666666675</v>
      </c>
      <c r="J103" s="50">
        <f>+I103+(I103*$I$4)</f>
        <v>10243.580000000002</v>
      </c>
      <c r="K103" s="50">
        <v>10243.580000000002</v>
      </c>
      <c r="L103" s="51"/>
      <c r="M103" s="51"/>
      <c r="N103" s="52">
        <f>-IF(L103=0,,IF(M103=0,($C$10-L103),M103-L103))</f>
        <v>0</v>
      </c>
      <c r="O103" s="50">
        <f>+J103-K103</f>
        <v>0</v>
      </c>
      <c r="P103" s="50">
        <f>+IF($C$10&lt;L103,0,O103)</f>
        <v>0</v>
      </c>
      <c r="Q103" s="53"/>
      <c r="R103" s="316">
        <f>IF(N103&gt;=0,0,(IF(-N103&lt;=60,O103,0)))</f>
        <v>0</v>
      </c>
      <c r="S103" s="316">
        <f>IF(N103&gt;=0,0,(IF(N103&gt;=-60,0,IF(-60&gt;=N103,IF(N103&gt;=-120,O103,0)))))</f>
        <v>0</v>
      </c>
      <c r="T103" s="316">
        <f>IF(N103&gt;=0,0,(IF(N103&gt;-60,0,IF(-60&gt;=N103,IF(N103&gt;=-120,0,IF(N103&gt;=-180,O103,0))))))</f>
        <v>0</v>
      </c>
      <c r="U103" s="316">
        <f>IF(N103&gt;=0,0,(IF(N103&gt;-60,0,IF(-60&gt;=N103,IF(N103&gt;-120,0,IF(N103&gt;=-180,0,IF(N103&gt;=-365,O103,0)))))))</f>
        <v>0</v>
      </c>
      <c r="V103" s="316">
        <f>IF(N103&gt;=0,0,IF(365&lt;-N103,O103,0))</f>
        <v>0</v>
      </c>
    </row>
    <row r="104" spans="1:22" s="290" customFormat="1" ht="15">
      <c r="A104" s="138"/>
      <c r="B104" s="138"/>
      <c r="C104" s="286"/>
      <c r="D104" s="140"/>
      <c r="E104" s="141">
        <f t="shared" ref="E104:K104" si="57">SUM(E103:E103)</f>
        <v>8536.3166666666675</v>
      </c>
      <c r="F104" s="141">
        <f t="shared" si="57"/>
        <v>0</v>
      </c>
      <c r="G104" s="141">
        <f t="shared" si="57"/>
        <v>0</v>
      </c>
      <c r="H104" s="141">
        <f t="shared" si="57"/>
        <v>0</v>
      </c>
      <c r="I104" s="141">
        <f t="shared" si="57"/>
        <v>8536.3166666666675</v>
      </c>
      <c r="J104" s="287">
        <f t="shared" si="57"/>
        <v>10243.580000000002</v>
      </c>
      <c r="K104" s="287">
        <f t="shared" si="57"/>
        <v>10243.580000000002</v>
      </c>
      <c r="L104" s="139"/>
      <c r="M104" s="139"/>
      <c r="N104" s="142"/>
      <c r="O104" s="141">
        <f>SUM(O103:O103)</f>
        <v>0</v>
      </c>
      <c r="P104" s="141">
        <f>SUM(P103:P103)</f>
        <v>0</v>
      </c>
      <c r="Q104" s="292"/>
      <c r="R104" s="337">
        <f>SUM(R103:R103)</f>
        <v>0</v>
      </c>
      <c r="S104" s="337">
        <f>SUM(S103:S103)</f>
        <v>0</v>
      </c>
      <c r="T104" s="337">
        <f>SUM(T103:T103)</f>
        <v>0</v>
      </c>
      <c r="U104" s="337">
        <f>SUM(U103:U103)</f>
        <v>0</v>
      </c>
      <c r="V104" s="337">
        <f>SUM(V103:V103)</f>
        <v>0</v>
      </c>
    </row>
    <row r="105" spans="1:22">
      <c r="A105" s="54" t="s">
        <v>160</v>
      </c>
      <c r="B105" s="54"/>
      <c r="C105" s="56"/>
      <c r="D105" s="57"/>
      <c r="E105" s="50">
        <f>202992/1.2</f>
        <v>169160</v>
      </c>
      <c r="F105" s="50">
        <f>-E105*$F$10</f>
        <v>0</v>
      </c>
      <c r="G105" s="50">
        <f>E105*$G$10</f>
        <v>0</v>
      </c>
      <c r="H105" s="50"/>
      <c r="I105" s="50">
        <f>+E105+F105-G105-H105</f>
        <v>169160</v>
      </c>
      <c r="J105" s="50">
        <f>+I105+(I105*$I$4)</f>
        <v>202992</v>
      </c>
      <c r="K105" s="50">
        <v>202992</v>
      </c>
      <c r="L105" s="51"/>
      <c r="M105" s="51"/>
      <c r="N105" s="52">
        <f>-IF(L105=0,,IF(M105=0,($C$10-L105),M105-L105))</f>
        <v>0</v>
      </c>
      <c r="O105" s="50">
        <f>+J105-K105</f>
        <v>0</v>
      </c>
      <c r="P105" s="50">
        <f>+IF($C$10&lt;L105,0,O105)</f>
        <v>0</v>
      </c>
      <c r="Q105" s="53"/>
      <c r="R105" s="316">
        <f>IF(N105&gt;=0,0,(IF(-N105&lt;=60,O105,0)))</f>
        <v>0</v>
      </c>
      <c r="S105" s="316">
        <f>IF(N105&gt;=0,0,(IF(N105&gt;=-60,0,IF(-60&gt;=N105,IF(N105&gt;=-120,O105,0)))))</f>
        <v>0</v>
      </c>
      <c r="T105" s="316">
        <f>IF(N105&gt;=0,0,(IF(N105&gt;-60,0,IF(-60&gt;=N105,IF(N105&gt;=-120,0,IF(N105&gt;=-180,O105,0))))))</f>
        <v>0</v>
      </c>
      <c r="U105" s="316">
        <f>IF(N105&gt;=0,0,(IF(N105&gt;-60,0,IF(-60&gt;=N105,IF(N105&gt;-120,0,IF(N105&gt;=-180,0,IF(N105&gt;=-365,O105,0)))))))</f>
        <v>0</v>
      </c>
      <c r="V105" s="316">
        <f>IF(N105&gt;=0,0,IF(365&lt;-N105,O105,0))</f>
        <v>0</v>
      </c>
    </row>
    <row r="106" spans="1:22" s="290" customFormat="1" ht="15">
      <c r="A106" s="138"/>
      <c r="B106" s="138"/>
      <c r="C106" s="286"/>
      <c r="D106" s="140"/>
      <c r="E106" s="141">
        <f t="shared" ref="E106:K106" si="58">SUM(E105:E105)</f>
        <v>169160</v>
      </c>
      <c r="F106" s="141">
        <f t="shared" si="58"/>
        <v>0</v>
      </c>
      <c r="G106" s="141">
        <f t="shared" si="58"/>
        <v>0</v>
      </c>
      <c r="H106" s="141">
        <f t="shared" si="58"/>
        <v>0</v>
      </c>
      <c r="I106" s="141">
        <f t="shared" si="58"/>
        <v>169160</v>
      </c>
      <c r="J106" s="287">
        <f t="shared" si="58"/>
        <v>202992</v>
      </c>
      <c r="K106" s="287">
        <f t="shared" si="58"/>
        <v>202992</v>
      </c>
      <c r="L106" s="139"/>
      <c r="M106" s="139"/>
      <c r="N106" s="142"/>
      <c r="O106" s="141">
        <f>SUM(O105:O105)</f>
        <v>0</v>
      </c>
      <c r="P106" s="141">
        <f>SUM(P105:P105)</f>
        <v>0</v>
      </c>
      <c r="Q106" s="292"/>
      <c r="R106" s="337">
        <f>SUM(R105:R105)</f>
        <v>0</v>
      </c>
      <c r="S106" s="337">
        <f>SUM(S105:S105)</f>
        <v>0</v>
      </c>
      <c r="T106" s="337">
        <f>SUM(T105:T105)</f>
        <v>0</v>
      </c>
      <c r="U106" s="337">
        <f>SUM(U105:U105)</f>
        <v>0</v>
      </c>
      <c r="V106" s="337">
        <f>SUM(V105:V105)</f>
        <v>0</v>
      </c>
    </row>
    <row r="107" spans="1:22">
      <c r="A107" s="54" t="s">
        <v>161</v>
      </c>
      <c r="B107" s="54"/>
      <c r="C107" s="56"/>
      <c r="D107" s="57"/>
      <c r="E107" s="50">
        <f>67571.52/1.2</f>
        <v>56309.600000000006</v>
      </c>
      <c r="F107" s="50">
        <f>-E107*$F$10</f>
        <v>0</v>
      </c>
      <c r="G107" s="50">
        <f>E107*$G$10</f>
        <v>0</v>
      </c>
      <c r="H107" s="50"/>
      <c r="I107" s="50">
        <f>+E107+F107-G107-H107</f>
        <v>56309.600000000006</v>
      </c>
      <c r="J107" s="50">
        <f>+I107+(I107*$I$4)</f>
        <v>67571.520000000004</v>
      </c>
      <c r="K107" s="50">
        <v>67571.520000000004</v>
      </c>
      <c r="L107" s="51"/>
      <c r="M107" s="51"/>
      <c r="N107" s="52">
        <f>-IF(L107=0,,IF(M107=0,($C$10-L107),M107-L107))</f>
        <v>0</v>
      </c>
      <c r="O107" s="50">
        <f>+J107-K107</f>
        <v>0</v>
      </c>
      <c r="P107" s="50">
        <f>+IF($C$10&lt;L107,0,O107)</f>
        <v>0</v>
      </c>
      <c r="Q107" s="53"/>
      <c r="R107" s="316">
        <f>IF(N107&gt;=0,0,(IF(-N107&lt;=60,O107,0)))</f>
        <v>0</v>
      </c>
      <c r="S107" s="316">
        <f>IF(N107&gt;=0,0,(IF(N107&gt;=-60,0,IF(-60&gt;=N107,IF(N107&gt;=-120,O107,0)))))</f>
        <v>0</v>
      </c>
      <c r="T107" s="316">
        <f>IF(N107&gt;=0,0,(IF(N107&gt;-60,0,IF(-60&gt;=N107,IF(N107&gt;=-120,0,IF(N107&gt;=-180,O107,0))))))</f>
        <v>0</v>
      </c>
      <c r="U107" s="316">
        <f>IF(N107&gt;=0,0,(IF(N107&gt;-60,0,IF(-60&gt;=N107,IF(N107&gt;-120,0,IF(N107&gt;=-180,0,IF(N107&gt;=-365,O107,0)))))))</f>
        <v>0</v>
      </c>
      <c r="V107" s="316">
        <f>IF(N107&gt;=0,0,IF(365&lt;-N107,O107,0))</f>
        <v>0</v>
      </c>
    </row>
    <row r="108" spans="1:22" s="290" customFormat="1" ht="15">
      <c r="A108" s="138"/>
      <c r="B108" s="138"/>
      <c r="C108" s="286"/>
      <c r="D108" s="140"/>
      <c r="E108" s="141">
        <f t="shared" ref="E108:K108" si="59">SUM(E107:E107)</f>
        <v>56309.600000000006</v>
      </c>
      <c r="F108" s="141">
        <f t="shared" si="59"/>
        <v>0</v>
      </c>
      <c r="G108" s="141">
        <f t="shared" si="59"/>
        <v>0</v>
      </c>
      <c r="H108" s="141">
        <f t="shared" si="59"/>
        <v>0</v>
      </c>
      <c r="I108" s="141">
        <f t="shared" si="59"/>
        <v>56309.600000000006</v>
      </c>
      <c r="J108" s="287">
        <f t="shared" si="59"/>
        <v>67571.520000000004</v>
      </c>
      <c r="K108" s="287">
        <f t="shared" si="59"/>
        <v>67571.520000000004</v>
      </c>
      <c r="L108" s="139"/>
      <c r="M108" s="139"/>
      <c r="N108" s="142"/>
      <c r="O108" s="141">
        <f>SUM(O107:O107)</f>
        <v>0</v>
      </c>
      <c r="P108" s="141">
        <f>SUM(P107:P107)</f>
        <v>0</v>
      </c>
      <c r="Q108" s="292"/>
      <c r="R108" s="337">
        <f>SUM(R107:R107)</f>
        <v>0</v>
      </c>
      <c r="S108" s="337">
        <f>SUM(S107:S107)</f>
        <v>0</v>
      </c>
      <c r="T108" s="337">
        <f>SUM(T107:T107)</f>
        <v>0</v>
      </c>
      <c r="U108" s="337">
        <f>SUM(U107:U107)</f>
        <v>0</v>
      </c>
      <c r="V108" s="337">
        <f>SUM(V107:V107)</f>
        <v>0</v>
      </c>
    </row>
    <row r="109" spans="1:22">
      <c r="A109" s="54" t="s">
        <v>162</v>
      </c>
      <c r="B109" s="54"/>
      <c r="C109" s="56"/>
      <c r="D109" s="57"/>
      <c r="E109" s="50">
        <f>488959.23/1.2</f>
        <v>407466.02500000002</v>
      </c>
      <c r="F109" s="50">
        <f>-E109*$F$10</f>
        <v>0</v>
      </c>
      <c r="G109" s="50">
        <f>E109*$G$10</f>
        <v>0</v>
      </c>
      <c r="H109" s="50"/>
      <c r="I109" s="50">
        <f>+E109+F109-G109-H109</f>
        <v>407466.02500000002</v>
      </c>
      <c r="J109" s="50">
        <f>+I109+(I109*$I$4)</f>
        <v>488959.23000000004</v>
      </c>
      <c r="K109" s="50">
        <v>488959.23000000004</v>
      </c>
      <c r="L109" s="51"/>
      <c r="M109" s="51"/>
      <c r="N109" s="52">
        <f>-IF(L109=0,,IF(M109=0,($C$10-L109),M109-L109))</f>
        <v>0</v>
      </c>
      <c r="O109" s="50">
        <f>+J109-K109</f>
        <v>0</v>
      </c>
      <c r="P109" s="50">
        <f>+IF($C$10&lt;L109,0,O109)</f>
        <v>0</v>
      </c>
      <c r="Q109" s="53"/>
      <c r="R109" s="316">
        <f>IF(N109&gt;=0,0,(IF(-N109&lt;=60,O109,0)))</f>
        <v>0</v>
      </c>
      <c r="S109" s="316">
        <f>IF(N109&gt;=0,0,(IF(N109&gt;=-60,0,IF(-60&gt;=N109,IF(N109&gt;=-120,O109,0)))))</f>
        <v>0</v>
      </c>
      <c r="T109" s="316">
        <f>IF(N109&gt;=0,0,(IF(N109&gt;-60,0,IF(-60&gt;=N109,IF(N109&gt;=-120,0,IF(N109&gt;=-180,O109,0))))))</f>
        <v>0</v>
      </c>
      <c r="U109" s="316">
        <f>IF(N109&gt;=0,0,(IF(N109&gt;-60,0,IF(-60&gt;=N109,IF(N109&gt;-120,0,IF(N109&gt;=-180,0,IF(N109&gt;=-365,O109,0)))))))</f>
        <v>0</v>
      </c>
      <c r="V109" s="316">
        <f>IF(N109&gt;=0,0,IF(365&lt;-N109,O109,0))</f>
        <v>0</v>
      </c>
    </row>
    <row r="110" spans="1:22" s="290" customFormat="1" ht="15">
      <c r="A110" s="138"/>
      <c r="B110" s="143"/>
      <c r="C110" s="286"/>
      <c r="D110" s="140"/>
      <c r="E110" s="141">
        <f t="shared" ref="E110:K110" si="60">SUM(E109:E109)</f>
        <v>407466.02500000002</v>
      </c>
      <c r="F110" s="141">
        <f t="shared" si="60"/>
        <v>0</v>
      </c>
      <c r="G110" s="141">
        <f t="shared" si="60"/>
        <v>0</v>
      </c>
      <c r="H110" s="141">
        <f t="shared" si="60"/>
        <v>0</v>
      </c>
      <c r="I110" s="141">
        <f t="shared" si="60"/>
        <v>407466.02500000002</v>
      </c>
      <c r="J110" s="287">
        <f t="shared" si="60"/>
        <v>488959.23000000004</v>
      </c>
      <c r="K110" s="287">
        <f t="shared" si="60"/>
        <v>488959.23000000004</v>
      </c>
      <c r="L110" s="139"/>
      <c r="M110" s="139"/>
      <c r="N110" s="142"/>
      <c r="O110" s="141">
        <f>SUM(O109:O109)</f>
        <v>0</v>
      </c>
      <c r="P110" s="141">
        <f>SUM(P109:P109)</f>
        <v>0</v>
      </c>
      <c r="Q110" s="292"/>
      <c r="R110" s="337">
        <f>SUM(R109:R109)</f>
        <v>0</v>
      </c>
      <c r="S110" s="337">
        <f>SUM(S109:S109)</f>
        <v>0</v>
      </c>
      <c r="T110" s="337">
        <f>SUM(T109:T109)</f>
        <v>0</v>
      </c>
      <c r="U110" s="337">
        <f>SUM(U109:U109)</f>
        <v>0</v>
      </c>
      <c r="V110" s="337">
        <f>SUM(V109:V109)</f>
        <v>0</v>
      </c>
    </row>
    <row r="111" spans="1:22">
      <c r="A111" s="54" t="s">
        <v>163</v>
      </c>
      <c r="B111" s="54"/>
      <c r="C111" s="56"/>
      <c r="D111" s="57"/>
      <c r="E111" s="50">
        <f>1145550.99/1.2</f>
        <v>954625.82500000007</v>
      </c>
      <c r="F111" s="50">
        <f>-E111*$F$10</f>
        <v>0</v>
      </c>
      <c r="G111" s="50">
        <f>E111*$G$10</f>
        <v>0</v>
      </c>
      <c r="H111" s="50"/>
      <c r="I111" s="50">
        <f>+E111+F111-G111-H111</f>
        <v>954625.82500000007</v>
      </c>
      <c r="J111" s="50">
        <f>+I111+(I111*$I$4)</f>
        <v>1145550.9900000002</v>
      </c>
      <c r="K111" s="50">
        <v>1145550.9900000002</v>
      </c>
      <c r="L111" s="51"/>
      <c r="M111" s="51"/>
      <c r="N111" s="52">
        <f>-IF(L111=0,,IF(M111=0,($C$10-L111),M111-L111))</f>
        <v>0</v>
      </c>
      <c r="O111" s="50">
        <f>+J111-K111</f>
        <v>0</v>
      </c>
      <c r="P111" s="50">
        <f>+IF($C$10&lt;L111,0,O111)</f>
        <v>0</v>
      </c>
      <c r="Q111" s="53"/>
      <c r="R111" s="316">
        <f>IF(N111&gt;=0,0,(IF(-N111&lt;=60,O111,0)))</f>
        <v>0</v>
      </c>
      <c r="S111" s="316">
        <f>IF(N111&gt;=0,0,(IF(N111&gt;=-60,0,IF(-60&gt;=N111,IF(N111&gt;=-120,O111,0)))))</f>
        <v>0</v>
      </c>
      <c r="T111" s="316">
        <f>IF(N111&gt;=0,0,(IF(N111&gt;-60,0,IF(-60&gt;=N111,IF(N111&gt;=-120,0,IF(N111&gt;=-180,O111,0))))))</f>
        <v>0</v>
      </c>
      <c r="U111" s="316">
        <f>IF(N111&gt;=0,0,(IF(N111&gt;-60,0,IF(-60&gt;=N111,IF(N111&gt;-120,0,IF(N111&gt;=-180,0,IF(N111&gt;=-365,O111,0)))))))</f>
        <v>0</v>
      </c>
      <c r="V111" s="316">
        <f>IF(N111&gt;=0,0,IF(365&lt;-N111,O111,0))</f>
        <v>0</v>
      </c>
    </row>
    <row r="112" spans="1:22" s="290" customFormat="1" ht="15">
      <c r="A112" s="138"/>
      <c r="B112" s="143"/>
      <c r="C112" s="286"/>
      <c r="D112" s="140"/>
      <c r="E112" s="141">
        <f t="shared" ref="E112:K112" si="61">SUM(E111:E111)</f>
        <v>954625.82500000007</v>
      </c>
      <c r="F112" s="141">
        <f t="shared" si="61"/>
        <v>0</v>
      </c>
      <c r="G112" s="141">
        <f t="shared" si="61"/>
        <v>0</v>
      </c>
      <c r="H112" s="141">
        <f t="shared" si="61"/>
        <v>0</v>
      </c>
      <c r="I112" s="141">
        <f t="shared" si="61"/>
        <v>954625.82500000007</v>
      </c>
      <c r="J112" s="287">
        <f t="shared" si="61"/>
        <v>1145550.9900000002</v>
      </c>
      <c r="K112" s="287">
        <f t="shared" si="61"/>
        <v>1145550.9900000002</v>
      </c>
      <c r="L112" s="139"/>
      <c r="M112" s="139"/>
      <c r="N112" s="142"/>
      <c r="O112" s="141">
        <f>SUM(O111:O111)</f>
        <v>0</v>
      </c>
      <c r="P112" s="141">
        <f>SUM(P111:P111)</f>
        <v>0</v>
      </c>
      <c r="Q112" s="292"/>
      <c r="R112" s="337">
        <f>SUM(R111:R111)</f>
        <v>0</v>
      </c>
      <c r="S112" s="337">
        <f>SUM(S111:S111)</f>
        <v>0</v>
      </c>
      <c r="T112" s="337">
        <f>SUM(T111:T111)</f>
        <v>0</v>
      </c>
      <c r="U112" s="337">
        <f>SUM(U111:U111)</f>
        <v>0</v>
      </c>
      <c r="V112" s="337">
        <f>SUM(V111:V111)</f>
        <v>0</v>
      </c>
    </row>
    <row r="113" spans="1:22">
      <c r="A113" s="54" t="s">
        <v>164</v>
      </c>
      <c r="B113" s="54"/>
      <c r="C113" s="56"/>
      <c r="D113" s="57"/>
      <c r="E113" s="50">
        <f>2429941.66/1.2</f>
        <v>2024951.3833333335</v>
      </c>
      <c r="F113" s="50">
        <f>-E113*$F$10</f>
        <v>0</v>
      </c>
      <c r="G113" s="50">
        <f>E113*$G$10</f>
        <v>0</v>
      </c>
      <c r="H113" s="50"/>
      <c r="I113" s="50">
        <f>+E113+F113-G113-H113</f>
        <v>2024951.3833333335</v>
      </c>
      <c r="J113" s="50">
        <f>+I113+(I113*$I$4)</f>
        <v>2429941.66</v>
      </c>
      <c r="K113" s="50">
        <v>2429941.66</v>
      </c>
      <c r="L113" s="51"/>
      <c r="M113" s="51"/>
      <c r="N113" s="52">
        <f>-IF(L113=0,,IF(M113=0,($C$10-L113),M113-L113))</f>
        <v>0</v>
      </c>
      <c r="O113" s="50">
        <f>+J113-K113</f>
        <v>0</v>
      </c>
      <c r="P113" s="50">
        <f>+IF($C$10&lt;L113,0,O113)</f>
        <v>0</v>
      </c>
      <c r="Q113" s="53"/>
      <c r="R113" s="316">
        <f>IF(N113&gt;=0,0,(IF(-N113&lt;=60,O113,0)))</f>
        <v>0</v>
      </c>
      <c r="S113" s="316">
        <f>IF(N113&gt;=0,0,(IF(N113&gt;=-60,0,IF(-60&gt;=N113,IF(N113&gt;=-120,O113,0)))))</f>
        <v>0</v>
      </c>
      <c r="T113" s="316">
        <f>IF(N113&gt;=0,0,(IF(N113&gt;-60,0,IF(-60&gt;=N113,IF(N113&gt;=-120,0,IF(N113&gt;=-180,O113,0))))))</f>
        <v>0</v>
      </c>
      <c r="U113" s="316">
        <f>IF(N113&gt;=0,0,(IF(N113&gt;-60,0,IF(-60&gt;=N113,IF(N113&gt;-120,0,IF(N113&gt;=-180,0,IF(N113&gt;=-365,O113,0)))))))</f>
        <v>0</v>
      </c>
      <c r="V113" s="316">
        <f>IF(N113&gt;=0,0,IF(365&lt;-N113,O113,0))</f>
        <v>0</v>
      </c>
    </row>
    <row r="114" spans="1:22" s="290" customFormat="1" ht="15">
      <c r="A114" s="138"/>
      <c r="B114" s="143"/>
      <c r="C114" s="286"/>
      <c r="D114" s="140"/>
      <c r="E114" s="141">
        <f t="shared" ref="E114:K114" si="62">SUM(E113:E113)</f>
        <v>2024951.3833333335</v>
      </c>
      <c r="F114" s="141">
        <f t="shared" si="62"/>
        <v>0</v>
      </c>
      <c r="G114" s="141">
        <f t="shared" si="62"/>
        <v>0</v>
      </c>
      <c r="H114" s="141">
        <f t="shared" si="62"/>
        <v>0</v>
      </c>
      <c r="I114" s="141">
        <f t="shared" si="62"/>
        <v>2024951.3833333335</v>
      </c>
      <c r="J114" s="287">
        <f t="shared" si="62"/>
        <v>2429941.66</v>
      </c>
      <c r="K114" s="287">
        <f t="shared" si="62"/>
        <v>2429941.66</v>
      </c>
      <c r="L114" s="139"/>
      <c r="M114" s="139"/>
      <c r="N114" s="142"/>
      <c r="O114" s="141">
        <f>SUM(O113:O113)</f>
        <v>0</v>
      </c>
      <c r="P114" s="141">
        <f>SUM(P113:P113)</f>
        <v>0</v>
      </c>
      <c r="Q114" s="292"/>
      <c r="R114" s="337">
        <f>SUM(R113:R113)</f>
        <v>0</v>
      </c>
      <c r="S114" s="337">
        <f>SUM(S113:S113)</f>
        <v>0</v>
      </c>
      <c r="T114" s="337">
        <f>SUM(T113:T113)</f>
        <v>0</v>
      </c>
      <c r="U114" s="337">
        <f>SUM(U113:U113)</f>
        <v>0</v>
      </c>
      <c r="V114" s="337">
        <f>SUM(V113:V113)</f>
        <v>0</v>
      </c>
    </row>
    <row r="115" spans="1:22">
      <c r="A115" s="54" t="s">
        <v>165</v>
      </c>
      <c r="B115" s="54"/>
      <c r="C115" s="56"/>
      <c r="D115" s="57"/>
      <c r="E115" s="50">
        <v>19900</v>
      </c>
      <c r="F115" s="50">
        <f>-E115*$F$10</f>
        <v>0</v>
      </c>
      <c r="G115" s="50">
        <f>E115*$G$10</f>
        <v>0</v>
      </c>
      <c r="H115" s="50"/>
      <c r="I115" s="50">
        <f>+E115+F115-G115-H115</f>
        <v>19900</v>
      </c>
      <c r="J115" s="50">
        <f>+I115+(I115*$I$4)</f>
        <v>23880</v>
      </c>
      <c r="K115" s="50">
        <v>23880</v>
      </c>
      <c r="L115" s="51"/>
      <c r="M115" s="51"/>
      <c r="N115" s="52">
        <f>-IF(L115=0,,IF(M115=0,($C$10-L115),M115-L115))</f>
        <v>0</v>
      </c>
      <c r="O115" s="50">
        <f>+J115-K115</f>
        <v>0</v>
      </c>
      <c r="P115" s="50">
        <f>+IF($C$10&lt;L115,0,O115)</f>
        <v>0</v>
      </c>
      <c r="Q115" s="53"/>
      <c r="R115" s="316">
        <f>IF(N115&gt;=0,0,(IF(-N115&lt;=60,O115,0)))</f>
        <v>0</v>
      </c>
      <c r="S115" s="316">
        <f>IF(N115&gt;=0,0,(IF(N115&gt;=-60,0,IF(-60&gt;=N115,IF(N115&gt;=-120,O115,0)))))</f>
        <v>0</v>
      </c>
      <c r="T115" s="316">
        <f>IF(N115&gt;=0,0,(IF(N115&gt;-60,0,IF(-60&gt;=N115,IF(N115&gt;=-120,0,IF(N115&gt;=-180,O115,0))))))</f>
        <v>0</v>
      </c>
      <c r="U115" s="316">
        <f>IF(N115&gt;=0,0,(IF(N115&gt;-60,0,IF(-60&gt;=N115,IF(N115&gt;-120,0,IF(N115&gt;=-180,0,IF(N115&gt;=-365,O115,0)))))))</f>
        <v>0</v>
      </c>
      <c r="V115" s="316">
        <f>IF(N115&gt;=0,0,IF(365&lt;-N115,O115,0))</f>
        <v>0</v>
      </c>
    </row>
    <row r="116" spans="1:22" s="290" customFormat="1" ht="15">
      <c r="A116" s="138"/>
      <c r="B116" s="143"/>
      <c r="C116" s="286"/>
      <c r="D116" s="140"/>
      <c r="E116" s="141">
        <f t="shared" ref="E116:K116" si="63">SUM(E115:E115)</f>
        <v>19900</v>
      </c>
      <c r="F116" s="141">
        <f t="shared" si="63"/>
        <v>0</v>
      </c>
      <c r="G116" s="141">
        <f t="shared" si="63"/>
        <v>0</v>
      </c>
      <c r="H116" s="141">
        <f t="shared" si="63"/>
        <v>0</v>
      </c>
      <c r="I116" s="141">
        <f t="shared" si="63"/>
        <v>19900</v>
      </c>
      <c r="J116" s="287">
        <f t="shared" si="63"/>
        <v>23880</v>
      </c>
      <c r="K116" s="287">
        <f t="shared" si="63"/>
        <v>23880</v>
      </c>
      <c r="L116" s="139"/>
      <c r="M116" s="139"/>
      <c r="N116" s="142"/>
      <c r="O116" s="141">
        <f>SUM(O115:O115)</f>
        <v>0</v>
      </c>
      <c r="P116" s="141">
        <f>SUM(P115:P115)</f>
        <v>0</v>
      </c>
      <c r="Q116" s="292"/>
      <c r="R116" s="337">
        <f>SUM(R115:R115)</f>
        <v>0</v>
      </c>
      <c r="S116" s="337">
        <f>SUM(S115:S115)</f>
        <v>0</v>
      </c>
      <c r="T116" s="337">
        <f>SUM(T115:T115)</f>
        <v>0</v>
      </c>
      <c r="U116" s="337">
        <f>SUM(U115:U115)</f>
        <v>0</v>
      </c>
      <c r="V116" s="337">
        <f>SUM(V115:V115)</f>
        <v>0</v>
      </c>
    </row>
    <row r="117" spans="1:22">
      <c r="A117" s="54" t="s">
        <v>166</v>
      </c>
      <c r="B117" s="54"/>
      <c r="C117" s="56"/>
      <c r="D117" s="57"/>
      <c r="E117" s="50">
        <f>338689.28/1.2</f>
        <v>282241.06666666671</v>
      </c>
      <c r="F117" s="50">
        <f>-E117*$F$10</f>
        <v>0</v>
      </c>
      <c r="G117" s="50">
        <f>E117*$G$10</f>
        <v>0</v>
      </c>
      <c r="H117" s="50"/>
      <c r="I117" s="50">
        <f>+E117+F117-G117-H117</f>
        <v>282241.06666666671</v>
      </c>
      <c r="J117" s="50">
        <f>+I117+(I117*$I$4)</f>
        <v>338689.28000000003</v>
      </c>
      <c r="K117" s="50">
        <v>338689.28000000003</v>
      </c>
      <c r="L117" s="51"/>
      <c r="M117" s="51"/>
      <c r="N117" s="52">
        <f>-IF(L117=0,,IF(M117=0,($C$10-L117),M117-L117))</f>
        <v>0</v>
      </c>
      <c r="O117" s="50">
        <f>+J117-K117</f>
        <v>0</v>
      </c>
      <c r="P117" s="50">
        <f>+IF($C$10&lt;L117,0,O117)</f>
        <v>0</v>
      </c>
      <c r="Q117" s="53"/>
      <c r="R117" s="316">
        <f>IF(N117&gt;=0,0,(IF(-N117&lt;=60,O117,0)))</f>
        <v>0</v>
      </c>
      <c r="S117" s="316">
        <f>IF(N117&gt;=0,0,(IF(N117&gt;=-60,0,IF(-60&gt;=N117,IF(N117&gt;=-120,O117,0)))))</f>
        <v>0</v>
      </c>
      <c r="T117" s="316">
        <f>IF(N117&gt;=0,0,(IF(N117&gt;-60,0,IF(-60&gt;=N117,IF(N117&gt;=-120,0,IF(N117&gt;=-180,O117,0))))))</f>
        <v>0</v>
      </c>
      <c r="U117" s="316">
        <f>IF(N117&gt;=0,0,(IF(N117&gt;-60,0,IF(-60&gt;=N117,IF(N117&gt;-120,0,IF(N117&gt;=-180,0,IF(N117&gt;=-365,O117,0)))))))</f>
        <v>0</v>
      </c>
      <c r="V117" s="316">
        <f>IF(N117&gt;=0,0,IF(365&lt;-N117,O117,0))</f>
        <v>0</v>
      </c>
    </row>
    <row r="118" spans="1:22" s="290" customFormat="1" ht="15">
      <c r="A118" s="138"/>
      <c r="B118" s="138"/>
      <c r="C118" s="286"/>
      <c r="D118" s="140"/>
      <c r="E118" s="141">
        <f t="shared" ref="E118:K118" si="64">SUM(E117:E117)</f>
        <v>282241.06666666671</v>
      </c>
      <c r="F118" s="141">
        <f t="shared" si="64"/>
        <v>0</v>
      </c>
      <c r="G118" s="141">
        <f t="shared" si="64"/>
        <v>0</v>
      </c>
      <c r="H118" s="141">
        <f t="shared" si="64"/>
        <v>0</v>
      </c>
      <c r="I118" s="141">
        <f t="shared" si="64"/>
        <v>282241.06666666671</v>
      </c>
      <c r="J118" s="287">
        <f t="shared" si="64"/>
        <v>338689.28000000003</v>
      </c>
      <c r="K118" s="287">
        <f t="shared" si="64"/>
        <v>338689.28000000003</v>
      </c>
      <c r="L118" s="139"/>
      <c r="M118" s="139"/>
      <c r="N118" s="142"/>
      <c r="O118" s="141">
        <f>SUM(O117:O117)</f>
        <v>0</v>
      </c>
      <c r="P118" s="141">
        <f>SUM(P117:P117)</f>
        <v>0</v>
      </c>
      <c r="Q118" s="292"/>
      <c r="R118" s="337">
        <f>SUM(R117:R117)</f>
        <v>0</v>
      </c>
      <c r="S118" s="337">
        <f>SUM(S117:S117)</f>
        <v>0</v>
      </c>
      <c r="T118" s="337">
        <f>SUM(T117:T117)</f>
        <v>0</v>
      </c>
      <c r="U118" s="337">
        <f>SUM(U117:U117)</f>
        <v>0</v>
      </c>
      <c r="V118" s="337">
        <f>SUM(V117:V117)</f>
        <v>0</v>
      </c>
    </row>
    <row r="119" spans="1:22" s="290" customFormat="1" ht="15">
      <c r="A119" s="138"/>
      <c r="B119" s="387" t="s">
        <v>167</v>
      </c>
      <c r="C119" s="388"/>
      <c r="D119" s="389"/>
      <c r="E119" s="295">
        <f>SUM(E118,E116,E114,E112,E110,E108,E106,E104,E102,E100,E98,E96,E94,E92,E90,E88,E86,E84,E82,E80,E78,E76,E74,E72,E70,E68,E66,E64,E62,E60,E58,E56,E54,E52,E50,E48,E46,E44,E42,E40,E38,E36,E34,E32,E30,E28,E26,E24,E22,E20,E18,E16,E14)</f>
        <v>63617993.483333327</v>
      </c>
      <c r="F119" s="295">
        <f t="shared" ref="F119:K119" si="65">SUM(F118,F116,F114,F112,F110,F108,F106,F104,F102,F100,F98,F96,F94,F92,F90,F88,F86,F84,F82,F80,F78,F76,F74,F72,F70,F68,F66,F64,F62,F60,F58,F56,F54,F52,F50,F48,F46,F44,F42,F40,F38,F36,F34,F32,F30,F28,F26,F24,F22,F20,F18,F16,F14)</f>
        <v>0</v>
      </c>
      <c r="G119" s="295">
        <f t="shared" si="65"/>
        <v>0</v>
      </c>
      <c r="H119" s="295">
        <f t="shared" si="65"/>
        <v>0</v>
      </c>
      <c r="I119" s="295">
        <f t="shared" si="65"/>
        <v>63617993.483333327</v>
      </c>
      <c r="J119" s="295">
        <f t="shared" si="65"/>
        <v>76341592.179999992</v>
      </c>
      <c r="K119" s="295">
        <f t="shared" si="65"/>
        <v>76341592.179999992</v>
      </c>
      <c r="L119" s="139"/>
      <c r="M119" s="139"/>
      <c r="N119" s="142"/>
      <c r="O119" s="141"/>
      <c r="P119" s="141"/>
      <c r="Q119" s="292"/>
      <c r="R119" s="337"/>
      <c r="S119" s="337"/>
      <c r="T119" s="337"/>
      <c r="U119" s="337"/>
      <c r="V119" s="337"/>
    </row>
    <row r="120" spans="1:22">
      <c r="A120" s="279" t="s">
        <v>168</v>
      </c>
      <c r="B120" s="55"/>
      <c r="C120" s="56"/>
      <c r="D120" s="57"/>
      <c r="E120" s="50"/>
      <c r="F120" s="50"/>
      <c r="G120" s="50"/>
      <c r="H120" s="50"/>
      <c r="I120" s="50"/>
      <c r="J120" s="50"/>
      <c r="K120" s="50"/>
      <c r="L120" s="51"/>
      <c r="M120" s="51"/>
      <c r="N120" s="59"/>
      <c r="O120" s="50"/>
      <c r="P120" s="55">
        <f>+IF($C$10&lt;L120,0,O120)</f>
        <v>0</v>
      </c>
      <c r="Q120" s="53"/>
      <c r="R120" s="285"/>
      <c r="S120" s="285"/>
      <c r="T120" s="285"/>
      <c r="U120" s="285"/>
      <c r="V120" s="285"/>
    </row>
    <row r="121" spans="1:22">
      <c r="A121" s="54" t="s">
        <v>169</v>
      </c>
      <c r="B121" s="55"/>
      <c r="C121" s="284"/>
      <c r="D121" s="57"/>
      <c r="E121" s="50">
        <v>44430.63</v>
      </c>
      <c r="F121" s="50">
        <v>0</v>
      </c>
      <c r="G121" s="50">
        <v>0</v>
      </c>
      <c r="H121" s="50"/>
      <c r="I121" s="50">
        <f>+E121+F121-G121-H121</f>
        <v>44430.63</v>
      </c>
      <c r="J121" s="50">
        <f>+I121+(I121*$I$4)</f>
        <v>53316.755999999994</v>
      </c>
      <c r="K121" s="50">
        <v>53316.755999999994</v>
      </c>
      <c r="L121" s="51"/>
      <c r="M121" s="51"/>
      <c r="N121" s="52">
        <f>-IF(L121=0,,IF(M121=0,($C$10-L121),M121-L121))</f>
        <v>0</v>
      </c>
      <c r="O121" s="50">
        <f>+J121-K121</f>
        <v>0</v>
      </c>
      <c r="P121" s="50">
        <f>+IF($C$10&lt;L121,0,O121)</f>
        <v>0</v>
      </c>
      <c r="Q121" s="53"/>
      <c r="R121" s="316">
        <f>IF(N121&gt;=0,0,(IF(-N121&lt;=60,O121,0)))</f>
        <v>0</v>
      </c>
      <c r="S121" s="316">
        <f>IF(N121&gt;=0,0,(IF(N121&gt;=-60,0,IF(-60&gt;=N121,IF(N121&gt;=-120,O121,0)))))</f>
        <v>0</v>
      </c>
      <c r="T121" s="316">
        <f>IF(N121&gt;=0,0,(IF(N121&gt;-60,0,IF(-60&gt;=N121,IF(N121&gt;=-120,0,IF(N121&gt;=-180,O121,0))))))</f>
        <v>0</v>
      </c>
      <c r="U121" s="316">
        <f>IF(N121&gt;=0,0,(IF(N121&gt;-60,0,IF(-60&gt;=N121,IF(N121&gt;-120,0,IF(N121&gt;=-180,0,IF(N121&gt;=-365,O121,0)))))))</f>
        <v>0</v>
      </c>
      <c r="V121" s="316">
        <f>IF(N121&gt;=0,0,IF(365&lt;-N121,O121,0))</f>
        <v>0</v>
      </c>
    </row>
    <row r="122" spans="1:22">
      <c r="A122" s="54" t="s">
        <v>169</v>
      </c>
      <c r="B122" s="55"/>
      <c r="C122" s="284">
        <v>37195</v>
      </c>
      <c r="D122" s="57"/>
      <c r="E122" s="50">
        <f>54406.61/1.2</f>
        <v>45338.841666666667</v>
      </c>
      <c r="F122" s="50">
        <v>0</v>
      </c>
      <c r="G122" s="50">
        <v>0</v>
      </c>
      <c r="H122" s="50"/>
      <c r="I122" s="50">
        <f>+E122+F122-G122-H122</f>
        <v>45338.841666666667</v>
      </c>
      <c r="J122" s="50">
        <f>+I122+(I122*$I$4)</f>
        <v>54406.61</v>
      </c>
      <c r="K122" s="50">
        <v>54406.61</v>
      </c>
      <c r="L122" s="51"/>
      <c r="M122" s="51"/>
      <c r="N122" s="52">
        <f>-IF(L122=0,,IF(M122=0,($C$10-L122),M122-L122))</f>
        <v>0</v>
      </c>
      <c r="O122" s="50">
        <f>+J122-K122</f>
        <v>0</v>
      </c>
      <c r="P122" s="50">
        <f>+IF($C$10&lt;L122,0,O122)</f>
        <v>0</v>
      </c>
      <c r="Q122" s="53"/>
      <c r="R122" s="316">
        <f>IF(N122&gt;=0,0,(IF(-N122&lt;=60,O122,0)))</f>
        <v>0</v>
      </c>
      <c r="S122" s="316">
        <f>IF(N122&gt;=0,0,(IF(N122&gt;=-60,0,IF(-60&gt;=N122,IF(N122&gt;=-120,O122,0)))))</f>
        <v>0</v>
      </c>
      <c r="T122" s="316">
        <f>IF(N122&gt;=0,0,(IF(N122&gt;-60,0,IF(-60&gt;=N122,IF(N122&gt;=-120,0,IF(N122&gt;=-180,O122,0))))))</f>
        <v>0</v>
      </c>
      <c r="U122" s="316">
        <f>IF(N122&gt;=0,0,(IF(N122&gt;-60,0,IF(-60&gt;=N122,IF(N122&gt;-120,0,IF(N122&gt;=-180,0,IF(N122&gt;=-365,O122,0)))))))</f>
        <v>0</v>
      </c>
      <c r="V122" s="316">
        <f>IF(N122&gt;=0,0,IF(365&lt;-N122,O122,0))</f>
        <v>0</v>
      </c>
    </row>
    <row r="123" spans="1:22">
      <c r="A123" s="54" t="s">
        <v>169</v>
      </c>
      <c r="B123" s="55"/>
      <c r="C123" s="284">
        <v>37225</v>
      </c>
      <c r="D123" s="57"/>
      <c r="E123" s="50">
        <f>147140.46/1.2</f>
        <v>122617.05</v>
      </c>
      <c r="F123" s="50">
        <v>0</v>
      </c>
      <c r="G123" s="50">
        <v>0</v>
      </c>
      <c r="H123" s="50"/>
      <c r="I123" s="50">
        <f t="shared" ref="I123:I124" si="66">+E123+F123-G123-H123</f>
        <v>122617.05</v>
      </c>
      <c r="J123" s="50">
        <f t="shared" ref="J123:J124" si="67">+I123+(I123*$I$4)</f>
        <v>147140.46000000002</v>
      </c>
      <c r="K123" s="50">
        <v>60000</v>
      </c>
      <c r="L123" s="51">
        <v>37376</v>
      </c>
      <c r="M123" s="51">
        <v>37376</v>
      </c>
      <c r="N123" s="52">
        <f t="shared" ref="N123:N124" si="68">-IF(L123=0,,IF(M123=0,($C$10-L123),M123-L123))</f>
        <v>0</v>
      </c>
      <c r="O123" s="50">
        <f t="shared" ref="O123:O124" si="69">+J123-K123</f>
        <v>87140.460000000021</v>
      </c>
      <c r="P123" s="50">
        <f t="shared" ref="P123:P124" si="70">+IF($C$10&lt;L123,0,O123)</f>
        <v>87140.460000000021</v>
      </c>
      <c r="Q123" s="53"/>
      <c r="R123" s="316">
        <f t="shared" ref="R123:R124" si="71">IF(N123&gt;=0,0,(IF(-N123&lt;=60,O123,0)))</f>
        <v>0</v>
      </c>
      <c r="S123" s="316">
        <f t="shared" ref="S123:S124" si="72">IF(N123&gt;=0,0,(IF(N123&gt;=-60,0,IF(-60&gt;=N123,IF(N123&gt;=-120,O123,0)))))</f>
        <v>0</v>
      </c>
      <c r="T123" s="316">
        <f t="shared" ref="T123:T124" si="73">IF(N123&gt;=0,0,(IF(N123&gt;-60,0,IF(-60&gt;=N123,IF(N123&gt;=-120,0,IF(N123&gt;=-180,O123,0))))))</f>
        <v>0</v>
      </c>
      <c r="U123" s="316">
        <f t="shared" ref="U123:U124" si="74">IF(N123&gt;=0,0,(IF(N123&gt;-60,0,IF(-60&gt;=N123,IF(N123&gt;-120,0,IF(N123&gt;=-180,0,IF(N123&gt;=-365,O123,0)))))))</f>
        <v>0</v>
      </c>
      <c r="V123" s="316">
        <v>87140.46</v>
      </c>
    </row>
    <row r="124" spans="1:22">
      <c r="A124" s="54" t="s">
        <v>169</v>
      </c>
      <c r="B124" s="55"/>
      <c r="C124" s="284">
        <v>37255</v>
      </c>
      <c r="D124" s="57"/>
      <c r="E124" s="50">
        <f>80810.58/1.2</f>
        <v>67342.150000000009</v>
      </c>
      <c r="F124" s="50">
        <v>0</v>
      </c>
      <c r="G124" s="50">
        <v>0</v>
      </c>
      <c r="H124" s="50"/>
      <c r="I124" s="50">
        <f t="shared" si="66"/>
        <v>67342.150000000009</v>
      </c>
      <c r="J124" s="50">
        <f t="shared" si="67"/>
        <v>80810.580000000016</v>
      </c>
      <c r="K124" s="50"/>
      <c r="L124" s="51">
        <v>37325</v>
      </c>
      <c r="M124" s="51"/>
      <c r="N124" s="52">
        <f t="shared" si="68"/>
        <v>-5769</v>
      </c>
      <c r="O124" s="50">
        <f t="shared" si="69"/>
        <v>80810.580000000016</v>
      </c>
      <c r="P124" s="50">
        <f t="shared" si="70"/>
        <v>80810.580000000016</v>
      </c>
      <c r="Q124" s="53"/>
      <c r="R124" s="316">
        <f t="shared" si="71"/>
        <v>0</v>
      </c>
      <c r="S124" s="316">
        <f t="shared" si="72"/>
        <v>0</v>
      </c>
      <c r="T124" s="316">
        <f t="shared" si="73"/>
        <v>0</v>
      </c>
      <c r="U124" s="316">
        <f t="shared" si="74"/>
        <v>0</v>
      </c>
      <c r="V124" s="316">
        <f t="shared" ref="V124" si="75">IF(N124&gt;=0,0,IF(365&lt;-N124,O124,0))</f>
        <v>80810.580000000016</v>
      </c>
    </row>
    <row r="125" spans="1:22" s="290" customFormat="1" ht="15">
      <c r="A125" s="138"/>
      <c r="B125" s="143"/>
      <c r="C125" s="286"/>
      <c r="D125" s="140"/>
      <c r="E125" s="141">
        <f>SUM(E121:E124)</f>
        <v>279728.67166666669</v>
      </c>
      <c r="F125" s="141">
        <f t="shared" ref="F125:K125" si="76">SUM(F121:F124)</f>
        <v>0</v>
      </c>
      <c r="G125" s="141">
        <f t="shared" si="76"/>
        <v>0</v>
      </c>
      <c r="H125" s="141">
        <f t="shared" si="76"/>
        <v>0</v>
      </c>
      <c r="I125" s="141">
        <f t="shared" si="76"/>
        <v>279728.67166666669</v>
      </c>
      <c r="J125" s="141">
        <f t="shared" si="76"/>
        <v>335674.40600000002</v>
      </c>
      <c r="K125" s="141">
        <f t="shared" si="76"/>
        <v>167723.36599999998</v>
      </c>
      <c r="L125" s="139"/>
      <c r="M125" s="139"/>
      <c r="N125" s="142"/>
      <c r="O125" s="141">
        <f>SUM(O121:O124)</f>
        <v>167951.04000000004</v>
      </c>
      <c r="P125" s="141">
        <f>SUM(P121:P124)</f>
        <v>167951.04000000004</v>
      </c>
      <c r="Q125" s="288"/>
      <c r="R125" s="289">
        <f>SUM(R121:R124)</f>
        <v>0</v>
      </c>
      <c r="S125" s="289">
        <f t="shared" ref="S125:V125" si="77">SUM(S121:S124)</f>
        <v>0</v>
      </c>
      <c r="T125" s="289">
        <f t="shared" si="77"/>
        <v>0</v>
      </c>
      <c r="U125" s="289">
        <f t="shared" si="77"/>
        <v>0</v>
      </c>
      <c r="V125" s="289">
        <f t="shared" si="77"/>
        <v>167951.04000000004</v>
      </c>
    </row>
    <row r="126" spans="1:22">
      <c r="A126" s="54" t="s">
        <v>130</v>
      </c>
      <c r="B126" s="55"/>
      <c r="C126" s="291"/>
      <c r="D126" s="57"/>
      <c r="E126" s="50">
        <f>92663.8/1.2</f>
        <v>77219.833333333343</v>
      </c>
      <c r="F126" s="50">
        <f>-E126*$F$10</f>
        <v>0</v>
      </c>
      <c r="G126" s="50">
        <f>E126*$G$10</f>
        <v>0</v>
      </c>
      <c r="H126" s="50"/>
      <c r="I126" s="50">
        <f>+E126+F126-G126-H126</f>
        <v>77219.833333333343</v>
      </c>
      <c r="J126" s="50">
        <f>+I126+(I126*$I$4)</f>
        <v>92663.800000000017</v>
      </c>
      <c r="K126" s="50">
        <v>92663.800000000017</v>
      </c>
      <c r="L126" s="51"/>
      <c r="M126" s="51"/>
      <c r="N126" s="52">
        <f>-IF(L126=0,,IF(M126=0,($C$10-L126),M126-L126))</f>
        <v>0</v>
      </c>
      <c r="O126" s="50">
        <f>+J126-K126</f>
        <v>0</v>
      </c>
      <c r="P126" s="50">
        <f>+IF($C$10&lt;L126,0,O126)</f>
        <v>0</v>
      </c>
      <c r="Q126" s="53"/>
      <c r="R126" s="316">
        <f>IF(N126&gt;=0,0,(IF(-N126&lt;=60,O126,0)))</f>
        <v>0</v>
      </c>
      <c r="S126" s="316">
        <f>IF(N126&gt;=0,0,(IF(N126&gt;=-60,0,IF(-60&gt;=N126,IF(N126&gt;=-120,O126,0)))))</f>
        <v>0</v>
      </c>
      <c r="T126" s="316">
        <f>IF(N126&gt;=0,0,(IF(N126&gt;-60,0,IF(-60&gt;=N126,IF(N126&gt;=-120,0,IF(N126&gt;=-180,O126,0))))))</f>
        <v>0</v>
      </c>
      <c r="U126" s="316">
        <f>IF(N126&gt;=0,0,(IF(N126&gt;-60,0,IF(-60&gt;=N126,IF(N126&gt;-120,0,IF(N126&gt;=-180,0,IF(N126&gt;=-365,O126,0)))))))</f>
        <v>0</v>
      </c>
      <c r="V126" s="316">
        <f>IF(N126&gt;=0,0,IF(365&lt;-N126,O126,0))</f>
        <v>0</v>
      </c>
    </row>
    <row r="127" spans="1:22" s="290" customFormat="1" ht="15">
      <c r="A127" s="138"/>
      <c r="B127" s="143"/>
      <c r="C127" s="286"/>
      <c r="D127" s="140"/>
      <c r="E127" s="141">
        <f t="shared" ref="E127:K127" si="78">SUM(E126:E126)</f>
        <v>77219.833333333343</v>
      </c>
      <c r="F127" s="141">
        <f t="shared" si="78"/>
        <v>0</v>
      </c>
      <c r="G127" s="141">
        <f t="shared" si="78"/>
        <v>0</v>
      </c>
      <c r="H127" s="141">
        <f t="shared" si="78"/>
        <v>0</v>
      </c>
      <c r="I127" s="141">
        <f t="shared" si="78"/>
        <v>77219.833333333343</v>
      </c>
      <c r="J127" s="287">
        <f t="shared" si="78"/>
        <v>92663.800000000017</v>
      </c>
      <c r="K127" s="287">
        <f t="shared" si="78"/>
        <v>92663.800000000017</v>
      </c>
      <c r="L127" s="139"/>
      <c r="M127" s="139"/>
      <c r="N127" s="142"/>
      <c r="O127" s="141">
        <f>SUM(O126:O126)</f>
        <v>0</v>
      </c>
      <c r="P127" s="141">
        <f>SUM(P126:P126)</f>
        <v>0</v>
      </c>
      <c r="Q127" s="288"/>
      <c r="R127" s="289">
        <f>SUM(R126:R126)</f>
        <v>0</v>
      </c>
      <c r="S127" s="289">
        <f>SUM(S126:S126)</f>
        <v>0</v>
      </c>
      <c r="T127" s="289">
        <f>SUM(T126:T126)</f>
        <v>0</v>
      </c>
      <c r="U127" s="289">
        <f>SUM(U126:U126)</f>
        <v>0</v>
      </c>
      <c r="V127" s="289">
        <f>SUM(V126:V126)</f>
        <v>0</v>
      </c>
    </row>
    <row r="128" spans="1:22">
      <c r="A128" s="54" t="s">
        <v>131</v>
      </c>
      <c r="B128" s="55"/>
      <c r="C128" s="291"/>
      <c r="D128" s="57"/>
      <c r="E128" s="50">
        <f>570350.12/1.2</f>
        <v>475291.76666666666</v>
      </c>
      <c r="F128" s="50">
        <f>-E128*$F$10</f>
        <v>0</v>
      </c>
      <c r="G128" s="50">
        <f>E128*$G$10</f>
        <v>0</v>
      </c>
      <c r="H128" s="50"/>
      <c r="I128" s="50">
        <f>+E128+F128-G128-H128</f>
        <v>475291.76666666666</v>
      </c>
      <c r="J128" s="50">
        <f>+I128+(I128*$I$4)</f>
        <v>570350.12</v>
      </c>
      <c r="K128" s="50">
        <v>570350.12</v>
      </c>
      <c r="L128" s="51"/>
      <c r="M128" s="51"/>
      <c r="N128" s="52">
        <f>-IF(L128=0,,IF(M128=0,($C$10-L128),M128-L128))</f>
        <v>0</v>
      </c>
      <c r="O128" s="50">
        <f>+J128-K128</f>
        <v>0</v>
      </c>
      <c r="P128" s="50">
        <f>+IF($C$10&lt;L128,0,O128)</f>
        <v>0</v>
      </c>
      <c r="Q128" s="53"/>
      <c r="R128" s="316">
        <f>IF(N128&gt;=0,0,(IF(-N128&lt;=60,O128,0)))</f>
        <v>0</v>
      </c>
      <c r="S128" s="316">
        <f>IF(N128&gt;=0,0,(IF(N128&gt;=-60,0,IF(-60&gt;=N128,IF(N128&gt;=-120,O128,0)))))</f>
        <v>0</v>
      </c>
      <c r="T128" s="316">
        <f>IF(N128&gt;=0,0,(IF(N128&gt;-60,0,IF(-60&gt;=N128,IF(N128&gt;=-120,0,IF(N128&gt;=-180,O128,0))))))</f>
        <v>0</v>
      </c>
      <c r="U128" s="316">
        <f>IF(N128&gt;=0,0,(IF(N128&gt;-60,0,IF(-60&gt;=N128,IF(N128&gt;-120,0,IF(N128&gt;=-180,0,IF(N128&gt;=-365,O128,0)))))))</f>
        <v>0</v>
      </c>
      <c r="V128" s="316">
        <f>IF(N128&gt;=0,0,IF(365&lt;-N128,O128,0))</f>
        <v>0</v>
      </c>
    </row>
    <row r="129" spans="1:22" s="290" customFormat="1" ht="15">
      <c r="A129" s="138"/>
      <c r="B129" s="143"/>
      <c r="C129" s="286"/>
      <c r="D129" s="140"/>
      <c r="E129" s="141">
        <f t="shared" ref="E129:K129" si="79">SUM(E128:E128)</f>
        <v>475291.76666666666</v>
      </c>
      <c r="F129" s="141">
        <f t="shared" si="79"/>
        <v>0</v>
      </c>
      <c r="G129" s="141">
        <f t="shared" si="79"/>
        <v>0</v>
      </c>
      <c r="H129" s="141">
        <f t="shared" si="79"/>
        <v>0</v>
      </c>
      <c r="I129" s="141">
        <f t="shared" si="79"/>
        <v>475291.76666666666</v>
      </c>
      <c r="J129" s="287">
        <f t="shared" si="79"/>
        <v>570350.12</v>
      </c>
      <c r="K129" s="287">
        <f t="shared" si="79"/>
        <v>570350.12</v>
      </c>
      <c r="L129" s="139"/>
      <c r="M129" s="139"/>
      <c r="N129" s="142"/>
      <c r="O129" s="141">
        <f>SUM(O128:O128)</f>
        <v>0</v>
      </c>
      <c r="P129" s="141">
        <f>SUM(P128:P128)</f>
        <v>0</v>
      </c>
      <c r="Q129" s="288"/>
      <c r="R129" s="289">
        <f>SUM(R128:R128)</f>
        <v>0</v>
      </c>
      <c r="S129" s="289">
        <f>SUM(S128:S128)</f>
        <v>0</v>
      </c>
      <c r="T129" s="289">
        <f>SUM(T128:T128)</f>
        <v>0</v>
      </c>
      <c r="U129" s="289">
        <f>SUM(U128:U128)</f>
        <v>0</v>
      </c>
      <c r="V129" s="289">
        <f>SUM(V128:V128)</f>
        <v>0</v>
      </c>
    </row>
    <row r="130" spans="1:22">
      <c r="A130" s="54" t="s">
        <v>170</v>
      </c>
      <c r="B130" s="55"/>
      <c r="C130" s="291"/>
      <c r="D130" s="57"/>
      <c r="E130" s="50">
        <f>150687.886/1.2</f>
        <v>125573.23833333334</v>
      </c>
      <c r="F130" s="50">
        <f>-E130*$F$10</f>
        <v>0</v>
      </c>
      <c r="G130" s="50">
        <f>E130*$G$10</f>
        <v>0</v>
      </c>
      <c r="H130" s="50"/>
      <c r="I130" s="50">
        <f>+E130+F130-G130-H130</f>
        <v>125573.23833333334</v>
      </c>
      <c r="J130" s="50">
        <f>+I130+(I130*$I$4)</f>
        <v>150687.886</v>
      </c>
      <c r="K130" s="50">
        <v>150687.886</v>
      </c>
      <c r="L130" s="51"/>
      <c r="M130" s="51"/>
      <c r="N130" s="52">
        <f>-IF(L130=0,,IF(M130=0,($C$10-L130),M130-L130))</f>
        <v>0</v>
      </c>
      <c r="O130" s="50">
        <f>+J130-K130</f>
        <v>0</v>
      </c>
      <c r="P130" s="50">
        <f>+IF($C$10&lt;L130,0,O130)</f>
        <v>0</v>
      </c>
      <c r="Q130" s="53"/>
      <c r="R130" s="316">
        <f>IF(N130&gt;=0,0,(IF(-N130&lt;=60,O130,0)))</f>
        <v>0</v>
      </c>
      <c r="S130" s="316">
        <f>IF(N130&gt;=0,0,(IF(N130&gt;=-60,0,IF(-60&gt;=N130,IF(N130&gt;=-120,O130,0)))))</f>
        <v>0</v>
      </c>
      <c r="T130" s="316">
        <f>IF(N130&gt;=0,0,(IF(N130&gt;-60,0,IF(-60&gt;=N130,IF(N130&gt;=-120,0,IF(N130&gt;=-180,O130,0))))))</f>
        <v>0</v>
      </c>
      <c r="U130" s="316">
        <f>IF(N130&gt;=0,0,(IF(N130&gt;-60,0,IF(-60&gt;=N130,IF(N130&gt;-120,0,IF(N130&gt;=-180,0,IF(N130&gt;=-365,O130,0)))))))</f>
        <v>0</v>
      </c>
      <c r="V130" s="316">
        <f>IF(N130&gt;=0,0,IF(365&lt;-N130,O130,0))</f>
        <v>0</v>
      </c>
    </row>
    <row r="131" spans="1:22" s="290" customFormat="1" ht="15">
      <c r="A131" s="138"/>
      <c r="B131" s="143"/>
      <c r="C131" s="286"/>
      <c r="D131" s="140"/>
      <c r="E131" s="141">
        <f t="shared" ref="E131:K131" si="80">SUM(E130:E130)</f>
        <v>125573.23833333334</v>
      </c>
      <c r="F131" s="141">
        <f t="shared" si="80"/>
        <v>0</v>
      </c>
      <c r="G131" s="141">
        <f t="shared" si="80"/>
        <v>0</v>
      </c>
      <c r="H131" s="141">
        <f t="shared" si="80"/>
        <v>0</v>
      </c>
      <c r="I131" s="141">
        <f t="shared" si="80"/>
        <v>125573.23833333334</v>
      </c>
      <c r="J131" s="287">
        <f t="shared" si="80"/>
        <v>150687.886</v>
      </c>
      <c r="K131" s="287">
        <f t="shared" si="80"/>
        <v>150687.886</v>
      </c>
      <c r="L131" s="139"/>
      <c r="M131" s="139"/>
      <c r="N131" s="142"/>
      <c r="O131" s="141">
        <f>SUM(O130:O130)</f>
        <v>0</v>
      </c>
      <c r="P131" s="141">
        <f>SUM(P130:P130)</f>
        <v>0</v>
      </c>
      <c r="Q131" s="288"/>
      <c r="R131" s="289">
        <f>SUM(R130:R130)</f>
        <v>0</v>
      </c>
      <c r="S131" s="289">
        <f>SUM(S130:S130)</f>
        <v>0</v>
      </c>
      <c r="T131" s="289">
        <f>SUM(T130:T130)</f>
        <v>0</v>
      </c>
      <c r="U131" s="289">
        <f>SUM(U130:U130)</f>
        <v>0</v>
      </c>
      <c r="V131" s="289">
        <f>SUM(V130:V130)</f>
        <v>0</v>
      </c>
    </row>
    <row r="132" spans="1:22">
      <c r="A132" s="54" t="s">
        <v>132</v>
      </c>
      <c r="B132" s="55"/>
      <c r="C132" s="291"/>
      <c r="D132" s="57"/>
      <c r="E132" s="50">
        <f>468579.48/1.2</f>
        <v>390482.9</v>
      </c>
      <c r="F132" s="50">
        <f>-E132*$F$10</f>
        <v>0</v>
      </c>
      <c r="G132" s="50">
        <f>E132*$G$10</f>
        <v>0</v>
      </c>
      <c r="H132" s="50"/>
      <c r="I132" s="50">
        <f>+E132+F132-G132-H132</f>
        <v>390482.9</v>
      </c>
      <c r="J132" s="50">
        <f>+I132+(I132*$I$4)</f>
        <v>468579.48000000004</v>
      </c>
      <c r="K132" s="50">
        <v>468579.48000000004</v>
      </c>
      <c r="L132" s="51"/>
      <c r="M132" s="51"/>
      <c r="N132" s="52">
        <f>-IF(L132=0,,IF(M132=0,($C$10-L132),M132-L132))</f>
        <v>0</v>
      </c>
      <c r="O132" s="50">
        <f>+J132-K132</f>
        <v>0</v>
      </c>
      <c r="P132" s="50">
        <f>+IF($C$10&lt;L132,0,O132)</f>
        <v>0</v>
      </c>
      <c r="Q132" s="53"/>
      <c r="R132" s="316">
        <f>IF(N132&gt;=0,0,(IF(-N132&lt;=60,O132,0)))</f>
        <v>0</v>
      </c>
      <c r="S132" s="316">
        <f>IF(N132&gt;=0,0,(IF(N132&gt;=-60,0,IF(-60&gt;=N132,IF(N132&gt;=-120,O132,0)))))</f>
        <v>0</v>
      </c>
      <c r="T132" s="316">
        <f>IF(N132&gt;=0,0,(IF(N132&gt;-60,0,IF(-60&gt;=N132,IF(N132&gt;=-120,0,IF(N132&gt;=-180,O132,0))))))</f>
        <v>0</v>
      </c>
      <c r="U132" s="316">
        <f>IF(N132&gt;=0,0,(IF(N132&gt;-60,0,IF(-60&gt;=N132,IF(N132&gt;-120,0,IF(N132&gt;=-180,0,IF(N132&gt;=-365,O132,0)))))))</f>
        <v>0</v>
      </c>
      <c r="V132" s="316">
        <f>IF(N132&gt;=0,0,IF(365&lt;-N132,O132,0))</f>
        <v>0</v>
      </c>
    </row>
    <row r="133" spans="1:22" s="290" customFormat="1" ht="15">
      <c r="A133" s="138"/>
      <c r="B133" s="143"/>
      <c r="C133" s="286"/>
      <c r="D133" s="140"/>
      <c r="E133" s="141">
        <f t="shared" ref="E133:K133" si="81">SUM(E132:E132)</f>
        <v>390482.9</v>
      </c>
      <c r="F133" s="141">
        <f t="shared" si="81"/>
        <v>0</v>
      </c>
      <c r="G133" s="141">
        <f t="shared" si="81"/>
        <v>0</v>
      </c>
      <c r="H133" s="141">
        <f t="shared" si="81"/>
        <v>0</v>
      </c>
      <c r="I133" s="141">
        <f t="shared" si="81"/>
        <v>390482.9</v>
      </c>
      <c r="J133" s="287">
        <f t="shared" si="81"/>
        <v>468579.48000000004</v>
      </c>
      <c r="K133" s="287">
        <f t="shared" si="81"/>
        <v>468579.48000000004</v>
      </c>
      <c r="L133" s="139"/>
      <c r="M133" s="139"/>
      <c r="N133" s="142"/>
      <c r="O133" s="141">
        <f>SUM(O132:O132)</f>
        <v>0</v>
      </c>
      <c r="P133" s="141">
        <f>SUM(P132:P132)</f>
        <v>0</v>
      </c>
      <c r="Q133" s="288"/>
      <c r="R133" s="289">
        <f>SUM(R132:R132)</f>
        <v>0</v>
      </c>
      <c r="S133" s="289">
        <f>SUM(S132:S132)</f>
        <v>0</v>
      </c>
      <c r="T133" s="289">
        <f>SUM(T132:T132)</f>
        <v>0</v>
      </c>
      <c r="U133" s="289">
        <f>SUM(U132:U132)</f>
        <v>0</v>
      </c>
      <c r="V133" s="289">
        <f>SUM(V132:V132)</f>
        <v>0</v>
      </c>
    </row>
    <row r="134" spans="1:22">
      <c r="A134" s="54" t="s">
        <v>171</v>
      </c>
      <c r="B134" s="55"/>
      <c r="C134" s="56"/>
      <c r="D134" s="57"/>
      <c r="E134" s="50">
        <f>47563.46/1.2</f>
        <v>39636.216666666667</v>
      </c>
      <c r="F134" s="50">
        <f>-E134*$F$10</f>
        <v>0</v>
      </c>
      <c r="G134" s="50">
        <f>E134*$G$10</f>
        <v>0</v>
      </c>
      <c r="H134" s="50"/>
      <c r="I134" s="50">
        <f>+E134+F134-G134-H134</f>
        <v>39636.216666666667</v>
      </c>
      <c r="J134" s="50">
        <f>+I134+(I134*$I$4)</f>
        <v>47563.46</v>
      </c>
      <c r="K134" s="50">
        <v>47563.46</v>
      </c>
      <c r="L134" s="51"/>
      <c r="M134" s="51"/>
      <c r="N134" s="52">
        <f>-IF(L134=0,,IF(M134=0,($C$10-L134),M134-L134))</f>
        <v>0</v>
      </c>
      <c r="O134" s="50">
        <f>+J134-K134</f>
        <v>0</v>
      </c>
      <c r="P134" s="50">
        <f>+IF($C$10&lt;L134,0,O134)</f>
        <v>0</v>
      </c>
      <c r="Q134" s="53"/>
      <c r="R134" s="316">
        <f>IF(N134&gt;=0,0,(IF(-N134&lt;=60,O134,0)))</f>
        <v>0</v>
      </c>
      <c r="S134" s="316">
        <f>IF(N134&gt;=0,0,(IF(N134&gt;=-60,0,IF(-60&gt;=N134,IF(N134&gt;=-120,O134,0)))))</f>
        <v>0</v>
      </c>
      <c r="T134" s="316">
        <f>IF(N134&gt;=0,0,(IF(N134&gt;-60,0,IF(-60&gt;=N134,IF(N134&gt;=-120,0,IF(N134&gt;=-180,O134,0))))))</f>
        <v>0</v>
      </c>
      <c r="U134" s="316">
        <f>IF(N134&gt;=0,0,(IF(N134&gt;-60,0,IF(-60&gt;=N134,IF(N134&gt;-120,0,IF(N134&gt;=-180,0,IF(N134&gt;=-365,O134,0)))))))</f>
        <v>0</v>
      </c>
      <c r="V134" s="316">
        <f>IF(N134&gt;=0,0,IF(365&lt;-N134,O134,0))</f>
        <v>0</v>
      </c>
    </row>
    <row r="135" spans="1:22" s="290" customFormat="1" ht="15">
      <c r="A135" s="138"/>
      <c r="B135" s="138"/>
      <c r="C135" s="286"/>
      <c r="D135" s="140"/>
      <c r="E135" s="141">
        <f t="shared" ref="E135:K135" si="82">SUM(E134:E134)</f>
        <v>39636.216666666667</v>
      </c>
      <c r="F135" s="141">
        <f t="shared" si="82"/>
        <v>0</v>
      </c>
      <c r="G135" s="141">
        <f t="shared" si="82"/>
        <v>0</v>
      </c>
      <c r="H135" s="141">
        <f t="shared" si="82"/>
        <v>0</v>
      </c>
      <c r="I135" s="141">
        <f t="shared" si="82"/>
        <v>39636.216666666667</v>
      </c>
      <c r="J135" s="287">
        <f t="shared" si="82"/>
        <v>47563.46</v>
      </c>
      <c r="K135" s="287">
        <f t="shared" si="82"/>
        <v>47563.46</v>
      </c>
      <c r="L135" s="139"/>
      <c r="M135" s="139"/>
      <c r="N135" s="142"/>
      <c r="O135" s="141">
        <f>SUM(O134:O134)</f>
        <v>0</v>
      </c>
      <c r="P135" s="141">
        <f>SUM(P134:P134)</f>
        <v>0</v>
      </c>
      <c r="Q135" s="292"/>
      <c r="R135" s="337">
        <f>SUM(R134:R134)</f>
        <v>0</v>
      </c>
      <c r="S135" s="337">
        <f>SUM(S134:S134)</f>
        <v>0</v>
      </c>
      <c r="T135" s="337">
        <f>SUM(T134:T134)</f>
        <v>0</v>
      </c>
      <c r="U135" s="337">
        <f>SUM(U134:U134)</f>
        <v>0</v>
      </c>
      <c r="V135" s="337">
        <f>SUM(V134:V134)</f>
        <v>0</v>
      </c>
    </row>
    <row r="136" spans="1:22">
      <c r="A136" s="54" t="s">
        <v>135</v>
      </c>
      <c r="B136" s="54"/>
      <c r="C136" s="56"/>
      <c r="D136" s="57"/>
      <c r="E136" s="50">
        <f>79307.59/1.2</f>
        <v>66089.65833333334</v>
      </c>
      <c r="F136" s="50">
        <f>-E136*$F$10</f>
        <v>0</v>
      </c>
      <c r="G136" s="50">
        <f>E136*$G$10</f>
        <v>0</v>
      </c>
      <c r="H136" s="50"/>
      <c r="I136" s="50">
        <f>+E136+F136-G136-H136</f>
        <v>66089.65833333334</v>
      </c>
      <c r="J136" s="50">
        <f>+I136+(I136*$I$4)</f>
        <v>79307.590000000011</v>
      </c>
      <c r="K136" s="50">
        <v>79307.590000000011</v>
      </c>
      <c r="L136" s="51"/>
      <c r="M136" s="51"/>
      <c r="N136" s="52">
        <f>-IF(L136=0,,IF(M136=0,($C$10-L136),M136-L136))</f>
        <v>0</v>
      </c>
      <c r="O136" s="50">
        <f>+J136-K136</f>
        <v>0</v>
      </c>
      <c r="P136" s="50">
        <f>+IF($C$10&lt;L136,0,O136)</f>
        <v>0</v>
      </c>
      <c r="Q136" s="53"/>
      <c r="R136" s="316">
        <f>IF(N136&gt;=0,0,(IF(-N136&lt;=60,O136,0)))</f>
        <v>0</v>
      </c>
      <c r="S136" s="316">
        <f>IF(N136&gt;=0,0,(IF(N136&gt;=-60,0,IF(-60&gt;=N136,IF(N136&gt;=-120,O136,0)))))</f>
        <v>0</v>
      </c>
      <c r="T136" s="316">
        <f>IF(N136&gt;=0,0,(IF(N136&gt;-60,0,IF(-60&gt;=N136,IF(N136&gt;=-120,0,IF(N136&gt;=-180,O136,0))))))</f>
        <v>0</v>
      </c>
      <c r="U136" s="316">
        <f>IF(N136&gt;=0,0,(IF(N136&gt;-60,0,IF(-60&gt;=N136,IF(N136&gt;-120,0,IF(N136&gt;=-180,0,IF(N136&gt;=-365,O136,0)))))))</f>
        <v>0</v>
      </c>
      <c r="V136" s="316">
        <f>IF(N136&gt;=0,0,IF(365&lt;-N136,O136,0))</f>
        <v>0</v>
      </c>
    </row>
    <row r="137" spans="1:22" s="290" customFormat="1" ht="15">
      <c r="A137" s="138"/>
      <c r="B137" s="138"/>
      <c r="C137" s="286"/>
      <c r="D137" s="140"/>
      <c r="E137" s="141">
        <f t="shared" ref="E137:K137" si="83">SUM(E136:E136)</f>
        <v>66089.65833333334</v>
      </c>
      <c r="F137" s="141">
        <f t="shared" si="83"/>
        <v>0</v>
      </c>
      <c r="G137" s="141">
        <f t="shared" si="83"/>
        <v>0</v>
      </c>
      <c r="H137" s="141">
        <f t="shared" si="83"/>
        <v>0</v>
      </c>
      <c r="I137" s="141">
        <f t="shared" si="83"/>
        <v>66089.65833333334</v>
      </c>
      <c r="J137" s="287">
        <f t="shared" si="83"/>
        <v>79307.590000000011</v>
      </c>
      <c r="K137" s="287">
        <f t="shared" si="83"/>
        <v>79307.590000000011</v>
      </c>
      <c r="L137" s="139"/>
      <c r="M137" s="139"/>
      <c r="N137" s="142"/>
      <c r="O137" s="141">
        <f>SUM(O136:O136)</f>
        <v>0</v>
      </c>
      <c r="P137" s="141">
        <f>SUM(P136:P136)</f>
        <v>0</v>
      </c>
      <c r="Q137" s="292"/>
      <c r="R137" s="337">
        <f>SUM(R136:R136)</f>
        <v>0</v>
      </c>
      <c r="S137" s="337">
        <f>SUM(S136:S136)</f>
        <v>0</v>
      </c>
      <c r="T137" s="337">
        <f>SUM(T136:T136)</f>
        <v>0</v>
      </c>
      <c r="U137" s="337">
        <f>SUM(U136:U136)</f>
        <v>0</v>
      </c>
      <c r="V137" s="337">
        <f>SUM(V136:V136)</f>
        <v>0</v>
      </c>
    </row>
    <row r="138" spans="1:22">
      <c r="A138" s="54" t="s">
        <v>137</v>
      </c>
      <c r="B138" s="54"/>
      <c r="C138" s="56"/>
      <c r="D138" s="57"/>
      <c r="E138" s="50">
        <f>19801.35/1.2</f>
        <v>16501.125</v>
      </c>
      <c r="F138" s="50">
        <f>-E138*$F$10</f>
        <v>0</v>
      </c>
      <c r="G138" s="50">
        <f>E138*$G$10</f>
        <v>0</v>
      </c>
      <c r="H138" s="50"/>
      <c r="I138" s="50">
        <f>+E138+F138-G138-H138</f>
        <v>16501.125</v>
      </c>
      <c r="J138" s="50">
        <f>+I138+(I138*$I$4)</f>
        <v>19801.349999999999</v>
      </c>
      <c r="K138" s="50">
        <v>19801.349999999999</v>
      </c>
      <c r="L138" s="51"/>
      <c r="M138" s="51"/>
      <c r="N138" s="52">
        <f>-IF(L138=0,,IF(M138=0,($C$10-L138),M138-L138))</f>
        <v>0</v>
      </c>
      <c r="O138" s="50">
        <f>+J138-K138</f>
        <v>0</v>
      </c>
      <c r="P138" s="50">
        <f>+IF($C$10&lt;L138,0,O138)</f>
        <v>0</v>
      </c>
      <c r="Q138" s="53"/>
      <c r="R138" s="316">
        <f>IF(N138&gt;=0,0,(IF(-N138&lt;=60,O138,0)))</f>
        <v>0</v>
      </c>
      <c r="S138" s="316">
        <f>IF(N138&gt;=0,0,(IF(N138&gt;=-60,0,IF(-60&gt;=N138,IF(N138&gt;=-120,O138,0)))))</f>
        <v>0</v>
      </c>
      <c r="T138" s="316">
        <f>IF(N138&gt;=0,0,(IF(N138&gt;-60,0,IF(-60&gt;=N138,IF(N138&gt;=-120,0,IF(N138&gt;=-180,O138,0))))))</f>
        <v>0</v>
      </c>
      <c r="U138" s="316">
        <f>IF(N138&gt;=0,0,(IF(N138&gt;-60,0,IF(-60&gt;=N138,IF(N138&gt;-120,0,IF(N138&gt;=-180,0,IF(N138&gt;=-365,O138,0)))))))</f>
        <v>0</v>
      </c>
      <c r="V138" s="316">
        <f>IF(N138&gt;=0,0,IF(365&lt;-N138,O138,0))</f>
        <v>0</v>
      </c>
    </row>
    <row r="139" spans="1:22" s="290" customFormat="1" ht="15">
      <c r="A139" s="138"/>
      <c r="B139" s="143"/>
      <c r="C139" s="286"/>
      <c r="D139" s="140"/>
      <c r="E139" s="141">
        <f t="shared" ref="E139:K139" si="84">SUM(E138:E138)</f>
        <v>16501.125</v>
      </c>
      <c r="F139" s="141">
        <f t="shared" si="84"/>
        <v>0</v>
      </c>
      <c r="G139" s="141">
        <f t="shared" si="84"/>
        <v>0</v>
      </c>
      <c r="H139" s="141">
        <f t="shared" si="84"/>
        <v>0</v>
      </c>
      <c r="I139" s="141">
        <f t="shared" si="84"/>
        <v>16501.125</v>
      </c>
      <c r="J139" s="287">
        <f t="shared" si="84"/>
        <v>19801.349999999999</v>
      </c>
      <c r="K139" s="287">
        <f t="shared" si="84"/>
        <v>19801.349999999999</v>
      </c>
      <c r="L139" s="139"/>
      <c r="M139" s="139"/>
      <c r="N139" s="142"/>
      <c r="O139" s="141">
        <f>SUM(O138)</f>
        <v>0</v>
      </c>
      <c r="P139" s="141">
        <f>SUM(P138)</f>
        <v>0</v>
      </c>
      <c r="Q139" s="292"/>
      <c r="R139" s="337">
        <f>SUM(R138)</f>
        <v>0</v>
      </c>
      <c r="S139" s="337">
        <f>SUM(S138)</f>
        <v>0</v>
      </c>
      <c r="T139" s="337">
        <f>SUM(T138)</f>
        <v>0</v>
      </c>
      <c r="U139" s="337">
        <f>SUM(U138)</f>
        <v>0</v>
      </c>
      <c r="V139" s="337">
        <f>SUM(V138)</f>
        <v>0</v>
      </c>
    </row>
    <row r="140" spans="1:22">
      <c r="A140" s="54" t="s">
        <v>172</v>
      </c>
      <c r="B140" s="54"/>
      <c r="C140" s="56"/>
      <c r="D140" s="57"/>
      <c r="E140" s="50">
        <f>4534805.25/1.2</f>
        <v>3779004.375</v>
      </c>
      <c r="F140" s="50">
        <f>-E140*$F$10</f>
        <v>0</v>
      </c>
      <c r="G140" s="50">
        <f>E140*$G$10</f>
        <v>0</v>
      </c>
      <c r="H140" s="50"/>
      <c r="I140" s="50">
        <f>+E140+F140-G140-H140</f>
        <v>3779004.375</v>
      </c>
      <c r="J140" s="50">
        <f>+I140+(I140*$I$4)</f>
        <v>4534805.25</v>
      </c>
      <c r="K140" s="50">
        <v>4534805.25</v>
      </c>
      <c r="L140" s="51"/>
      <c r="M140" s="51"/>
      <c r="N140" s="52">
        <f>-IF(L140=0,,IF(M140=0,($C$10-L140),M140-L140))</f>
        <v>0</v>
      </c>
      <c r="O140" s="50">
        <f>+J140-K140</f>
        <v>0</v>
      </c>
      <c r="P140" s="50">
        <f>+IF($C$10&lt;L140,0,O140)</f>
        <v>0</v>
      </c>
      <c r="Q140" s="53"/>
      <c r="R140" s="316">
        <f>IF(N140&gt;=0,0,(IF(-N140&lt;=60,O140,0)))</f>
        <v>0</v>
      </c>
      <c r="S140" s="316">
        <f>IF(N140&gt;=0,0,(IF(N140&gt;=-60,0,IF(-60&gt;=N140,IF(N140&gt;=-120,O140,0)))))</f>
        <v>0</v>
      </c>
      <c r="T140" s="316">
        <f>IF(N140&gt;=0,0,(IF(N140&gt;-60,0,IF(-60&gt;=N140,IF(N140&gt;=-120,0,IF(N140&gt;=-180,O140,0))))))</f>
        <v>0</v>
      </c>
      <c r="U140" s="316">
        <f>IF(N140&gt;=0,0,(IF(N140&gt;-60,0,IF(-60&gt;=N140,IF(N140&gt;-120,0,IF(N140&gt;=-180,0,IF(N140&gt;=-365,O140,0)))))))</f>
        <v>0</v>
      </c>
      <c r="V140" s="316">
        <f>IF(N140&gt;=0,0,IF(365&lt;-N140,O140,0))</f>
        <v>0</v>
      </c>
    </row>
    <row r="141" spans="1:22" s="290" customFormat="1" ht="15">
      <c r="A141" s="138"/>
      <c r="B141" s="138"/>
      <c r="C141" s="286"/>
      <c r="D141" s="140"/>
      <c r="E141" s="141">
        <f t="shared" ref="E141:K141" si="85">SUM(E140:E140)</f>
        <v>3779004.375</v>
      </c>
      <c r="F141" s="141">
        <f t="shared" si="85"/>
        <v>0</v>
      </c>
      <c r="G141" s="141">
        <f t="shared" si="85"/>
        <v>0</v>
      </c>
      <c r="H141" s="141">
        <f t="shared" si="85"/>
        <v>0</v>
      </c>
      <c r="I141" s="141">
        <f t="shared" si="85"/>
        <v>3779004.375</v>
      </c>
      <c r="J141" s="287">
        <f t="shared" si="85"/>
        <v>4534805.25</v>
      </c>
      <c r="K141" s="287">
        <f t="shared" si="85"/>
        <v>4534805.25</v>
      </c>
      <c r="L141" s="139"/>
      <c r="M141" s="139"/>
      <c r="N141" s="142"/>
      <c r="O141" s="141">
        <f>SUM(O140:O140)</f>
        <v>0</v>
      </c>
      <c r="P141" s="141">
        <f>SUM(P140:P140)</f>
        <v>0</v>
      </c>
      <c r="Q141" s="292"/>
      <c r="R141" s="337">
        <f>SUM(R140:R140)</f>
        <v>0</v>
      </c>
      <c r="S141" s="337">
        <f>SUM(S140:S140)</f>
        <v>0</v>
      </c>
      <c r="T141" s="337">
        <f>SUM(T140:T140)</f>
        <v>0</v>
      </c>
      <c r="U141" s="337">
        <f>SUM(U140:U140)</f>
        <v>0</v>
      </c>
      <c r="V141" s="337">
        <f>SUM(V140:V140)</f>
        <v>0</v>
      </c>
    </row>
    <row r="142" spans="1:22">
      <c r="A142" s="54" t="s">
        <v>138</v>
      </c>
      <c r="B142" s="54"/>
      <c r="C142" s="56"/>
      <c r="D142" s="57"/>
      <c r="E142" s="50">
        <f>121929.95/1.2</f>
        <v>101608.29166666667</v>
      </c>
      <c r="F142" s="50">
        <f>-E142*$F$10</f>
        <v>0</v>
      </c>
      <c r="G142" s="50">
        <f>E142*$G$10</f>
        <v>0</v>
      </c>
      <c r="H142" s="50"/>
      <c r="I142" s="50">
        <f>+E142+F142-G142-H142</f>
        <v>101608.29166666667</v>
      </c>
      <c r="J142" s="50">
        <f>+I142+(I142*$I$4)</f>
        <v>121929.95000000001</v>
      </c>
      <c r="K142" s="50">
        <v>121929.95000000001</v>
      </c>
      <c r="L142" s="51"/>
      <c r="M142" s="51"/>
      <c r="N142" s="52">
        <f>-IF(L142=0,,IF(M142=0,($C$10-L142),M142-L142))</f>
        <v>0</v>
      </c>
      <c r="O142" s="50">
        <f>+J142-K142</f>
        <v>0</v>
      </c>
      <c r="P142" s="50">
        <f>+IF($C$10&lt;L142,0,O142)</f>
        <v>0</v>
      </c>
      <c r="Q142" s="53"/>
      <c r="R142" s="316">
        <f>IF(N142&gt;=0,0,(IF(-N142&lt;=60,O142,0)))</f>
        <v>0</v>
      </c>
      <c r="S142" s="316">
        <f>IF(N142&gt;=0,0,(IF(N142&gt;=-60,0,IF(-60&gt;=N142,IF(N142&gt;=-120,O142,0)))))</f>
        <v>0</v>
      </c>
      <c r="T142" s="316">
        <f>IF(N142&gt;=0,0,(IF(N142&gt;-60,0,IF(-60&gt;=N142,IF(N142&gt;=-120,0,IF(N142&gt;=-180,O142,0))))))</f>
        <v>0</v>
      </c>
      <c r="U142" s="316">
        <f>IF(N142&gt;=0,0,(IF(N142&gt;-60,0,IF(-60&gt;=N142,IF(N142&gt;-120,0,IF(N142&gt;=-180,0,IF(N142&gt;=-365,O142,0)))))))</f>
        <v>0</v>
      </c>
      <c r="V142" s="316">
        <f>IF(N142&gt;=0,0,IF(365&lt;-N142,O142,0))</f>
        <v>0</v>
      </c>
    </row>
    <row r="143" spans="1:22" s="290" customFormat="1" ht="15">
      <c r="A143" s="138"/>
      <c r="B143" s="143"/>
      <c r="C143" s="286"/>
      <c r="D143" s="140"/>
      <c r="E143" s="141">
        <f t="shared" ref="E143:K143" si="86">SUM(E142:E142)</f>
        <v>101608.29166666667</v>
      </c>
      <c r="F143" s="141">
        <f t="shared" si="86"/>
        <v>0</v>
      </c>
      <c r="G143" s="141">
        <f t="shared" si="86"/>
        <v>0</v>
      </c>
      <c r="H143" s="141">
        <f t="shared" si="86"/>
        <v>0</v>
      </c>
      <c r="I143" s="141">
        <f t="shared" si="86"/>
        <v>101608.29166666667</v>
      </c>
      <c r="J143" s="287">
        <f t="shared" si="86"/>
        <v>121929.95000000001</v>
      </c>
      <c r="K143" s="287">
        <f t="shared" si="86"/>
        <v>121929.95000000001</v>
      </c>
      <c r="L143" s="139"/>
      <c r="M143" s="139"/>
      <c r="N143" s="142"/>
      <c r="O143" s="141">
        <f>SUM(O142)</f>
        <v>0</v>
      </c>
      <c r="P143" s="141">
        <f>SUM(P142)</f>
        <v>0</v>
      </c>
      <c r="Q143" s="292"/>
      <c r="R143" s="337">
        <f>SUM(R142)</f>
        <v>0</v>
      </c>
      <c r="S143" s="337">
        <f>SUM(S142)</f>
        <v>0</v>
      </c>
      <c r="T143" s="337">
        <f>SUM(T142)</f>
        <v>0</v>
      </c>
      <c r="U143" s="337">
        <f>SUM(U142)</f>
        <v>0</v>
      </c>
      <c r="V143" s="337">
        <f>SUM(V142)</f>
        <v>0</v>
      </c>
    </row>
    <row r="144" spans="1:22">
      <c r="A144" s="54" t="s">
        <v>173</v>
      </c>
      <c r="B144" s="54"/>
      <c r="C144" s="56"/>
      <c r="D144" s="57"/>
      <c r="E144" s="50">
        <f>28840/1.2</f>
        <v>24033.333333333336</v>
      </c>
      <c r="F144" s="50">
        <f>-E144*$F$10</f>
        <v>0</v>
      </c>
      <c r="G144" s="50">
        <f>E144*$G$10</f>
        <v>0</v>
      </c>
      <c r="H144" s="50"/>
      <c r="I144" s="50">
        <f>+E144+F144-G144-H144</f>
        <v>24033.333333333336</v>
      </c>
      <c r="J144" s="50">
        <f>+I144+(I144*$I$4)</f>
        <v>28840.000000000004</v>
      </c>
      <c r="K144" s="50">
        <v>28840.000000000004</v>
      </c>
      <c r="L144" s="51"/>
      <c r="M144" s="51"/>
      <c r="N144" s="52">
        <f>-IF(L144=0,,IF(M144=0,($C$10-L144),M144-L144))</f>
        <v>0</v>
      </c>
      <c r="O144" s="50">
        <f>+J144-K144</f>
        <v>0</v>
      </c>
      <c r="P144" s="50">
        <f>+IF($C$10&lt;L144,0,O144)</f>
        <v>0</v>
      </c>
      <c r="Q144" s="53"/>
      <c r="R144" s="316">
        <f>IF(N144&gt;=0,0,(IF(-N144&lt;=60,O144,0)))</f>
        <v>0</v>
      </c>
      <c r="S144" s="316">
        <f>IF(N144&gt;=0,0,(IF(N144&gt;=-60,0,IF(-60&gt;=N144,IF(N144&gt;=-120,O144,0)))))</f>
        <v>0</v>
      </c>
      <c r="T144" s="316">
        <f>IF(N144&gt;=0,0,(IF(N144&gt;-60,0,IF(-60&gt;=N144,IF(N144&gt;=-120,0,IF(N144&gt;=-180,O144,0))))))</f>
        <v>0</v>
      </c>
      <c r="U144" s="316">
        <f>IF(N144&gt;=0,0,(IF(N144&gt;-60,0,IF(-60&gt;=N144,IF(N144&gt;-120,0,IF(N144&gt;=-180,0,IF(N144&gt;=-365,O144,0)))))))</f>
        <v>0</v>
      </c>
      <c r="V144" s="316">
        <f>IF(N144&gt;=0,0,IF(365&lt;-N144,O144,0))</f>
        <v>0</v>
      </c>
    </row>
    <row r="145" spans="1:22" s="290" customFormat="1" ht="15">
      <c r="A145" s="138"/>
      <c r="B145" s="143"/>
      <c r="C145" s="286"/>
      <c r="D145" s="140"/>
      <c r="E145" s="141">
        <f t="shared" ref="E145:K145" si="87">SUM(E144:E144)</f>
        <v>24033.333333333336</v>
      </c>
      <c r="F145" s="141">
        <f t="shared" si="87"/>
        <v>0</v>
      </c>
      <c r="G145" s="141">
        <f t="shared" si="87"/>
        <v>0</v>
      </c>
      <c r="H145" s="141">
        <f t="shared" si="87"/>
        <v>0</v>
      </c>
      <c r="I145" s="141">
        <f t="shared" si="87"/>
        <v>24033.333333333336</v>
      </c>
      <c r="J145" s="287">
        <f t="shared" si="87"/>
        <v>28840.000000000004</v>
      </c>
      <c r="K145" s="287">
        <f t="shared" si="87"/>
        <v>28840.000000000004</v>
      </c>
      <c r="L145" s="139"/>
      <c r="M145" s="139"/>
      <c r="N145" s="142"/>
      <c r="O145" s="141">
        <f>SUM(O144:O144)</f>
        <v>0</v>
      </c>
      <c r="P145" s="141">
        <f>SUM(P144:P144)</f>
        <v>0</v>
      </c>
      <c r="Q145" s="292"/>
      <c r="R145" s="337">
        <f>SUM(R144:R144)</f>
        <v>0</v>
      </c>
      <c r="S145" s="337">
        <f>SUM(S144:S144)</f>
        <v>0</v>
      </c>
      <c r="T145" s="337">
        <f>SUM(T144:T144)</f>
        <v>0</v>
      </c>
      <c r="U145" s="337">
        <f>SUM(U144:U144)</f>
        <v>0</v>
      </c>
      <c r="V145" s="337">
        <f>SUM(V144:V144)</f>
        <v>0</v>
      </c>
    </row>
    <row r="146" spans="1:22">
      <c r="A146" s="54" t="s">
        <v>140</v>
      </c>
      <c r="B146" s="54"/>
      <c r="C146" s="56"/>
      <c r="D146" s="57"/>
      <c r="E146" s="50">
        <f>422280.43/1.2</f>
        <v>351900.35833333334</v>
      </c>
      <c r="F146" s="50">
        <f>-E146*$F$10</f>
        <v>0</v>
      </c>
      <c r="G146" s="50">
        <f>E146*$G$10</f>
        <v>0</v>
      </c>
      <c r="H146" s="50"/>
      <c r="I146" s="50">
        <f>+E146+F146-G146-H146</f>
        <v>351900.35833333334</v>
      </c>
      <c r="J146" s="50">
        <f>+I146+(I146*$I$4)</f>
        <v>422280.43</v>
      </c>
      <c r="K146" s="50">
        <v>422280.43</v>
      </c>
      <c r="L146" s="51"/>
      <c r="M146" s="51"/>
      <c r="N146" s="52">
        <f>-IF(L146=0,,IF(M146=0,($C$10-L146),M146-L146))</f>
        <v>0</v>
      </c>
      <c r="O146" s="50">
        <f>+J146-K146</f>
        <v>0</v>
      </c>
      <c r="P146" s="50">
        <f>+IF($C$10&lt;L146,0,O146)</f>
        <v>0</v>
      </c>
      <c r="Q146" s="53"/>
      <c r="R146" s="316">
        <f>IF(N146&gt;=0,0,(IF(-N146&lt;=60,O146,0)))</f>
        <v>0</v>
      </c>
      <c r="S146" s="316">
        <f>IF(N146&gt;=0,0,(IF(N146&gt;=-60,0,IF(-60&gt;=N146,IF(N146&gt;=-120,O146,0)))))</f>
        <v>0</v>
      </c>
      <c r="T146" s="316">
        <f>IF(N146&gt;=0,0,(IF(N146&gt;-60,0,IF(-60&gt;=N146,IF(N146&gt;=-120,0,IF(N146&gt;=-180,O146,0))))))</f>
        <v>0</v>
      </c>
      <c r="U146" s="316">
        <f>IF(N146&gt;=0,0,(IF(N146&gt;-60,0,IF(-60&gt;=N146,IF(N146&gt;-120,0,IF(N146&gt;=-180,0,IF(N146&gt;=-365,O146,0)))))))</f>
        <v>0</v>
      </c>
      <c r="V146" s="316">
        <f>IF(N146&gt;=0,0,IF(365&lt;-N146,O146,0))</f>
        <v>0</v>
      </c>
    </row>
    <row r="147" spans="1:22" s="290" customFormat="1" ht="15">
      <c r="A147" s="138"/>
      <c r="B147" s="143"/>
      <c r="C147" s="286"/>
      <c r="D147" s="140"/>
      <c r="E147" s="141">
        <f t="shared" ref="E147:K147" si="88">SUM(E146:E146)</f>
        <v>351900.35833333334</v>
      </c>
      <c r="F147" s="141">
        <f t="shared" si="88"/>
        <v>0</v>
      </c>
      <c r="G147" s="141">
        <f t="shared" si="88"/>
        <v>0</v>
      </c>
      <c r="H147" s="141">
        <f t="shared" si="88"/>
        <v>0</v>
      </c>
      <c r="I147" s="141">
        <f t="shared" si="88"/>
        <v>351900.35833333334</v>
      </c>
      <c r="J147" s="287">
        <f t="shared" si="88"/>
        <v>422280.43</v>
      </c>
      <c r="K147" s="287">
        <f t="shared" si="88"/>
        <v>422280.43</v>
      </c>
      <c r="L147" s="139"/>
      <c r="M147" s="139"/>
      <c r="N147" s="142"/>
      <c r="O147" s="141">
        <f>SUM(O146:O146)</f>
        <v>0</v>
      </c>
      <c r="P147" s="141">
        <f>SUM(P146:P146)</f>
        <v>0</v>
      </c>
      <c r="Q147" s="292"/>
      <c r="R147" s="337">
        <f>SUM(R146:R146)</f>
        <v>0</v>
      </c>
      <c r="S147" s="337">
        <f>SUM(S146:S146)</f>
        <v>0</v>
      </c>
      <c r="T147" s="337">
        <f>SUM(T146:T146)</f>
        <v>0</v>
      </c>
      <c r="U147" s="337">
        <f>SUM(U146:U146)</f>
        <v>0</v>
      </c>
      <c r="V147" s="337">
        <f>SUM(V146:V146)</f>
        <v>0</v>
      </c>
    </row>
    <row r="148" spans="1:22">
      <c r="A148" s="54" t="s">
        <v>174</v>
      </c>
      <c r="B148" s="54"/>
      <c r="C148" s="56"/>
      <c r="D148" s="57"/>
      <c r="E148" s="50">
        <f>63739.34/1.2</f>
        <v>53116.116666666669</v>
      </c>
      <c r="F148" s="50">
        <f>-E148*$F$10</f>
        <v>0</v>
      </c>
      <c r="G148" s="50">
        <f>E148*$G$10</f>
        <v>0</v>
      </c>
      <c r="H148" s="50"/>
      <c r="I148" s="50">
        <f>+E148+F148-G148-H148</f>
        <v>53116.116666666669</v>
      </c>
      <c r="J148" s="50">
        <f>+I148+(I148*$I$4)</f>
        <v>63739.340000000004</v>
      </c>
      <c r="K148" s="50">
        <v>63739.340000000004</v>
      </c>
      <c r="L148" s="51"/>
      <c r="M148" s="51"/>
      <c r="N148" s="52">
        <f>-IF(L148=0,,IF(M148=0,($C$10-L148),M148-L148))</f>
        <v>0</v>
      </c>
      <c r="O148" s="50">
        <f>+J148-K148</f>
        <v>0</v>
      </c>
      <c r="P148" s="50">
        <f>+IF($C$10&lt;L148,0,O148)</f>
        <v>0</v>
      </c>
      <c r="Q148" s="53"/>
      <c r="R148" s="316">
        <f>IF(N148&gt;=0,0,(IF(-N148&lt;=60,O148,0)))</f>
        <v>0</v>
      </c>
      <c r="S148" s="316">
        <f>IF(N148&gt;=0,0,(IF(N148&gt;=-60,0,IF(-60&gt;=N148,IF(N148&gt;=-120,O148,0)))))</f>
        <v>0</v>
      </c>
      <c r="T148" s="316">
        <f>IF(N148&gt;=0,0,(IF(N148&gt;-60,0,IF(-60&gt;=N148,IF(N148&gt;=-120,0,IF(N148&gt;=-180,O148,0))))))</f>
        <v>0</v>
      </c>
      <c r="U148" s="316">
        <f>IF(N148&gt;=0,0,(IF(N148&gt;-60,0,IF(-60&gt;=N148,IF(N148&gt;-120,0,IF(N148&gt;=-180,0,IF(N148&gt;=-365,O148,0)))))))</f>
        <v>0</v>
      </c>
      <c r="V148" s="316">
        <f>IF(N148&gt;=0,0,IF(365&lt;-N148,O148,0))</f>
        <v>0</v>
      </c>
    </row>
    <row r="149" spans="1:22" s="290" customFormat="1" ht="15">
      <c r="A149" s="138"/>
      <c r="B149" s="143"/>
      <c r="C149" s="286"/>
      <c r="D149" s="140"/>
      <c r="E149" s="141">
        <f t="shared" ref="E149:K149" si="89">SUM(E148:E148)</f>
        <v>53116.116666666669</v>
      </c>
      <c r="F149" s="141">
        <f t="shared" si="89"/>
        <v>0</v>
      </c>
      <c r="G149" s="141">
        <f t="shared" si="89"/>
        <v>0</v>
      </c>
      <c r="H149" s="141">
        <f t="shared" si="89"/>
        <v>0</v>
      </c>
      <c r="I149" s="141">
        <f t="shared" si="89"/>
        <v>53116.116666666669</v>
      </c>
      <c r="J149" s="287">
        <f t="shared" si="89"/>
        <v>63739.340000000004</v>
      </c>
      <c r="K149" s="287">
        <f t="shared" si="89"/>
        <v>63739.340000000004</v>
      </c>
      <c r="L149" s="139"/>
      <c r="M149" s="139"/>
      <c r="N149" s="142"/>
      <c r="O149" s="141">
        <f>SUM(O148:O148)</f>
        <v>0</v>
      </c>
      <c r="P149" s="141">
        <f>SUM(P148:P148)</f>
        <v>0</v>
      </c>
      <c r="Q149" s="292"/>
      <c r="R149" s="337">
        <f>SUM(R148:R148)</f>
        <v>0</v>
      </c>
      <c r="S149" s="337">
        <f>SUM(S148:S148)</f>
        <v>0</v>
      </c>
      <c r="T149" s="337">
        <f>SUM(T148:T148)</f>
        <v>0</v>
      </c>
      <c r="U149" s="337">
        <f>SUM(U148:U148)</f>
        <v>0</v>
      </c>
      <c r="V149" s="337">
        <f>SUM(V148:V148)</f>
        <v>0</v>
      </c>
    </row>
    <row r="150" spans="1:22">
      <c r="A150" s="54" t="s">
        <v>141</v>
      </c>
      <c r="B150" s="54"/>
      <c r="C150" s="56"/>
      <c r="D150" s="57"/>
      <c r="E150" s="50">
        <f>382325.19/1.2</f>
        <v>318604.32500000001</v>
      </c>
      <c r="F150" s="50">
        <f>-E150*$F$10</f>
        <v>0</v>
      </c>
      <c r="G150" s="50">
        <f>E150*$G$10</f>
        <v>0</v>
      </c>
      <c r="H150" s="50"/>
      <c r="I150" s="50">
        <f>+E150+F150-G150-H150</f>
        <v>318604.32500000001</v>
      </c>
      <c r="J150" s="50">
        <f>+I150+(I150*$I$4)</f>
        <v>382325.19</v>
      </c>
      <c r="K150" s="50">
        <v>382325.19</v>
      </c>
      <c r="L150" s="51"/>
      <c r="M150" s="51"/>
      <c r="N150" s="52">
        <f>-IF(L150=0,,IF(M150=0,($C$10-L150),M150-L150))</f>
        <v>0</v>
      </c>
      <c r="O150" s="50">
        <f>+J150-K150</f>
        <v>0</v>
      </c>
      <c r="P150" s="50">
        <f>+IF($C$10&lt;L150,0,O150)</f>
        <v>0</v>
      </c>
      <c r="Q150" s="53"/>
      <c r="R150" s="316">
        <f>IF(N150&gt;=0,0,(IF(-N150&lt;=60,O150,0)))</f>
        <v>0</v>
      </c>
      <c r="S150" s="316">
        <f>IF(N150&gt;=0,0,(IF(N150&gt;=-60,0,IF(-60&gt;=N150,IF(N150&gt;=-120,O150,0)))))</f>
        <v>0</v>
      </c>
      <c r="T150" s="316">
        <f>IF(N150&gt;=0,0,(IF(N150&gt;-60,0,IF(-60&gt;=N150,IF(N150&gt;=-120,0,IF(N150&gt;=-180,O150,0))))))</f>
        <v>0</v>
      </c>
      <c r="U150" s="316">
        <f>IF(N150&gt;=0,0,(IF(N150&gt;-60,0,IF(-60&gt;=N150,IF(N150&gt;-120,0,IF(N150&gt;=-180,0,IF(N150&gt;=-365,O150,0)))))))</f>
        <v>0</v>
      </c>
      <c r="V150" s="316">
        <f>IF(N150&gt;=0,0,IF(365&lt;-N150,O150,0))</f>
        <v>0</v>
      </c>
    </row>
    <row r="151" spans="1:22" s="290" customFormat="1" ht="15">
      <c r="A151" s="138"/>
      <c r="B151" s="143"/>
      <c r="C151" s="286"/>
      <c r="D151" s="140"/>
      <c r="E151" s="141">
        <f t="shared" ref="E151:K151" si="90">SUM(E150:E150)</f>
        <v>318604.32500000001</v>
      </c>
      <c r="F151" s="141">
        <f t="shared" si="90"/>
        <v>0</v>
      </c>
      <c r="G151" s="141">
        <f t="shared" si="90"/>
        <v>0</v>
      </c>
      <c r="H151" s="141">
        <f t="shared" si="90"/>
        <v>0</v>
      </c>
      <c r="I151" s="141">
        <f t="shared" si="90"/>
        <v>318604.32500000001</v>
      </c>
      <c r="J151" s="287">
        <f t="shared" si="90"/>
        <v>382325.19</v>
      </c>
      <c r="K151" s="287">
        <f t="shared" si="90"/>
        <v>382325.19</v>
      </c>
      <c r="L151" s="139"/>
      <c r="M151" s="139"/>
      <c r="N151" s="142"/>
      <c r="O151" s="141">
        <f>SUM(O150:O150)</f>
        <v>0</v>
      </c>
      <c r="P151" s="141">
        <f>SUM(P150:P150)</f>
        <v>0</v>
      </c>
      <c r="Q151" s="292"/>
      <c r="R151" s="337">
        <f>SUM(R150:R150)</f>
        <v>0</v>
      </c>
      <c r="S151" s="337">
        <f>SUM(S150:S150)</f>
        <v>0</v>
      </c>
      <c r="T151" s="337">
        <f>SUM(T150:T150)</f>
        <v>0</v>
      </c>
      <c r="U151" s="337">
        <f>SUM(U150:U150)</f>
        <v>0</v>
      </c>
      <c r="V151" s="337">
        <f>SUM(V150:V150)</f>
        <v>0</v>
      </c>
    </row>
    <row r="152" spans="1:22">
      <c r="A152" s="54" t="s">
        <v>175</v>
      </c>
      <c r="B152" s="54"/>
      <c r="C152" s="56"/>
      <c r="D152" s="57"/>
      <c r="E152" s="50">
        <f>2273.81/1.2</f>
        <v>1894.8416666666667</v>
      </c>
      <c r="F152" s="50">
        <f>-E152*$F$10</f>
        <v>0</v>
      </c>
      <c r="G152" s="50">
        <f>E152*$G$10</f>
        <v>0</v>
      </c>
      <c r="H152" s="50"/>
      <c r="I152" s="50">
        <f>+E152+F152-G152-H152</f>
        <v>1894.8416666666667</v>
      </c>
      <c r="J152" s="50">
        <f>+I152+(I152*$I$4)</f>
        <v>2273.81</v>
      </c>
      <c r="K152" s="50">
        <v>2273.81</v>
      </c>
      <c r="L152" s="51"/>
      <c r="M152" s="51"/>
      <c r="N152" s="52">
        <f>-IF(L152=0,,IF(M152=0,($C$10-L152),M152-L152))</f>
        <v>0</v>
      </c>
      <c r="O152" s="50">
        <f>+J152-K152</f>
        <v>0</v>
      </c>
      <c r="P152" s="50">
        <f>+IF($C$10&lt;L152,0,O152)</f>
        <v>0</v>
      </c>
      <c r="Q152" s="53"/>
      <c r="R152" s="316">
        <f>IF(N152&gt;=0,0,(IF(-N152&lt;=60,O152,0)))</f>
        <v>0</v>
      </c>
      <c r="S152" s="316">
        <f>IF(N152&gt;=0,0,(IF(N152&gt;=-60,0,IF(-60&gt;=N152,IF(N152&gt;=-120,O152,0)))))</f>
        <v>0</v>
      </c>
      <c r="T152" s="316">
        <f>IF(N152&gt;=0,0,(IF(N152&gt;-60,0,IF(-60&gt;=N152,IF(N152&gt;=-120,0,IF(N152&gt;=-180,O152,0))))))</f>
        <v>0</v>
      </c>
      <c r="U152" s="316">
        <f>IF(N152&gt;=0,0,(IF(N152&gt;-60,0,IF(-60&gt;=N152,IF(N152&gt;-120,0,IF(N152&gt;=-180,0,IF(N152&gt;=-365,O152,0)))))))</f>
        <v>0</v>
      </c>
      <c r="V152" s="316">
        <f>IF(N152&gt;=0,0,IF(365&lt;-N152,O152,0))</f>
        <v>0</v>
      </c>
    </row>
    <row r="153" spans="1:22" s="290" customFormat="1" ht="15">
      <c r="A153" s="138"/>
      <c r="B153" s="143"/>
      <c r="C153" s="286"/>
      <c r="D153" s="140"/>
      <c r="E153" s="141">
        <f t="shared" ref="E153:K153" si="91">SUM(E152:E152)</f>
        <v>1894.8416666666667</v>
      </c>
      <c r="F153" s="141">
        <f t="shared" si="91"/>
        <v>0</v>
      </c>
      <c r="G153" s="141">
        <f t="shared" si="91"/>
        <v>0</v>
      </c>
      <c r="H153" s="141">
        <f t="shared" si="91"/>
        <v>0</v>
      </c>
      <c r="I153" s="141">
        <f t="shared" si="91"/>
        <v>1894.8416666666667</v>
      </c>
      <c r="J153" s="287">
        <f t="shared" si="91"/>
        <v>2273.81</v>
      </c>
      <c r="K153" s="287">
        <f t="shared" si="91"/>
        <v>2273.81</v>
      </c>
      <c r="L153" s="139"/>
      <c r="M153" s="139"/>
      <c r="N153" s="142"/>
      <c r="O153" s="141">
        <f>SUM(O152:O152)</f>
        <v>0</v>
      </c>
      <c r="P153" s="141">
        <f>SUM(P152:P152)</f>
        <v>0</v>
      </c>
      <c r="Q153" s="292"/>
      <c r="R153" s="337">
        <f>SUM(R152:R152)</f>
        <v>0</v>
      </c>
      <c r="S153" s="337">
        <f>SUM(S152:S152)</f>
        <v>0</v>
      </c>
      <c r="T153" s="337">
        <f>SUM(T152:T152)</f>
        <v>0</v>
      </c>
      <c r="U153" s="337">
        <f>SUM(U152:U152)</f>
        <v>0</v>
      </c>
      <c r="V153" s="337">
        <f>SUM(V152:V152)</f>
        <v>0</v>
      </c>
    </row>
    <row r="154" spans="1:22">
      <c r="A154" s="54" t="s">
        <v>151</v>
      </c>
      <c r="B154" s="54"/>
      <c r="C154" s="56"/>
      <c r="D154" s="57"/>
      <c r="E154" s="50">
        <f>120931.33/1.2</f>
        <v>100776.10833333334</v>
      </c>
      <c r="F154" s="50">
        <f>-E154*$F$10</f>
        <v>0</v>
      </c>
      <c r="G154" s="50">
        <f>E154*$G$10</f>
        <v>0</v>
      </c>
      <c r="H154" s="50"/>
      <c r="I154" s="50">
        <f>+E154+F154-G154-H154</f>
        <v>100776.10833333334</v>
      </c>
      <c r="J154" s="50">
        <f>+I154+(I154*$I$4)</f>
        <v>120931.33</v>
      </c>
      <c r="K154" s="50">
        <v>120931.33</v>
      </c>
      <c r="L154" s="51"/>
      <c r="M154" s="293"/>
      <c r="N154" s="52">
        <f>-IF(L154=0,,IF(M154=0,($C$10-L154),M154-L154))</f>
        <v>0</v>
      </c>
      <c r="O154" s="50">
        <f>+J154-K154</f>
        <v>0</v>
      </c>
      <c r="P154" s="50">
        <f>+IF($C$10&lt;L154,0,O154)</f>
        <v>0</v>
      </c>
      <c r="Q154" s="53"/>
      <c r="R154" s="316">
        <f>IF(N154&gt;=0,0,(IF(-N154&lt;=60,O154,0)))</f>
        <v>0</v>
      </c>
      <c r="S154" s="316">
        <f>IF(N154&gt;=0,0,(IF(N154&gt;=-60,0,IF(-60&gt;=N154,IF(N154&gt;=-120,O154,0)))))</f>
        <v>0</v>
      </c>
      <c r="T154" s="316">
        <f>IF(N154&gt;=0,0,(IF(N154&gt;-60,0,IF(-60&gt;=N154,IF(N154&gt;=-120,0,IF(N154&gt;=-180,O154,0))))))</f>
        <v>0</v>
      </c>
      <c r="U154" s="316">
        <f>IF(N154&gt;=0,0,(IF(N154&gt;-60,0,IF(-60&gt;=N154,IF(N154&gt;-120,0,IF(N154&gt;=-180,0,IF(N154&gt;=-365,O154,0)))))))</f>
        <v>0</v>
      </c>
      <c r="V154" s="316">
        <f>IF(N154&gt;=0,0,IF(365&lt;-N154,O154,0))</f>
        <v>0</v>
      </c>
    </row>
    <row r="155" spans="1:22" s="290" customFormat="1" ht="15">
      <c r="A155" s="138"/>
      <c r="B155" s="138"/>
      <c r="C155" s="286"/>
      <c r="D155" s="140"/>
      <c r="E155" s="141">
        <f t="shared" ref="E155:K155" si="92">SUM(E154:E154)</f>
        <v>100776.10833333334</v>
      </c>
      <c r="F155" s="141">
        <f t="shared" si="92"/>
        <v>0</v>
      </c>
      <c r="G155" s="141">
        <f t="shared" si="92"/>
        <v>0</v>
      </c>
      <c r="H155" s="141">
        <f t="shared" si="92"/>
        <v>0</v>
      </c>
      <c r="I155" s="141">
        <f t="shared" si="92"/>
        <v>100776.10833333334</v>
      </c>
      <c r="J155" s="287">
        <f t="shared" si="92"/>
        <v>120931.33</v>
      </c>
      <c r="K155" s="287">
        <f t="shared" si="92"/>
        <v>120931.33</v>
      </c>
      <c r="L155" s="139"/>
      <c r="M155" s="294"/>
      <c r="N155" s="142"/>
      <c r="O155" s="141">
        <f>SUM(O154:O154)</f>
        <v>0</v>
      </c>
      <c r="P155" s="141">
        <f>SUM(P154:P154)</f>
        <v>0</v>
      </c>
      <c r="Q155" s="292"/>
      <c r="R155" s="337">
        <f>SUM(R154:R154)</f>
        <v>0</v>
      </c>
      <c r="S155" s="337">
        <f>SUM(S154:S154)</f>
        <v>0</v>
      </c>
      <c r="T155" s="337">
        <f>SUM(T154:T154)</f>
        <v>0</v>
      </c>
      <c r="U155" s="337">
        <f>SUM(U154:U154)</f>
        <v>0</v>
      </c>
      <c r="V155" s="337">
        <f>SUM(V154:V154)</f>
        <v>0</v>
      </c>
    </row>
    <row r="156" spans="1:22">
      <c r="A156" s="54" t="s">
        <v>176</v>
      </c>
      <c r="B156" s="54"/>
      <c r="C156" s="56"/>
      <c r="D156" s="57"/>
      <c r="E156" s="50">
        <f>124293.63/1.2</f>
        <v>103578.02500000001</v>
      </c>
      <c r="F156" s="50">
        <f t="shared" ref="F156" si="93">-E156*$F$10</f>
        <v>0</v>
      </c>
      <c r="G156" s="50">
        <f t="shared" ref="G156" si="94">E156*$G$10</f>
        <v>0</v>
      </c>
      <c r="H156" s="50"/>
      <c r="I156" s="50">
        <f t="shared" ref="I156" si="95">+E156+F156-G156-H156</f>
        <v>103578.02500000001</v>
      </c>
      <c r="J156" s="50">
        <f t="shared" ref="J156" si="96">+I156+(I156*$I$4)</f>
        <v>124293.63</v>
      </c>
      <c r="K156" s="50">
        <v>124293.63</v>
      </c>
      <c r="L156" s="51"/>
      <c r="M156" s="51"/>
      <c r="N156" s="52">
        <f t="shared" ref="N156" si="97">-IF(L156=0,,IF(M156=0,($C$10-L156),M156-L156))</f>
        <v>0</v>
      </c>
      <c r="O156" s="50">
        <f t="shared" ref="O156" si="98">+J156-K156</f>
        <v>0</v>
      </c>
      <c r="P156" s="50">
        <f t="shared" ref="P156" si="99">+IF($C$10&lt;L156,0,O156)</f>
        <v>0</v>
      </c>
      <c r="Q156" s="53"/>
      <c r="R156" s="316">
        <f t="shared" ref="R156" si="100">IF(N156&gt;=0,0,(IF(-N156&lt;=60,O156,0)))</f>
        <v>0</v>
      </c>
      <c r="S156" s="316">
        <f t="shared" ref="S156" si="101">IF(N156&gt;=0,0,(IF(N156&gt;=-60,0,IF(-60&gt;=N156,IF(N156&gt;=-120,O156,0)))))</f>
        <v>0</v>
      </c>
      <c r="T156" s="316">
        <f t="shared" ref="T156" si="102">IF(N156&gt;=0,0,(IF(N156&gt;-60,0,IF(-60&gt;=N156,IF(N156&gt;=-120,0,IF(N156&gt;=-180,O156,0))))))</f>
        <v>0</v>
      </c>
      <c r="U156" s="316">
        <f t="shared" ref="U156" si="103">IF(N156&gt;=0,0,(IF(N156&gt;-60,0,IF(-60&gt;=N156,IF(N156&gt;-120,0,IF(N156&gt;=-180,0,IF(N156&gt;=-365,O156,0)))))))</f>
        <v>0</v>
      </c>
      <c r="V156" s="316">
        <f t="shared" ref="V156" si="104">IF(N156&gt;=0,0,IF(365&lt;-N156,O156,0))</f>
        <v>0</v>
      </c>
    </row>
    <row r="157" spans="1:22" s="290" customFormat="1" ht="15">
      <c r="A157" s="138"/>
      <c r="B157" s="143"/>
      <c r="C157" s="286"/>
      <c r="D157" s="140"/>
      <c r="E157" s="141">
        <f t="shared" ref="E157:K157" si="105">SUM(E156:E156)</f>
        <v>103578.02500000001</v>
      </c>
      <c r="F157" s="141">
        <f t="shared" si="105"/>
        <v>0</v>
      </c>
      <c r="G157" s="141">
        <f t="shared" si="105"/>
        <v>0</v>
      </c>
      <c r="H157" s="141">
        <f t="shared" si="105"/>
        <v>0</v>
      </c>
      <c r="I157" s="141">
        <f t="shared" si="105"/>
        <v>103578.02500000001</v>
      </c>
      <c r="J157" s="287">
        <f t="shared" si="105"/>
        <v>124293.63</v>
      </c>
      <c r="K157" s="287">
        <f t="shared" si="105"/>
        <v>124293.63</v>
      </c>
      <c r="L157" s="139"/>
      <c r="M157" s="139"/>
      <c r="N157" s="142"/>
      <c r="O157" s="141">
        <f>SUM(O156:O156)</f>
        <v>0</v>
      </c>
      <c r="P157" s="141">
        <f>SUM(P156:P156)</f>
        <v>0</v>
      </c>
      <c r="Q157" s="292"/>
      <c r="R157" s="337">
        <f>SUM(R156:R156)</f>
        <v>0</v>
      </c>
      <c r="S157" s="337">
        <f>SUM(S156:S156)</f>
        <v>0</v>
      </c>
      <c r="T157" s="337">
        <f>SUM(T156:T156)</f>
        <v>0</v>
      </c>
      <c r="U157" s="337">
        <f>SUM(U156:U156)</f>
        <v>0</v>
      </c>
      <c r="V157" s="337">
        <f>SUM(V156:V156)</f>
        <v>0</v>
      </c>
    </row>
    <row r="158" spans="1:22">
      <c r="A158" s="54" t="s">
        <v>177</v>
      </c>
      <c r="B158" s="54"/>
      <c r="C158" s="56"/>
      <c r="D158" s="57"/>
      <c r="E158" s="50">
        <f>261129.3/1.2</f>
        <v>217607.75</v>
      </c>
      <c r="F158" s="50">
        <f>-E158*$F$10</f>
        <v>0</v>
      </c>
      <c r="G158" s="50">
        <f>E158*$G$10</f>
        <v>0</v>
      </c>
      <c r="H158" s="50"/>
      <c r="I158" s="50">
        <f>+E158+F158-G158-H158</f>
        <v>217607.75</v>
      </c>
      <c r="J158" s="50">
        <f>+I158+(I158*$I$4)</f>
        <v>261129.3</v>
      </c>
      <c r="K158" s="50">
        <v>261129.3</v>
      </c>
      <c r="L158" s="51"/>
      <c r="M158" s="51"/>
      <c r="N158" s="52">
        <f>-IF(L158=0,,IF(M158=0,($C$10-L158),M158-L158))</f>
        <v>0</v>
      </c>
      <c r="O158" s="50">
        <f>+J158-K158</f>
        <v>0</v>
      </c>
      <c r="P158" s="50">
        <f>+IF($C$10&lt;L158,0,O158)</f>
        <v>0</v>
      </c>
      <c r="Q158" s="53"/>
      <c r="R158" s="316">
        <f>IF(N158&gt;=0,0,(IF(-N158&lt;=60,O158,0)))</f>
        <v>0</v>
      </c>
      <c r="S158" s="316">
        <f>IF(N158&gt;=0,0,(IF(N158&gt;=-60,0,IF(-60&gt;=N158,IF(N158&gt;=-120,O158,0)))))</f>
        <v>0</v>
      </c>
      <c r="T158" s="316">
        <f>IF(N158&gt;=0,0,(IF(N158&gt;-60,0,IF(-60&gt;=N158,IF(N158&gt;=-120,0,IF(N158&gt;=-180,O158,0))))))</f>
        <v>0</v>
      </c>
      <c r="U158" s="316">
        <f>IF(N158&gt;=0,0,(IF(N158&gt;-60,0,IF(-60&gt;=N158,IF(N158&gt;-120,0,IF(N158&gt;=-180,0,IF(N158&gt;=-365,O158,0)))))))</f>
        <v>0</v>
      </c>
      <c r="V158" s="316">
        <f>IF(N158&gt;=0,0,IF(365&lt;-N158,O158,0))</f>
        <v>0</v>
      </c>
    </row>
    <row r="159" spans="1:22" s="290" customFormat="1" ht="15">
      <c r="A159" s="138"/>
      <c r="B159" s="143"/>
      <c r="C159" s="286"/>
      <c r="D159" s="140"/>
      <c r="E159" s="141">
        <f t="shared" ref="E159:K159" si="106">SUM(E158:E158)</f>
        <v>217607.75</v>
      </c>
      <c r="F159" s="141">
        <f t="shared" si="106"/>
        <v>0</v>
      </c>
      <c r="G159" s="141">
        <f t="shared" si="106"/>
        <v>0</v>
      </c>
      <c r="H159" s="141">
        <f t="shared" si="106"/>
        <v>0</v>
      </c>
      <c r="I159" s="141">
        <f t="shared" si="106"/>
        <v>217607.75</v>
      </c>
      <c r="J159" s="287">
        <f t="shared" si="106"/>
        <v>261129.3</v>
      </c>
      <c r="K159" s="287">
        <f t="shared" si="106"/>
        <v>261129.3</v>
      </c>
      <c r="L159" s="139"/>
      <c r="M159" s="139"/>
      <c r="N159" s="142"/>
      <c r="O159" s="141">
        <f>SUM(O158:O158)</f>
        <v>0</v>
      </c>
      <c r="P159" s="141">
        <f>SUM(P158:P158)</f>
        <v>0</v>
      </c>
      <c r="Q159" s="292"/>
      <c r="R159" s="337">
        <f>SUM(R158:R158)</f>
        <v>0</v>
      </c>
      <c r="S159" s="337">
        <f>SUM(S158:S158)</f>
        <v>0</v>
      </c>
      <c r="T159" s="337">
        <f>SUM(T158:T158)</f>
        <v>0</v>
      </c>
      <c r="U159" s="337">
        <f>SUM(U158:U158)</f>
        <v>0</v>
      </c>
      <c r="V159" s="337">
        <f>SUM(V158:V158)</f>
        <v>0</v>
      </c>
    </row>
    <row r="160" spans="1:22">
      <c r="A160" s="54" t="s">
        <v>161</v>
      </c>
      <c r="B160" s="54"/>
      <c r="C160" s="56"/>
      <c r="D160" s="57"/>
      <c r="E160" s="50">
        <f>867889.03/1.2</f>
        <v>723240.8583333334</v>
      </c>
      <c r="F160" s="50">
        <f>-E160*$F$10</f>
        <v>0</v>
      </c>
      <c r="G160" s="50">
        <f>E160*$G$10</f>
        <v>0</v>
      </c>
      <c r="H160" s="50"/>
      <c r="I160" s="50">
        <f>+E160+F160-G160-H160</f>
        <v>723240.8583333334</v>
      </c>
      <c r="J160" s="50">
        <f>+I160+(I160*$I$4)</f>
        <v>867889.03</v>
      </c>
      <c r="K160" s="50">
        <v>867889.03</v>
      </c>
      <c r="L160" s="51"/>
      <c r="M160" s="51"/>
      <c r="N160" s="52">
        <f>-IF(L160=0,,IF(M160=0,($C$10-L160),M160-L160))</f>
        <v>0</v>
      </c>
      <c r="O160" s="50">
        <f>+J160-K160</f>
        <v>0</v>
      </c>
      <c r="P160" s="50">
        <f>+IF($C$10&lt;L160,0,O160)</f>
        <v>0</v>
      </c>
      <c r="Q160" s="53"/>
      <c r="R160" s="316">
        <f>IF(N160&gt;=0,0,(IF(-N160&lt;=60,O160,0)))</f>
        <v>0</v>
      </c>
      <c r="S160" s="316">
        <f>IF(N160&gt;=0,0,(IF(N160&gt;=-60,0,IF(-60&gt;=N160,IF(N160&gt;=-120,O160,0)))))</f>
        <v>0</v>
      </c>
      <c r="T160" s="316">
        <f>IF(N160&gt;=0,0,(IF(N160&gt;-60,0,IF(-60&gt;=N160,IF(N160&gt;=-120,0,IF(N160&gt;=-180,O160,0))))))</f>
        <v>0</v>
      </c>
      <c r="U160" s="316">
        <f>IF(N160&gt;=0,0,(IF(N160&gt;-60,0,IF(-60&gt;=N160,IF(N160&gt;-120,0,IF(N160&gt;=-180,0,IF(N160&gt;=-365,O160,0)))))))</f>
        <v>0</v>
      </c>
      <c r="V160" s="316">
        <f>IF(N160&gt;=0,0,IF(365&lt;-N160,O160,0))</f>
        <v>0</v>
      </c>
    </row>
    <row r="161" spans="1:22" s="290" customFormat="1" ht="15">
      <c r="A161" s="138"/>
      <c r="B161" s="138"/>
      <c r="C161" s="286"/>
      <c r="D161" s="140"/>
      <c r="E161" s="141">
        <f t="shared" ref="E161:K161" si="107">SUM(E160:E160)</f>
        <v>723240.8583333334</v>
      </c>
      <c r="F161" s="141">
        <f t="shared" si="107"/>
        <v>0</v>
      </c>
      <c r="G161" s="141">
        <f t="shared" si="107"/>
        <v>0</v>
      </c>
      <c r="H161" s="141">
        <f t="shared" si="107"/>
        <v>0</v>
      </c>
      <c r="I161" s="141">
        <f t="shared" si="107"/>
        <v>723240.8583333334</v>
      </c>
      <c r="J161" s="287">
        <f t="shared" si="107"/>
        <v>867889.03</v>
      </c>
      <c r="K161" s="287">
        <f t="shared" si="107"/>
        <v>867889.03</v>
      </c>
      <c r="L161" s="139"/>
      <c r="M161" s="139"/>
      <c r="N161" s="142"/>
      <c r="O161" s="141">
        <f>SUM(O160:O160)</f>
        <v>0</v>
      </c>
      <c r="P161" s="141">
        <f>SUM(P160:P160)</f>
        <v>0</v>
      </c>
      <c r="Q161" s="292"/>
      <c r="R161" s="337">
        <f>SUM(R160:R160)</f>
        <v>0</v>
      </c>
      <c r="S161" s="337">
        <f>SUM(S160:S160)</f>
        <v>0</v>
      </c>
      <c r="T161" s="337">
        <f>SUM(T160:T160)</f>
        <v>0</v>
      </c>
      <c r="U161" s="337">
        <f>SUM(U160:U160)</f>
        <v>0</v>
      </c>
      <c r="V161" s="337">
        <f>SUM(V160:V160)</f>
        <v>0</v>
      </c>
    </row>
    <row r="162" spans="1:22">
      <c r="A162" s="54" t="s">
        <v>146</v>
      </c>
      <c r="B162" s="54"/>
      <c r="C162" s="56"/>
      <c r="D162" s="57"/>
      <c r="E162" s="50">
        <f>178986.71/1.2</f>
        <v>149155.59166666667</v>
      </c>
      <c r="F162" s="50">
        <f>-E162*$F$10</f>
        <v>0</v>
      </c>
      <c r="G162" s="50">
        <f>E162*$G$10</f>
        <v>0</v>
      </c>
      <c r="H162" s="50"/>
      <c r="I162" s="50">
        <f>+E162+F162-G162-H162</f>
        <v>149155.59166666667</v>
      </c>
      <c r="J162" s="50">
        <f>+I162+(I162*$I$4)</f>
        <v>178986.71000000002</v>
      </c>
      <c r="K162" s="50">
        <v>178986.71000000002</v>
      </c>
      <c r="L162" s="51"/>
      <c r="M162" s="293"/>
      <c r="N162" s="52">
        <f>-IF(L162=0,,IF(M162=0,($C$10-L162),M162-L162))</f>
        <v>0</v>
      </c>
      <c r="O162" s="50">
        <f>+J162-K162</f>
        <v>0</v>
      </c>
      <c r="P162" s="50">
        <f>+IF($C$10&lt;L162,0,O162)</f>
        <v>0</v>
      </c>
      <c r="Q162" s="53"/>
      <c r="R162" s="316">
        <f>IF(N162&gt;=0,0,(IF(-N162&lt;=60,O162,0)))</f>
        <v>0</v>
      </c>
      <c r="S162" s="316">
        <f>IF(N162&gt;=0,0,(IF(N162&gt;=-60,0,IF(-60&gt;=N162,IF(N162&gt;=-120,O162,0)))))</f>
        <v>0</v>
      </c>
      <c r="T162" s="316">
        <f>IF(N162&gt;=0,0,(IF(N162&gt;-60,0,IF(-60&gt;=N162,IF(N162&gt;=-120,0,IF(N162&gt;=-180,O162,0))))))</f>
        <v>0</v>
      </c>
      <c r="U162" s="316">
        <f>IF(N162&gt;=0,0,(IF(N162&gt;-60,0,IF(-60&gt;=N162,IF(N162&gt;-120,0,IF(N162&gt;=-180,0,IF(N162&gt;=-365,O162,0)))))))</f>
        <v>0</v>
      </c>
      <c r="V162" s="316">
        <f>IF(N162&gt;=0,0,IF(365&lt;-N162,O162,0))</f>
        <v>0</v>
      </c>
    </row>
    <row r="163" spans="1:22" s="290" customFormat="1" ht="15">
      <c r="A163" s="138"/>
      <c r="B163" s="138"/>
      <c r="C163" s="286"/>
      <c r="D163" s="140"/>
      <c r="E163" s="141">
        <f t="shared" ref="E163:K163" si="108">SUM(E162:E162)</f>
        <v>149155.59166666667</v>
      </c>
      <c r="F163" s="141">
        <f t="shared" si="108"/>
        <v>0</v>
      </c>
      <c r="G163" s="141">
        <f t="shared" si="108"/>
        <v>0</v>
      </c>
      <c r="H163" s="141">
        <f t="shared" si="108"/>
        <v>0</v>
      </c>
      <c r="I163" s="141">
        <f t="shared" si="108"/>
        <v>149155.59166666667</v>
      </c>
      <c r="J163" s="287">
        <f t="shared" si="108"/>
        <v>178986.71000000002</v>
      </c>
      <c r="K163" s="287">
        <f t="shared" si="108"/>
        <v>178986.71000000002</v>
      </c>
      <c r="L163" s="139"/>
      <c r="M163" s="139"/>
      <c r="N163" s="142"/>
      <c r="O163" s="141">
        <f>SUM(O162:O162)</f>
        <v>0</v>
      </c>
      <c r="P163" s="141">
        <f>SUM(P162:P162)</f>
        <v>0</v>
      </c>
      <c r="Q163" s="292"/>
      <c r="R163" s="337">
        <f>SUM(R162:R162)</f>
        <v>0</v>
      </c>
      <c r="S163" s="337">
        <f>SUM(S162:S162)</f>
        <v>0</v>
      </c>
      <c r="T163" s="337">
        <f>SUM(T162:T162)</f>
        <v>0</v>
      </c>
      <c r="U163" s="337">
        <f>SUM(U162:U162)</f>
        <v>0</v>
      </c>
      <c r="V163" s="337">
        <f>SUM(V162:V162)</f>
        <v>0</v>
      </c>
    </row>
    <row r="164" spans="1:22">
      <c r="A164" s="54" t="s">
        <v>149</v>
      </c>
      <c r="B164" s="54"/>
      <c r="C164" s="56"/>
      <c r="D164" s="57"/>
      <c r="E164" s="50">
        <f>702352.3/1.2</f>
        <v>585293.58333333337</v>
      </c>
      <c r="F164" s="50">
        <f>-E164*$F$10</f>
        <v>0</v>
      </c>
      <c r="G164" s="50">
        <f>E164*$G$10</f>
        <v>0</v>
      </c>
      <c r="H164" s="50"/>
      <c r="I164" s="50">
        <f>+E164+F164-G164-H164</f>
        <v>585293.58333333337</v>
      </c>
      <c r="J164" s="50">
        <f>+I164+(I164*$I$4)</f>
        <v>702352.3</v>
      </c>
      <c r="K164" s="50">
        <v>702352.3</v>
      </c>
      <c r="L164" s="51"/>
      <c r="M164" s="293"/>
      <c r="N164" s="52">
        <f>-IF(L164=0,,IF(M164=0,($C$10-L164),M164-L164))</f>
        <v>0</v>
      </c>
      <c r="O164" s="50">
        <f>+J164-K164</f>
        <v>0</v>
      </c>
      <c r="P164" s="50">
        <f>+IF($C$10&lt;L164,0,O164)</f>
        <v>0</v>
      </c>
      <c r="Q164" s="53"/>
      <c r="R164" s="316">
        <f>IF(N164&gt;=0,0,(IF(-N164&lt;=60,O164,0)))</f>
        <v>0</v>
      </c>
      <c r="S164" s="316">
        <f>IF(N164&gt;=0,0,(IF(N164&gt;=-60,0,IF(-60&gt;=N164,IF(N164&gt;=-120,O164,0)))))</f>
        <v>0</v>
      </c>
      <c r="T164" s="316">
        <f>IF(N164&gt;=0,0,(IF(N164&gt;-60,0,IF(-60&gt;=N164,IF(N164&gt;=-120,0,IF(N164&gt;=-180,O164,0))))))</f>
        <v>0</v>
      </c>
      <c r="U164" s="316">
        <f>IF(N164&gt;=0,0,(IF(N164&gt;-60,0,IF(-60&gt;=N164,IF(N164&gt;-120,0,IF(N164&gt;=-180,0,IF(N164&gt;=-365,O164,0)))))))</f>
        <v>0</v>
      </c>
      <c r="V164" s="316">
        <f>IF(N164&gt;=0,0,IF(365&lt;-N164,O164,0))</f>
        <v>0</v>
      </c>
    </row>
    <row r="165" spans="1:22" s="290" customFormat="1" ht="15">
      <c r="A165" s="138"/>
      <c r="B165" s="138"/>
      <c r="C165" s="286"/>
      <c r="D165" s="140"/>
      <c r="E165" s="141">
        <f t="shared" ref="E165:K165" si="109">SUM(E164:E164)</f>
        <v>585293.58333333337</v>
      </c>
      <c r="F165" s="141">
        <f t="shared" si="109"/>
        <v>0</v>
      </c>
      <c r="G165" s="141">
        <f t="shared" si="109"/>
        <v>0</v>
      </c>
      <c r="H165" s="141">
        <f t="shared" si="109"/>
        <v>0</v>
      </c>
      <c r="I165" s="141">
        <f t="shared" si="109"/>
        <v>585293.58333333337</v>
      </c>
      <c r="J165" s="287">
        <f t="shared" si="109"/>
        <v>702352.3</v>
      </c>
      <c r="K165" s="287">
        <f t="shared" si="109"/>
        <v>702352.3</v>
      </c>
      <c r="L165" s="139"/>
      <c r="M165" s="139"/>
      <c r="N165" s="142"/>
      <c r="O165" s="141">
        <f>SUM(O164:O164)</f>
        <v>0</v>
      </c>
      <c r="P165" s="141">
        <f>SUM(P164:P164)</f>
        <v>0</v>
      </c>
      <c r="Q165" s="292"/>
      <c r="R165" s="337">
        <f>SUM(R164:R164)</f>
        <v>0</v>
      </c>
      <c r="S165" s="337">
        <f>SUM(S164:S164)</f>
        <v>0</v>
      </c>
      <c r="T165" s="337">
        <f>SUM(T164:T164)</f>
        <v>0</v>
      </c>
      <c r="U165" s="337">
        <f>SUM(U164:U164)</f>
        <v>0</v>
      </c>
      <c r="V165" s="337">
        <f>SUM(V164:V164)</f>
        <v>0</v>
      </c>
    </row>
    <row r="166" spans="1:22">
      <c r="A166" s="54" t="s">
        <v>178</v>
      </c>
      <c r="B166" s="54"/>
      <c r="C166" s="56"/>
      <c r="D166" s="57"/>
      <c r="E166" s="50">
        <f>34810/1.2</f>
        <v>29008.333333333336</v>
      </c>
      <c r="F166" s="50">
        <f>-E166*$F$10</f>
        <v>0</v>
      </c>
      <c r="G166" s="50">
        <f>E166*$G$10</f>
        <v>0</v>
      </c>
      <c r="H166" s="50"/>
      <c r="I166" s="50">
        <f>+E166+F166-G166-H166</f>
        <v>29008.333333333336</v>
      </c>
      <c r="J166" s="50">
        <f>+I166+(I166*$I$4)</f>
        <v>34810</v>
      </c>
      <c r="K166" s="50">
        <v>34810</v>
      </c>
      <c r="L166" s="51"/>
      <c r="M166" s="51"/>
      <c r="N166" s="52">
        <f>-IF(L166=0,,IF(M166=0,($C$10-L166),M166-L166))</f>
        <v>0</v>
      </c>
      <c r="O166" s="50">
        <f>+J166-K166</f>
        <v>0</v>
      </c>
      <c r="P166" s="50">
        <f>+IF($C$10&lt;L166,0,O166)</f>
        <v>0</v>
      </c>
      <c r="Q166" s="53"/>
      <c r="R166" s="316">
        <f>IF(N166&gt;=0,0,(IF(-N166&lt;=60,O166,0)))</f>
        <v>0</v>
      </c>
      <c r="S166" s="316">
        <f>IF(N166&gt;=0,0,(IF(N166&gt;=-60,0,IF(-60&gt;=N166,IF(N166&gt;=-120,O166,0)))))</f>
        <v>0</v>
      </c>
      <c r="T166" s="316">
        <f>IF(N166&gt;=0,0,(IF(N166&gt;-60,0,IF(-60&gt;=N166,IF(N166&gt;=-120,0,IF(N166&gt;=-180,O166,0))))))</f>
        <v>0</v>
      </c>
      <c r="U166" s="316">
        <f>IF(N166&gt;=0,0,(IF(N166&gt;-60,0,IF(-60&gt;=N166,IF(N166&gt;-120,0,IF(N166&gt;=-180,0,IF(N166&gt;=-365,O166,0)))))))</f>
        <v>0</v>
      </c>
      <c r="V166" s="316">
        <f>IF(N166&gt;=0,0,IF(365&lt;-N166,O166,0))</f>
        <v>0</v>
      </c>
    </row>
    <row r="167" spans="1:22" s="290" customFormat="1" ht="15">
      <c r="A167" s="138"/>
      <c r="B167" s="138"/>
      <c r="C167" s="286"/>
      <c r="D167" s="140"/>
      <c r="E167" s="141">
        <f t="shared" ref="E167:K167" si="110">SUM(E166:E166)</f>
        <v>29008.333333333336</v>
      </c>
      <c r="F167" s="141">
        <f t="shared" si="110"/>
        <v>0</v>
      </c>
      <c r="G167" s="141">
        <f t="shared" si="110"/>
        <v>0</v>
      </c>
      <c r="H167" s="141">
        <f t="shared" si="110"/>
        <v>0</v>
      </c>
      <c r="I167" s="141">
        <f t="shared" si="110"/>
        <v>29008.333333333336</v>
      </c>
      <c r="J167" s="287">
        <f t="shared" si="110"/>
        <v>34810</v>
      </c>
      <c r="K167" s="287">
        <f t="shared" si="110"/>
        <v>34810</v>
      </c>
      <c r="L167" s="139"/>
      <c r="M167" s="139"/>
      <c r="N167" s="142"/>
      <c r="O167" s="141">
        <f>SUM(O166:O166)</f>
        <v>0</v>
      </c>
      <c r="P167" s="141">
        <f>SUM(P166:P166)</f>
        <v>0</v>
      </c>
      <c r="Q167" s="292"/>
      <c r="R167" s="337">
        <f>SUM(R166:R166)</f>
        <v>0</v>
      </c>
      <c r="S167" s="337">
        <f>SUM(S166:S166)</f>
        <v>0</v>
      </c>
      <c r="T167" s="337">
        <f>SUM(T166:T166)</f>
        <v>0</v>
      </c>
      <c r="U167" s="337">
        <f>SUM(U166:U166)</f>
        <v>0</v>
      </c>
      <c r="V167" s="337">
        <f>SUM(V166:V166)</f>
        <v>0</v>
      </c>
    </row>
    <row r="168" spans="1:22">
      <c r="A168" s="54" t="s">
        <v>179</v>
      </c>
      <c r="B168" s="54"/>
      <c r="C168" s="56"/>
      <c r="D168" s="57"/>
      <c r="E168" s="50">
        <f>184752.31/1.2</f>
        <v>153960.25833333333</v>
      </c>
      <c r="F168" s="50">
        <f>-E168*$F$10</f>
        <v>0</v>
      </c>
      <c r="G168" s="50">
        <f>E168*$G$10</f>
        <v>0</v>
      </c>
      <c r="H168" s="50"/>
      <c r="I168" s="50">
        <f>+E168+F168-G168-H168</f>
        <v>153960.25833333333</v>
      </c>
      <c r="J168" s="50">
        <f>+I168+(I168*$I$4)</f>
        <v>184752.31</v>
      </c>
      <c r="K168" s="50">
        <f>184752.31+2808.73</f>
        <v>187561.04</v>
      </c>
      <c r="L168" s="51"/>
      <c r="M168" s="293"/>
      <c r="N168" s="52">
        <f>-IF(L168=0,,IF(M168=0,($C$10-L168),M168-L168))</f>
        <v>0</v>
      </c>
      <c r="O168" s="50">
        <f>+J168-K168</f>
        <v>-2808.7300000000105</v>
      </c>
      <c r="P168" s="50">
        <f>+IF($C$10&lt;L168,0,O168)</f>
        <v>-2808.7300000000105</v>
      </c>
      <c r="Q168" s="53"/>
      <c r="R168" s="316">
        <f>IF(N168&gt;=0,0,(IF(-N168&lt;=60,O168,0)))</f>
        <v>0</v>
      </c>
      <c r="S168" s="316">
        <f>IF(N168&gt;=0,0,(IF(N168&gt;=-60,0,IF(-60&gt;=N168,IF(N168&gt;=-120,O168,0)))))</f>
        <v>0</v>
      </c>
      <c r="T168" s="316">
        <f>IF(N168&gt;=0,0,(IF(N168&gt;-60,0,IF(-60&gt;=N168,IF(N168&gt;=-120,0,IF(N168&gt;=-180,O168,0))))))</f>
        <v>0</v>
      </c>
      <c r="U168" s="316">
        <f>IF(N168&gt;=0,0,(IF(N168&gt;-60,0,IF(-60&gt;=N168,IF(N168&gt;-120,0,IF(N168&gt;=-180,0,IF(N168&gt;=-365,O168,0)))))))</f>
        <v>0</v>
      </c>
      <c r="V168" s="316">
        <f>IF(O168&gt;=0,0,(IF(O168&gt;-60,0,IF(-60&gt;=O168,IF(O168&gt;-120,0,IF(O168&gt;=-180,0,IF(O168&gt;=-365,P168,0)))))))</f>
        <v>0</v>
      </c>
    </row>
    <row r="169" spans="1:22" s="290" customFormat="1" ht="15">
      <c r="A169" s="138"/>
      <c r="B169" s="138"/>
      <c r="C169" s="286"/>
      <c r="D169" s="140"/>
      <c r="E169" s="141">
        <f t="shared" ref="E169:K169" si="111">SUM(E168:E168)</f>
        <v>153960.25833333333</v>
      </c>
      <c r="F169" s="141">
        <f t="shared" si="111"/>
        <v>0</v>
      </c>
      <c r="G169" s="141">
        <f t="shared" si="111"/>
        <v>0</v>
      </c>
      <c r="H169" s="141">
        <f t="shared" si="111"/>
        <v>0</v>
      </c>
      <c r="I169" s="141">
        <f t="shared" si="111"/>
        <v>153960.25833333333</v>
      </c>
      <c r="J169" s="287">
        <f t="shared" si="111"/>
        <v>184752.31</v>
      </c>
      <c r="K169" s="287">
        <f t="shared" si="111"/>
        <v>187561.04</v>
      </c>
      <c r="L169" s="139"/>
      <c r="M169" s="139"/>
      <c r="N169" s="142"/>
      <c r="O169" s="141">
        <f>SUM(O168:O168)</f>
        <v>-2808.7300000000105</v>
      </c>
      <c r="P169" s="141">
        <f>SUM(P168:P168)</f>
        <v>-2808.7300000000105</v>
      </c>
      <c r="Q169" s="292"/>
      <c r="R169" s="337">
        <f>SUM(R168:R168)</f>
        <v>0</v>
      </c>
      <c r="S169" s="337">
        <f>SUM(S168:S168)</f>
        <v>0</v>
      </c>
      <c r="T169" s="337">
        <f>SUM(T168:T168)</f>
        <v>0</v>
      </c>
      <c r="U169" s="337">
        <f>SUM(U168:U168)</f>
        <v>0</v>
      </c>
      <c r="V169" s="337">
        <f>SUM(V168:V168)</f>
        <v>0</v>
      </c>
    </row>
    <row r="170" spans="1:22">
      <c r="A170" s="54" t="s">
        <v>162</v>
      </c>
      <c r="B170" s="54"/>
      <c r="C170" s="56"/>
      <c r="D170" s="57"/>
      <c r="E170" s="50">
        <f>4788.64/1.2</f>
        <v>3990.5333333333338</v>
      </c>
      <c r="F170" s="50">
        <f>-E170*$F$10</f>
        <v>0</v>
      </c>
      <c r="G170" s="50">
        <f>E170*$G$10</f>
        <v>0</v>
      </c>
      <c r="H170" s="50"/>
      <c r="I170" s="50">
        <f>+E170+F170-G170-H170</f>
        <v>3990.5333333333338</v>
      </c>
      <c r="J170" s="50">
        <f>+I170+(I170*$I$4)</f>
        <v>4788.6400000000003</v>
      </c>
      <c r="K170" s="50">
        <v>4788.6400000000003</v>
      </c>
      <c r="L170" s="51"/>
      <c r="M170" s="293"/>
      <c r="N170" s="52">
        <f>-IF(L170=0,,IF(M170=0,($C$10-L170),M170-L170))</f>
        <v>0</v>
      </c>
      <c r="O170" s="50">
        <f>+J170-K170</f>
        <v>0</v>
      </c>
      <c r="P170" s="50">
        <f>+IF($C$10&lt;L170,0,O170)</f>
        <v>0</v>
      </c>
      <c r="Q170" s="53"/>
      <c r="R170" s="316">
        <f>IF(N170&gt;=0,0,(IF(-N170&lt;=60,O170,0)))</f>
        <v>0</v>
      </c>
      <c r="S170" s="316">
        <f>IF(N170&gt;=0,0,(IF(N170&gt;=-60,0,IF(-60&gt;=N170,IF(N170&gt;=-120,O170,0)))))</f>
        <v>0</v>
      </c>
      <c r="T170" s="316">
        <f>IF(N170&gt;=0,0,(IF(N170&gt;-60,0,IF(-60&gt;=N170,IF(N170&gt;=-120,0,IF(N170&gt;=-180,O170,0))))))</f>
        <v>0</v>
      </c>
      <c r="U170" s="316">
        <f>IF(N170&gt;=0,0,(IF(N170&gt;-60,0,IF(-60&gt;=N170,IF(N170&gt;-120,0,IF(N170&gt;=-180,0,IF(N170&gt;=-365,O170,0)))))))</f>
        <v>0</v>
      </c>
      <c r="V170" s="316">
        <f>IF(N170&gt;=0,0,IF(365&lt;-N170,O170,0))</f>
        <v>0</v>
      </c>
    </row>
    <row r="171" spans="1:22" s="290" customFormat="1" ht="15">
      <c r="A171" s="138"/>
      <c r="B171" s="138"/>
      <c r="C171" s="286"/>
      <c r="D171" s="140"/>
      <c r="E171" s="141">
        <f t="shared" ref="E171:K171" si="112">SUM(E170:E170)</f>
        <v>3990.5333333333338</v>
      </c>
      <c r="F171" s="141">
        <f t="shared" si="112"/>
        <v>0</v>
      </c>
      <c r="G171" s="141">
        <f t="shared" si="112"/>
        <v>0</v>
      </c>
      <c r="H171" s="141">
        <f t="shared" si="112"/>
        <v>0</v>
      </c>
      <c r="I171" s="141">
        <f t="shared" si="112"/>
        <v>3990.5333333333338</v>
      </c>
      <c r="J171" s="287">
        <f t="shared" si="112"/>
        <v>4788.6400000000003</v>
      </c>
      <c r="K171" s="287">
        <f t="shared" si="112"/>
        <v>4788.6400000000003</v>
      </c>
      <c r="L171" s="139"/>
      <c r="M171" s="139"/>
      <c r="N171" s="142"/>
      <c r="O171" s="141">
        <f>SUM(O170:O170)</f>
        <v>0</v>
      </c>
      <c r="P171" s="141">
        <f>SUM(P170:P170)</f>
        <v>0</v>
      </c>
      <c r="Q171" s="292"/>
      <c r="R171" s="337">
        <f>SUM(R170:R170)</f>
        <v>0</v>
      </c>
      <c r="S171" s="337">
        <f>SUM(S170:S170)</f>
        <v>0</v>
      </c>
      <c r="T171" s="337">
        <f>SUM(T170:T170)</f>
        <v>0</v>
      </c>
      <c r="U171" s="337">
        <f>SUM(U170:U170)</f>
        <v>0</v>
      </c>
      <c r="V171" s="337">
        <f>SUM(V170:V170)</f>
        <v>0</v>
      </c>
    </row>
    <row r="172" spans="1:22">
      <c r="A172" s="54" t="s">
        <v>164</v>
      </c>
      <c r="B172" s="54"/>
      <c r="C172" s="56"/>
      <c r="D172" s="57"/>
      <c r="E172" s="50">
        <f>1346306.62/1.2</f>
        <v>1121922.1833333336</v>
      </c>
      <c r="F172" s="50">
        <f>-E172*$F$10</f>
        <v>0</v>
      </c>
      <c r="G172" s="50">
        <f>E172*$G$10</f>
        <v>0</v>
      </c>
      <c r="H172" s="50"/>
      <c r="I172" s="50">
        <f>+E172+F172-G172-H172</f>
        <v>1121922.1833333336</v>
      </c>
      <c r="J172" s="50">
        <f>+I172+(I172*$I$4)</f>
        <v>1346306.6200000003</v>
      </c>
      <c r="K172" s="50">
        <v>1346306.6200000003</v>
      </c>
      <c r="L172" s="51"/>
      <c r="M172" s="293"/>
      <c r="N172" s="52">
        <f>-IF(L172=0,,IF(M172=0,($C$10-L172),M172-L172))</f>
        <v>0</v>
      </c>
      <c r="O172" s="50">
        <f>+J172-K172</f>
        <v>0</v>
      </c>
      <c r="P172" s="50">
        <f>+IF($C$10&lt;L172,0,O172)</f>
        <v>0</v>
      </c>
      <c r="Q172" s="53"/>
      <c r="R172" s="316">
        <f>IF(N172&gt;=0,0,(IF(-N172&lt;=60,O172,0)))</f>
        <v>0</v>
      </c>
      <c r="S172" s="316">
        <f>IF(N172&gt;=0,0,(IF(N172&gt;=-60,0,IF(-60&gt;=N172,IF(N172&gt;=-120,O172,0)))))</f>
        <v>0</v>
      </c>
      <c r="T172" s="316">
        <f>IF(N172&gt;=0,0,(IF(N172&gt;-60,0,IF(-60&gt;=N172,IF(N172&gt;=-120,0,IF(N172&gt;=-180,O172,0))))))</f>
        <v>0</v>
      </c>
      <c r="U172" s="316">
        <f>IF(N172&gt;=0,0,(IF(N172&gt;-60,0,IF(-60&gt;=N172,IF(N172&gt;-120,0,IF(N172&gt;=-180,0,IF(N172&gt;=-365,O172,0)))))))</f>
        <v>0</v>
      </c>
      <c r="V172" s="316">
        <f>IF(N172&gt;=0,0,IF(365&lt;-N172,O172,0))</f>
        <v>0</v>
      </c>
    </row>
    <row r="173" spans="1:22" s="290" customFormat="1" ht="15">
      <c r="A173" s="138"/>
      <c r="B173" s="138"/>
      <c r="C173" s="286"/>
      <c r="D173" s="140"/>
      <c r="E173" s="141">
        <f t="shared" ref="E173:K173" si="113">SUM(E172:E172)</f>
        <v>1121922.1833333336</v>
      </c>
      <c r="F173" s="141">
        <f t="shared" si="113"/>
        <v>0</v>
      </c>
      <c r="G173" s="141">
        <f t="shared" si="113"/>
        <v>0</v>
      </c>
      <c r="H173" s="141">
        <f t="shared" si="113"/>
        <v>0</v>
      </c>
      <c r="I173" s="141">
        <f t="shared" si="113"/>
        <v>1121922.1833333336</v>
      </c>
      <c r="J173" s="287">
        <f t="shared" si="113"/>
        <v>1346306.6200000003</v>
      </c>
      <c r="K173" s="287">
        <f t="shared" si="113"/>
        <v>1346306.6200000003</v>
      </c>
      <c r="L173" s="139"/>
      <c r="M173" s="139"/>
      <c r="N173" s="142"/>
      <c r="O173" s="141">
        <f>SUM(O172:O172)</f>
        <v>0</v>
      </c>
      <c r="P173" s="141">
        <f>SUM(P172:P172)</f>
        <v>0</v>
      </c>
      <c r="Q173" s="292"/>
      <c r="R173" s="337">
        <f>SUM(R172:R172)</f>
        <v>0</v>
      </c>
      <c r="S173" s="337">
        <f>SUM(S172:S172)</f>
        <v>0</v>
      </c>
      <c r="T173" s="337">
        <f>SUM(T172:T172)</f>
        <v>0</v>
      </c>
      <c r="U173" s="337">
        <f>SUM(U172:U172)</f>
        <v>0</v>
      </c>
      <c r="V173" s="337">
        <f>SUM(V172:V172)</f>
        <v>0</v>
      </c>
    </row>
    <row r="174" spans="1:22">
      <c r="A174" s="54" t="s">
        <v>180</v>
      </c>
      <c r="B174" s="54"/>
      <c r="C174" s="56">
        <v>37103</v>
      </c>
      <c r="D174" s="57"/>
      <c r="E174" s="50">
        <f>40061.97/1.2</f>
        <v>33384.975000000006</v>
      </c>
      <c r="F174" s="50">
        <f>-E174*$F$10</f>
        <v>0</v>
      </c>
      <c r="G174" s="50">
        <f>E174*$G$10</f>
        <v>0</v>
      </c>
      <c r="H174" s="50"/>
      <c r="I174" s="50">
        <f>+E174+F174-G174-H174</f>
        <v>33384.975000000006</v>
      </c>
      <c r="J174" s="50">
        <f>+I174+(I174*$I$4)</f>
        <v>40061.970000000008</v>
      </c>
      <c r="K174" s="50">
        <v>40061.970000000008</v>
      </c>
      <c r="L174" s="51"/>
      <c r="M174" s="293"/>
      <c r="N174" s="52">
        <f>-IF(L174=0,,IF(M174=0,($C$10-L174),M174-L174))</f>
        <v>0</v>
      </c>
      <c r="O174" s="50">
        <f>+J174-K174</f>
        <v>0</v>
      </c>
      <c r="P174" s="50">
        <f>+IF($C$10&lt;L174,0,O174)</f>
        <v>0</v>
      </c>
      <c r="Q174" s="53"/>
      <c r="R174" s="316">
        <f>IF(N174&gt;=0,0,(IF(-N174&lt;=60,O174,0)))</f>
        <v>0</v>
      </c>
      <c r="S174" s="316">
        <f>IF(N174&gt;=0,0,(IF(N174&gt;=-60,0,IF(-60&gt;=N174,IF(N174&gt;=-120,O174,0)))))</f>
        <v>0</v>
      </c>
      <c r="T174" s="316">
        <f>IF(N174&gt;=0,0,(IF(N174&gt;-60,0,IF(-60&gt;=N174,IF(N174&gt;=-120,0,IF(N174&gt;=-180,O174,0))))))</f>
        <v>0</v>
      </c>
      <c r="U174" s="316">
        <f>IF(N174&gt;=0,0,(IF(N174&gt;-60,0,IF(-60&gt;=N174,IF(N174&gt;-120,0,IF(N174&gt;=-180,0,IF(N174&gt;=-365,O174,0)))))))</f>
        <v>0</v>
      </c>
      <c r="V174" s="316">
        <f>IF(N174&gt;=0,0,IF(365&lt;-N174,O174,0))</f>
        <v>0</v>
      </c>
    </row>
    <row r="175" spans="1:22">
      <c r="A175" s="54" t="s">
        <v>180</v>
      </c>
      <c r="B175" s="54"/>
      <c r="C175" s="56">
        <v>37134</v>
      </c>
      <c r="D175" s="57"/>
      <c r="E175" s="50">
        <f>45756.9/1.2</f>
        <v>38130.75</v>
      </c>
      <c r="F175" s="50">
        <f t="shared" ref="F175:F177" si="114">-E175*$F$10</f>
        <v>0</v>
      </c>
      <c r="G175" s="50">
        <f t="shared" ref="G175:G177" si="115">E175*$G$10</f>
        <v>0</v>
      </c>
      <c r="H175" s="50"/>
      <c r="I175" s="50">
        <f t="shared" ref="I175:I177" si="116">+E175+F175-G175-H175</f>
        <v>38130.75</v>
      </c>
      <c r="J175" s="50">
        <f t="shared" ref="J175:J177" si="117">+I175+(I175*$I$4)</f>
        <v>45756.9</v>
      </c>
      <c r="K175" s="50">
        <v>45756.9</v>
      </c>
      <c r="L175" s="51"/>
      <c r="M175" s="293"/>
      <c r="N175" s="52">
        <f t="shared" ref="N175:N177" si="118">-IF(L175=0,,IF(M175=0,($C$10-L175),M175-L175))</f>
        <v>0</v>
      </c>
      <c r="O175" s="50">
        <f t="shared" ref="O175:O177" si="119">+J175-K175</f>
        <v>0</v>
      </c>
      <c r="P175" s="50">
        <f t="shared" ref="P175:P177" si="120">+IF($C$10&lt;L175,0,O175)</f>
        <v>0</v>
      </c>
      <c r="Q175" s="53"/>
      <c r="R175" s="316">
        <f t="shared" ref="R175:R177" si="121">IF(N175&gt;=0,0,(IF(-N175&lt;=60,O175,0)))</f>
        <v>0</v>
      </c>
      <c r="S175" s="316">
        <f t="shared" ref="S175:S177" si="122">IF(N175&gt;=0,0,(IF(N175&gt;=-60,0,IF(-60&gt;=N175,IF(N175&gt;=-120,O175,0)))))</f>
        <v>0</v>
      </c>
      <c r="T175" s="316">
        <f t="shared" ref="T175:T177" si="123">IF(N175&gt;=0,0,(IF(N175&gt;-60,0,IF(-60&gt;=N175,IF(N175&gt;=-120,0,IF(N175&gt;=-180,O175,0))))))</f>
        <v>0</v>
      </c>
      <c r="U175" s="316">
        <f t="shared" ref="U175:U177" si="124">IF(N175&gt;=0,0,(IF(N175&gt;-60,0,IF(-60&gt;=N175,IF(N175&gt;-120,0,IF(N175&gt;=-180,0,IF(N175&gt;=-365,O175,0)))))))</f>
        <v>0</v>
      </c>
      <c r="V175" s="316">
        <f t="shared" ref="V175:V177" si="125">IF(N175&gt;=0,0,IF(365&lt;-N175,O175,0))</f>
        <v>0</v>
      </c>
    </row>
    <row r="176" spans="1:22">
      <c r="A176" s="54" t="s">
        <v>180</v>
      </c>
      <c r="B176" s="54"/>
      <c r="C176" s="56">
        <v>37164</v>
      </c>
      <c r="D176" s="57"/>
      <c r="E176" s="50">
        <f>62072.21/1.2</f>
        <v>51726.841666666667</v>
      </c>
      <c r="F176" s="50">
        <f t="shared" si="114"/>
        <v>0</v>
      </c>
      <c r="G176" s="50">
        <f t="shared" si="115"/>
        <v>0</v>
      </c>
      <c r="H176" s="50"/>
      <c r="I176" s="50">
        <f t="shared" si="116"/>
        <v>51726.841666666667</v>
      </c>
      <c r="J176" s="50">
        <f t="shared" si="117"/>
        <v>62072.21</v>
      </c>
      <c r="K176" s="50">
        <v>25721.13</v>
      </c>
      <c r="L176" s="51">
        <v>37266</v>
      </c>
      <c r="M176" s="293">
        <v>37406</v>
      </c>
      <c r="N176" s="52">
        <f t="shared" si="118"/>
        <v>-140</v>
      </c>
      <c r="O176" s="50">
        <f t="shared" si="119"/>
        <v>36351.08</v>
      </c>
      <c r="P176" s="50">
        <f t="shared" si="120"/>
        <v>36351.08</v>
      </c>
      <c r="Q176" s="53"/>
      <c r="R176" s="316">
        <f t="shared" si="121"/>
        <v>0</v>
      </c>
      <c r="S176" s="316">
        <f t="shared" si="122"/>
        <v>0</v>
      </c>
      <c r="T176" s="316">
        <f t="shared" si="123"/>
        <v>36351.08</v>
      </c>
      <c r="U176" s="316">
        <f t="shared" si="124"/>
        <v>0</v>
      </c>
      <c r="V176" s="316">
        <f t="shared" si="125"/>
        <v>0</v>
      </c>
    </row>
    <row r="177" spans="1:24" ht="19.5" customHeight="1">
      <c r="A177" s="54" t="s">
        <v>180</v>
      </c>
      <c r="B177" s="54"/>
      <c r="C177" s="56">
        <v>37195</v>
      </c>
      <c r="D177" s="57"/>
      <c r="E177" s="50">
        <f>70787.27/1.2</f>
        <v>58989.39166666667</v>
      </c>
      <c r="F177" s="50">
        <f t="shared" si="114"/>
        <v>0</v>
      </c>
      <c r="G177" s="50">
        <f t="shared" si="115"/>
        <v>0</v>
      </c>
      <c r="H177" s="50"/>
      <c r="I177" s="50">
        <f t="shared" si="116"/>
        <v>58989.39166666667</v>
      </c>
      <c r="J177" s="50">
        <f t="shared" si="117"/>
        <v>70787.27</v>
      </c>
      <c r="K177" s="50"/>
      <c r="L177" s="51">
        <v>37297</v>
      </c>
      <c r="M177" s="293"/>
      <c r="N177" s="52">
        <f t="shared" si="118"/>
        <v>-5797</v>
      </c>
      <c r="O177" s="50">
        <f t="shared" si="119"/>
        <v>70787.27</v>
      </c>
      <c r="P177" s="50">
        <f t="shared" si="120"/>
        <v>70787.27</v>
      </c>
      <c r="Q177" s="53"/>
      <c r="R177" s="316">
        <f t="shared" si="121"/>
        <v>0</v>
      </c>
      <c r="S177" s="316">
        <f t="shared" si="122"/>
        <v>0</v>
      </c>
      <c r="T177" s="316">
        <f t="shared" si="123"/>
        <v>0</v>
      </c>
      <c r="U177" s="316">
        <f t="shared" si="124"/>
        <v>0</v>
      </c>
      <c r="V177" s="316">
        <f t="shared" si="125"/>
        <v>70787.27</v>
      </c>
    </row>
    <row r="178" spans="1:24" s="290" customFormat="1" ht="19.5" customHeight="1">
      <c r="A178" s="138"/>
      <c r="B178" s="138"/>
      <c r="C178" s="286"/>
      <c r="D178" s="140"/>
      <c r="E178" s="141">
        <f>SUM(E174:E177)</f>
        <v>182231.95833333334</v>
      </c>
      <c r="F178" s="141">
        <f t="shared" ref="F178:K178" si="126">SUM(F174:F177)</f>
        <v>0</v>
      </c>
      <c r="G178" s="141">
        <f t="shared" si="126"/>
        <v>0</v>
      </c>
      <c r="H178" s="141">
        <f t="shared" si="126"/>
        <v>0</v>
      </c>
      <c r="I178" s="141">
        <f t="shared" si="126"/>
        <v>182231.95833333334</v>
      </c>
      <c r="J178" s="141">
        <f t="shared" si="126"/>
        <v>218678.35000000003</v>
      </c>
      <c r="K178" s="141">
        <f t="shared" si="126"/>
        <v>111540.00000000001</v>
      </c>
      <c r="L178" s="139"/>
      <c r="M178" s="139"/>
      <c r="N178" s="142"/>
      <c r="O178" s="141">
        <f>SUM(O174:O177)</f>
        <v>107138.35</v>
      </c>
      <c r="P178" s="141">
        <f>SUM(P174:P177)</f>
        <v>107138.35</v>
      </c>
      <c r="Q178" s="292"/>
      <c r="R178" s="337">
        <f>SUM(R174:R177)</f>
        <v>0</v>
      </c>
      <c r="S178" s="337">
        <f t="shared" ref="S178:V178" si="127">SUM(S174:S177)</f>
        <v>0</v>
      </c>
      <c r="T178" s="337">
        <f t="shared" si="127"/>
        <v>36351.08</v>
      </c>
      <c r="U178" s="337">
        <f t="shared" si="127"/>
        <v>0</v>
      </c>
      <c r="V178" s="337">
        <f t="shared" si="127"/>
        <v>70787.27</v>
      </c>
    </row>
    <row r="179" spans="1:24" ht="19.5" customHeight="1">
      <c r="A179" s="54" t="s">
        <v>181</v>
      </c>
      <c r="B179" s="54"/>
      <c r="C179" s="56"/>
      <c r="D179" s="57"/>
      <c r="E179" s="50">
        <f>248191.79/1.2</f>
        <v>206826.49166666667</v>
      </c>
      <c r="F179" s="50">
        <f>-E179*$F$10</f>
        <v>0</v>
      </c>
      <c r="G179" s="50">
        <f>E179*$G$10</f>
        <v>0</v>
      </c>
      <c r="H179" s="50"/>
      <c r="I179" s="50">
        <f>+E179+F179-G179-H179</f>
        <v>206826.49166666667</v>
      </c>
      <c r="J179" s="50">
        <f>+I179+(I179*$I$4)</f>
        <v>248191.79</v>
      </c>
      <c r="K179" s="50">
        <v>248191.79</v>
      </c>
      <c r="L179" s="51"/>
      <c r="M179" s="293"/>
      <c r="N179" s="52">
        <f>-IF(L179=0,,IF(M179=0,($C$10-L179),M179-L179))</f>
        <v>0</v>
      </c>
      <c r="O179" s="50">
        <f>+J179-K179</f>
        <v>0</v>
      </c>
      <c r="P179" s="50">
        <f>+IF($C$10&lt;L179,0,O179)</f>
        <v>0</v>
      </c>
      <c r="Q179" s="53"/>
      <c r="R179" s="316">
        <f>IF(N179&gt;=0,0,(IF(-N179&lt;=60,O179,0)))</f>
        <v>0</v>
      </c>
      <c r="S179" s="316">
        <f>IF(N179&gt;=0,0,(IF(N179&gt;=-60,0,IF(-60&gt;=N179,IF(N179&gt;=-120,O179,0)))))</f>
        <v>0</v>
      </c>
      <c r="T179" s="316">
        <f>IF(N179&gt;=0,0,(IF(N179&gt;-60,0,IF(-60&gt;=N179,IF(N179&gt;=-120,0,IF(N179&gt;=-180,O179,0))))))</f>
        <v>0</v>
      </c>
      <c r="U179" s="316">
        <f>IF(N179&gt;=0,0,(IF(N179&gt;-60,0,IF(-60&gt;=N179,IF(N179&gt;-120,0,IF(N179&gt;=-180,0,IF(N179&gt;=-365,O179,0)))))))</f>
        <v>0</v>
      </c>
      <c r="V179" s="316">
        <f>IF(N179&gt;=0,0,IF(365&lt;-N179,O179,0))</f>
        <v>0</v>
      </c>
    </row>
    <row r="180" spans="1:24" s="290" customFormat="1" ht="19.5" customHeight="1">
      <c r="A180" s="138"/>
      <c r="B180" s="138"/>
      <c r="C180" s="286"/>
      <c r="D180" s="140"/>
      <c r="E180" s="141">
        <f t="shared" ref="E180:K180" si="128">SUM(E179:E179)</f>
        <v>206826.49166666667</v>
      </c>
      <c r="F180" s="141">
        <f t="shared" si="128"/>
        <v>0</v>
      </c>
      <c r="G180" s="141">
        <f t="shared" si="128"/>
        <v>0</v>
      </c>
      <c r="H180" s="141">
        <f t="shared" si="128"/>
        <v>0</v>
      </c>
      <c r="I180" s="141">
        <f t="shared" si="128"/>
        <v>206826.49166666667</v>
      </c>
      <c r="J180" s="287">
        <f t="shared" si="128"/>
        <v>248191.79</v>
      </c>
      <c r="K180" s="287">
        <f t="shared" si="128"/>
        <v>248191.79</v>
      </c>
      <c r="L180" s="139"/>
      <c r="M180" s="139"/>
      <c r="N180" s="142"/>
      <c r="O180" s="141">
        <f>SUM(O179:O179)</f>
        <v>0</v>
      </c>
      <c r="P180" s="141">
        <f>SUM(P179:P179)</f>
        <v>0</v>
      </c>
      <c r="Q180" s="292"/>
      <c r="R180" s="337">
        <f>SUM(R179:R179)</f>
        <v>0</v>
      </c>
      <c r="S180" s="337">
        <f>SUM(S179:S179)</f>
        <v>0</v>
      </c>
      <c r="T180" s="337">
        <f>SUM(T179:T179)</f>
        <v>0</v>
      </c>
      <c r="U180" s="337">
        <f>SUM(U179:U179)</f>
        <v>0</v>
      </c>
      <c r="V180" s="337">
        <f>SUM(V179:V179)</f>
        <v>0</v>
      </c>
    </row>
    <row r="181" spans="1:24" ht="19.5" customHeight="1">
      <c r="A181" s="54" t="s">
        <v>149</v>
      </c>
      <c r="B181" s="54"/>
      <c r="C181" s="56"/>
      <c r="D181" s="57"/>
      <c r="E181" s="50">
        <f>274500/1.2</f>
        <v>228750</v>
      </c>
      <c r="F181" s="50">
        <f>-E181*$F$10</f>
        <v>0</v>
      </c>
      <c r="G181" s="50">
        <f>E181*$G$10</f>
        <v>0</v>
      </c>
      <c r="H181" s="50"/>
      <c r="I181" s="50">
        <f>+E181+F181-G181-H181</f>
        <v>228750</v>
      </c>
      <c r="J181" s="50">
        <f>+I181+(I181*$I$4)</f>
        <v>274500</v>
      </c>
      <c r="K181" s="50">
        <v>274500</v>
      </c>
      <c r="L181" s="51"/>
      <c r="M181" s="51"/>
      <c r="N181" s="52">
        <f>-IF(L181=0,,IF(M181=0,($C$10-L181),M181-L181))</f>
        <v>0</v>
      </c>
      <c r="O181" s="50">
        <f>+J181-K181</f>
        <v>0</v>
      </c>
      <c r="P181" s="50">
        <f>+IF($C$10&lt;L181,0,O181)</f>
        <v>0</v>
      </c>
      <c r="Q181" s="53"/>
      <c r="R181" s="316">
        <f>IF(N181&gt;=0,0,(IF(-N181&lt;=60,O181,0)))</f>
        <v>0</v>
      </c>
      <c r="S181" s="316">
        <f>IF(N181&gt;=0,0,(IF(N181&gt;=-60,0,IF(-60&gt;=N181,IF(N181&gt;=-120,O181,0)))))</f>
        <v>0</v>
      </c>
      <c r="T181" s="316">
        <f>IF(N181&gt;=0,0,(IF(N181&gt;-60,0,IF(-60&gt;=N181,IF(N181&gt;=-120,0,IF(N181&gt;=-180,O181,0))))))</f>
        <v>0</v>
      </c>
      <c r="U181" s="316">
        <f>IF(N181&gt;=0,0,(IF(N181&gt;-60,0,IF(-60&gt;=N181,IF(N181&gt;-120,0,IF(N181&gt;=-180,0,IF(N181&gt;=-365,O181,0)))))))</f>
        <v>0</v>
      </c>
      <c r="V181" s="316">
        <f>IF(N181&gt;=0,0,IF(365&lt;-N181,O181,0))</f>
        <v>0</v>
      </c>
    </row>
    <row r="182" spans="1:24" s="290" customFormat="1" ht="19.5" customHeight="1">
      <c r="A182" s="138"/>
      <c r="B182" s="138"/>
      <c r="C182" s="286"/>
      <c r="D182" s="140"/>
      <c r="E182" s="141">
        <f t="shared" ref="E182:K182" si="129">SUM(E181:E181)</f>
        <v>228750</v>
      </c>
      <c r="F182" s="141">
        <f t="shared" si="129"/>
        <v>0</v>
      </c>
      <c r="G182" s="141">
        <f t="shared" si="129"/>
        <v>0</v>
      </c>
      <c r="H182" s="141">
        <f t="shared" si="129"/>
        <v>0</v>
      </c>
      <c r="I182" s="141">
        <f t="shared" si="129"/>
        <v>228750</v>
      </c>
      <c r="J182" s="287">
        <f t="shared" si="129"/>
        <v>274500</v>
      </c>
      <c r="K182" s="287">
        <f t="shared" si="129"/>
        <v>274500</v>
      </c>
      <c r="L182" s="139"/>
      <c r="M182" s="139"/>
      <c r="N182" s="142"/>
      <c r="O182" s="141">
        <f>SUM(O181:O181)</f>
        <v>0</v>
      </c>
      <c r="P182" s="141">
        <f>SUM(P181:P181)</f>
        <v>0</v>
      </c>
      <c r="Q182" s="292"/>
      <c r="R182" s="337">
        <f>SUM(R181:R181)</f>
        <v>0</v>
      </c>
      <c r="S182" s="337">
        <f>SUM(S181:S181)</f>
        <v>0</v>
      </c>
      <c r="T182" s="337">
        <f>SUM(T181:T181)</f>
        <v>0</v>
      </c>
      <c r="U182" s="337">
        <f>SUM(U181:U181)</f>
        <v>0</v>
      </c>
      <c r="V182" s="337">
        <f>SUM(V181:V181)</f>
        <v>0</v>
      </c>
    </row>
    <row r="183" spans="1:24" ht="19.5" customHeight="1">
      <c r="A183" s="54" t="s">
        <v>182</v>
      </c>
      <c r="B183" s="54"/>
      <c r="C183" s="56"/>
      <c r="D183" s="57"/>
      <c r="E183" s="50">
        <f>40010.63/1.2</f>
        <v>33342.191666666666</v>
      </c>
      <c r="F183" s="50">
        <f>-E183*$F$10</f>
        <v>0</v>
      </c>
      <c r="G183" s="50">
        <f>E183*$G$10</f>
        <v>0</v>
      </c>
      <c r="H183" s="50"/>
      <c r="I183" s="50">
        <f>+E183+F183-G183-H183</f>
        <v>33342.191666666666</v>
      </c>
      <c r="J183" s="50">
        <f>+I183+(I183*$I$4)</f>
        <v>40010.629999999997</v>
      </c>
      <c r="K183" s="50">
        <v>40010.629999999997</v>
      </c>
      <c r="L183" s="51"/>
      <c r="M183" s="51"/>
      <c r="N183" s="52">
        <f>-IF(L183=0,,IF(M183=0,($C$10-L183),M183-L183))</f>
        <v>0</v>
      </c>
      <c r="O183" s="50">
        <f>+J183-K183</f>
        <v>0</v>
      </c>
      <c r="P183" s="50">
        <f>+IF($C$10&lt;L183,0,O183)</f>
        <v>0</v>
      </c>
      <c r="Q183" s="53"/>
      <c r="R183" s="316">
        <f>IF(N183&gt;=0,0,(IF(-N183&lt;=60,O183,0)))</f>
        <v>0</v>
      </c>
      <c r="S183" s="316">
        <f>IF(N183&gt;=0,0,(IF(N183&gt;=-60,0,IF(-60&gt;=N183,IF(N183&gt;=-120,O183,0)))))</f>
        <v>0</v>
      </c>
      <c r="T183" s="316">
        <f>IF(N183&gt;=0,0,(IF(N183&gt;-60,0,IF(-60&gt;=N183,IF(N183&gt;=-120,0,IF(N183&gt;=-180,O183,0))))))</f>
        <v>0</v>
      </c>
      <c r="U183" s="316">
        <f>IF(N183&gt;=0,0,(IF(N183&gt;-60,0,IF(-60&gt;=N183,IF(N183&gt;-120,0,IF(N183&gt;=-180,0,IF(N183&gt;=-365,O183,0)))))))</f>
        <v>0</v>
      </c>
      <c r="V183" s="316">
        <f>IF(N183&gt;=0,0,IF(365&lt;-N183,O183,0))</f>
        <v>0</v>
      </c>
    </row>
    <row r="184" spans="1:24" s="290" customFormat="1" ht="19.5" customHeight="1">
      <c r="A184" s="138"/>
      <c r="B184" s="138"/>
      <c r="C184" s="286"/>
      <c r="D184" s="140"/>
      <c r="E184" s="141">
        <f t="shared" ref="E184:K184" si="130">SUM(E183:E183)</f>
        <v>33342.191666666666</v>
      </c>
      <c r="F184" s="141">
        <f t="shared" si="130"/>
        <v>0</v>
      </c>
      <c r="G184" s="141">
        <f t="shared" si="130"/>
        <v>0</v>
      </c>
      <c r="H184" s="141">
        <f t="shared" si="130"/>
        <v>0</v>
      </c>
      <c r="I184" s="141">
        <f t="shared" si="130"/>
        <v>33342.191666666666</v>
      </c>
      <c r="J184" s="287">
        <f t="shared" si="130"/>
        <v>40010.629999999997</v>
      </c>
      <c r="K184" s="287">
        <f t="shared" si="130"/>
        <v>40010.629999999997</v>
      </c>
      <c r="L184" s="139"/>
      <c r="M184" s="139"/>
      <c r="N184" s="142"/>
      <c r="O184" s="141">
        <f>SUM(O183:O183)</f>
        <v>0</v>
      </c>
      <c r="P184" s="141">
        <f>SUM(P183:P183)</f>
        <v>0</v>
      </c>
      <c r="Q184" s="292"/>
      <c r="R184" s="337">
        <f>SUM(R183:R183)</f>
        <v>0</v>
      </c>
      <c r="S184" s="337">
        <f>SUM(S183:S183)</f>
        <v>0</v>
      </c>
      <c r="T184" s="337">
        <f>SUM(T183:T183)</f>
        <v>0</v>
      </c>
      <c r="U184" s="337">
        <f>SUM(U183:U183)</f>
        <v>0</v>
      </c>
      <c r="V184" s="337">
        <f>SUM(V183:V183)</f>
        <v>0</v>
      </c>
    </row>
    <row r="185" spans="1:24" ht="19.5" customHeight="1">
      <c r="A185" s="54" t="s">
        <v>183</v>
      </c>
      <c r="B185" s="54"/>
      <c r="C185" s="56"/>
      <c r="D185" s="57"/>
      <c r="E185" s="50">
        <f>39966.62/1.2</f>
        <v>33305.51666666667</v>
      </c>
      <c r="F185" s="50">
        <f>-E185*$F$10</f>
        <v>0</v>
      </c>
      <c r="G185" s="50">
        <f>E185*$G$10</f>
        <v>0</v>
      </c>
      <c r="H185" s="50"/>
      <c r="I185" s="50">
        <f>+E185+F185-G185-H185</f>
        <v>33305.51666666667</v>
      </c>
      <c r="J185" s="50">
        <f>+I185+(I185*$I$4)</f>
        <v>39966.620000000003</v>
      </c>
      <c r="K185" s="50">
        <v>39966.620000000003</v>
      </c>
      <c r="L185" s="51"/>
      <c r="M185" s="51"/>
      <c r="N185" s="52">
        <f>-IF(L185=0,,IF(M185=0,($C$10-L185),M185-L185))</f>
        <v>0</v>
      </c>
      <c r="O185" s="50">
        <f>+J185-K185</f>
        <v>0</v>
      </c>
      <c r="P185" s="50">
        <f>+IF($C$10&lt;L185,0,O185)</f>
        <v>0</v>
      </c>
      <c r="Q185" s="53"/>
      <c r="R185" s="316">
        <f>IF(N185&gt;=0,0,(IF(-N185&lt;=60,O185,0)))</f>
        <v>0</v>
      </c>
      <c r="S185" s="316">
        <f>IF(N185&gt;=0,0,(IF(N185&gt;=-60,0,IF(-60&gt;=N185,IF(N185&gt;=-120,O185,0)))))</f>
        <v>0</v>
      </c>
      <c r="T185" s="316">
        <f>IF(N185&gt;=0,0,(IF(N185&gt;-60,0,IF(-60&gt;=N185,IF(N185&gt;=-120,0,IF(N185&gt;=-180,O185,0))))))</f>
        <v>0</v>
      </c>
      <c r="U185" s="316">
        <f>IF(N185&gt;=0,0,(IF(N185&gt;-60,0,IF(-60&gt;=N185,IF(N185&gt;-120,0,IF(N185&gt;=-180,0,IF(N185&gt;=-365,O185,0)))))))</f>
        <v>0</v>
      </c>
      <c r="V185" s="316">
        <f>IF(N185&gt;=0,0,IF(365&lt;-N185,O185,0))</f>
        <v>0</v>
      </c>
    </row>
    <row r="186" spans="1:24" s="290" customFormat="1" ht="19.5" customHeight="1">
      <c r="A186" s="138"/>
      <c r="B186" s="138"/>
      <c r="C186" s="286"/>
      <c r="D186" s="140"/>
      <c r="E186" s="141">
        <f t="shared" ref="E186:K186" si="131">SUM(E185:E185)</f>
        <v>33305.51666666667</v>
      </c>
      <c r="F186" s="141">
        <f t="shared" si="131"/>
        <v>0</v>
      </c>
      <c r="G186" s="141">
        <f t="shared" si="131"/>
        <v>0</v>
      </c>
      <c r="H186" s="141">
        <f t="shared" si="131"/>
        <v>0</v>
      </c>
      <c r="I186" s="141">
        <f t="shared" si="131"/>
        <v>33305.51666666667</v>
      </c>
      <c r="J186" s="287">
        <f t="shared" si="131"/>
        <v>39966.620000000003</v>
      </c>
      <c r="K186" s="287">
        <f t="shared" si="131"/>
        <v>39966.620000000003</v>
      </c>
      <c r="L186" s="139"/>
      <c r="M186" s="139"/>
      <c r="N186" s="142"/>
      <c r="O186" s="141">
        <f>SUM(O185:O185)</f>
        <v>0</v>
      </c>
      <c r="P186" s="141">
        <f>SUM(P185:P185)</f>
        <v>0</v>
      </c>
      <c r="Q186" s="292"/>
      <c r="R186" s="337">
        <f>SUM(R185:R185)</f>
        <v>0</v>
      </c>
      <c r="S186" s="337">
        <f>SUM(S185:S185)</f>
        <v>0</v>
      </c>
      <c r="T186" s="337">
        <f>SUM(T185:T185)</f>
        <v>0</v>
      </c>
      <c r="U186" s="337">
        <f>SUM(U185:U185)</f>
        <v>0</v>
      </c>
      <c r="V186" s="337">
        <f>SUM(V185:V185)</f>
        <v>0</v>
      </c>
    </row>
    <row r="187" spans="1:24" ht="19.5" customHeight="1">
      <c r="A187" s="54" t="s">
        <v>184</v>
      </c>
      <c r="B187" s="54"/>
      <c r="C187" s="56"/>
      <c r="D187" s="57"/>
      <c r="E187" s="50">
        <f>20014.75/1.2</f>
        <v>16678.958333333336</v>
      </c>
      <c r="F187" s="50">
        <f>-E187*$F$10</f>
        <v>0</v>
      </c>
      <c r="G187" s="50">
        <f>E187*$G$10</f>
        <v>0</v>
      </c>
      <c r="H187" s="50"/>
      <c r="I187" s="50">
        <f>+E187+F187-G187-H187</f>
        <v>16678.958333333336</v>
      </c>
      <c r="J187" s="50">
        <f>+I187+(I187*$I$4)</f>
        <v>20014.750000000004</v>
      </c>
      <c r="K187" s="50">
        <v>20014.750000000004</v>
      </c>
      <c r="L187" s="51"/>
      <c r="M187" s="51"/>
      <c r="N187" s="52">
        <f>-IF(L187=0,,IF(M187=0,($C$10-L187),M187-L187))</f>
        <v>0</v>
      </c>
      <c r="O187" s="50">
        <f>+J187-K187</f>
        <v>0</v>
      </c>
      <c r="P187" s="50">
        <f>+IF($C$10&lt;L187,0,O187)</f>
        <v>0</v>
      </c>
      <c r="Q187" s="53"/>
      <c r="R187" s="316">
        <f>IF(N187&gt;=0,0,(IF(-N187&lt;=60,O187,0)))</f>
        <v>0</v>
      </c>
      <c r="S187" s="316">
        <f>IF(N187&gt;=0,0,(IF(N187&gt;=-60,0,IF(-60&gt;=N187,IF(N187&gt;=-120,O187,0)))))</f>
        <v>0</v>
      </c>
      <c r="T187" s="316">
        <f>IF(N187&gt;=0,0,(IF(N187&gt;-60,0,IF(-60&gt;=N187,IF(N187&gt;=-120,0,IF(N187&gt;=-180,O187,0))))))</f>
        <v>0</v>
      </c>
      <c r="U187" s="316">
        <f>IF(N187&gt;=0,0,(IF(N187&gt;-60,0,IF(-60&gt;=N187,IF(N187&gt;-120,0,IF(N187&gt;=-180,0,IF(N187&gt;=-365,O187,0)))))))</f>
        <v>0</v>
      </c>
      <c r="V187" s="316">
        <f>IF(N187&gt;=0,0,IF(365&lt;-N187,O187,0))</f>
        <v>0</v>
      </c>
    </row>
    <row r="188" spans="1:24" s="290" customFormat="1" ht="19.5" customHeight="1">
      <c r="A188" s="138"/>
      <c r="B188" s="138"/>
      <c r="C188" s="286"/>
      <c r="D188" s="140"/>
      <c r="E188" s="141">
        <f t="shared" ref="E188:K188" si="132">SUM(E187:E187)</f>
        <v>16678.958333333336</v>
      </c>
      <c r="F188" s="141">
        <f t="shared" si="132"/>
        <v>0</v>
      </c>
      <c r="G188" s="141">
        <f t="shared" si="132"/>
        <v>0</v>
      </c>
      <c r="H188" s="141">
        <f t="shared" si="132"/>
        <v>0</v>
      </c>
      <c r="I188" s="141">
        <f t="shared" si="132"/>
        <v>16678.958333333336</v>
      </c>
      <c r="J188" s="287">
        <f t="shared" si="132"/>
        <v>20014.750000000004</v>
      </c>
      <c r="K188" s="287">
        <f t="shared" si="132"/>
        <v>20014.750000000004</v>
      </c>
      <c r="L188" s="139"/>
      <c r="M188" s="139"/>
      <c r="N188" s="142"/>
      <c r="O188" s="141">
        <f>SUM(O187:O187)</f>
        <v>0</v>
      </c>
      <c r="P188" s="141">
        <f>SUM(P187:P187)</f>
        <v>0</v>
      </c>
      <c r="Q188" s="292"/>
      <c r="R188" s="337">
        <f>SUM(R187:R187)</f>
        <v>0</v>
      </c>
      <c r="S188" s="337">
        <f>SUM(S187:S187)</f>
        <v>0</v>
      </c>
      <c r="T188" s="337">
        <f>SUM(T187:T187)</f>
        <v>0</v>
      </c>
      <c r="U188" s="337">
        <f>SUM(U187:U187)</f>
        <v>0</v>
      </c>
      <c r="V188" s="337">
        <f>SUM(V187:V187)</f>
        <v>0</v>
      </c>
    </row>
    <row r="189" spans="1:24" ht="19.5" customHeight="1">
      <c r="A189" s="54" t="s">
        <v>185</v>
      </c>
      <c r="B189" s="54"/>
      <c r="C189" s="56"/>
      <c r="D189" s="57"/>
      <c r="E189" s="50">
        <v>13653753.380000001</v>
      </c>
      <c r="F189" s="50">
        <f>-E189*$F$10</f>
        <v>0</v>
      </c>
      <c r="G189" s="50">
        <f>E189*$G$10</f>
        <v>0</v>
      </c>
      <c r="H189" s="50"/>
      <c r="I189" s="50">
        <f>+E189+F189-G189-H189</f>
        <v>13653753.380000001</v>
      </c>
      <c r="J189" s="50">
        <f>+I189+(I189*$I$4)</f>
        <v>16384504.056000002</v>
      </c>
      <c r="K189" s="50">
        <v>16384504.056000002</v>
      </c>
      <c r="L189" s="51"/>
      <c r="M189" s="51"/>
      <c r="N189" s="52">
        <f>-IF(L189=0,,IF(M189=0,($C$10-L189),M189-L189))</f>
        <v>0</v>
      </c>
      <c r="O189" s="50">
        <f>+J189-K189</f>
        <v>0</v>
      </c>
      <c r="P189" s="50">
        <f>+IF($C$10&lt;L189,0,O189)</f>
        <v>0</v>
      </c>
      <c r="Q189" s="53"/>
      <c r="R189" s="316">
        <f>IF(N189&gt;=0,0,(IF(-N189&lt;=60,O189,0)))</f>
        <v>0</v>
      </c>
      <c r="S189" s="316">
        <f>IF(N189&gt;=0,0,(IF(N189&gt;=-60,0,IF(-60&gt;=N189,IF(N189&gt;=-120,O189,0)))))</f>
        <v>0</v>
      </c>
      <c r="T189" s="316">
        <f>IF(N189&gt;=0,0,(IF(N189&gt;-60,0,IF(-60&gt;=N189,IF(N189&gt;=-120,0,IF(N189&gt;=-180,O189,0))))))</f>
        <v>0</v>
      </c>
      <c r="U189" s="316">
        <f>IF(N189&gt;=0,0,(IF(N189&gt;-60,0,IF(-60&gt;=N189,IF(N189&gt;-120,0,IF(N189&gt;=-180,0,IF(N189&gt;=-365,O189,0)))))))</f>
        <v>0</v>
      </c>
      <c r="V189" s="316">
        <f>IF(N189&gt;=0,0,IF(365&lt;-N189,O189,0))</f>
        <v>0</v>
      </c>
    </row>
    <row r="190" spans="1:24" s="290" customFormat="1" ht="19.5" customHeight="1">
      <c r="A190" s="138"/>
      <c r="B190" s="138"/>
      <c r="C190" s="286"/>
      <c r="D190" s="140"/>
      <c r="E190" s="141">
        <f t="shared" ref="E190:K190" si="133">SUM(E189:E189)</f>
        <v>13653753.380000001</v>
      </c>
      <c r="F190" s="141">
        <f t="shared" si="133"/>
        <v>0</v>
      </c>
      <c r="G190" s="141">
        <f t="shared" si="133"/>
        <v>0</v>
      </c>
      <c r="H190" s="141">
        <f t="shared" si="133"/>
        <v>0</v>
      </c>
      <c r="I190" s="141">
        <f t="shared" si="133"/>
        <v>13653753.380000001</v>
      </c>
      <c r="J190" s="287">
        <f t="shared" si="133"/>
        <v>16384504.056000002</v>
      </c>
      <c r="K190" s="287">
        <f t="shared" si="133"/>
        <v>16384504.056000002</v>
      </c>
      <c r="L190" s="139"/>
      <c r="M190" s="139"/>
      <c r="N190" s="142"/>
      <c r="O190" s="141">
        <f>SUM(O189:O189)</f>
        <v>0</v>
      </c>
      <c r="P190" s="141">
        <f>SUM(P189:P189)</f>
        <v>0</v>
      </c>
      <c r="Q190" s="292"/>
      <c r="R190" s="337">
        <f>SUM(R189:R189)</f>
        <v>0</v>
      </c>
      <c r="S190" s="337">
        <f>SUM(S189:S189)</f>
        <v>0</v>
      </c>
      <c r="T190" s="337">
        <f>SUM(T189:T189)</f>
        <v>0</v>
      </c>
      <c r="U190" s="337">
        <f>SUM(U189:U189)</f>
        <v>0</v>
      </c>
      <c r="V190" s="337">
        <f>SUM(V189:V189)</f>
        <v>0</v>
      </c>
    </row>
    <row r="191" spans="1:24" s="290" customFormat="1" ht="18.75" customHeight="1">
      <c r="A191" s="138"/>
      <c r="B191" s="387" t="s">
        <v>186</v>
      </c>
      <c r="C191" s="388"/>
      <c r="D191" s="389"/>
      <c r="E191" s="295">
        <f>SUM(E190,E188,E186,E184,E182,E180,E178,E173,E171,E169,E167,E165,E163,E161,E159,E157,E155,E153,E151,E149,E147,E145,E143,E141,E139,E137,E135,E133,E131,E129,E127,E125)</f>
        <v>23644106.773333333</v>
      </c>
      <c r="F191" s="295">
        <f t="shared" ref="F191:K191" si="134">SUM(F190,F188,F186,F184,F182,F180,F178,F173,F171,F169,F167,F165,F163,F161,F159,F157,F155,F153,F151,F149,F147,F145,F143,F141,F139,F137,F135,F133,F131,F129,F127,F125)</f>
        <v>0</v>
      </c>
      <c r="G191" s="295">
        <f t="shared" si="134"/>
        <v>0</v>
      </c>
      <c r="H191" s="295">
        <f t="shared" si="134"/>
        <v>0</v>
      </c>
      <c r="I191" s="295">
        <f t="shared" si="134"/>
        <v>23644106.773333333</v>
      </c>
      <c r="J191" s="295">
        <f t="shared" si="134"/>
        <v>28372928.128000006</v>
      </c>
      <c r="K191" s="295">
        <f t="shared" si="134"/>
        <v>28100647.468000006</v>
      </c>
      <c r="L191" s="139"/>
      <c r="M191" s="139"/>
      <c r="N191" s="142"/>
      <c r="O191" s="141">
        <f t="shared" ref="O191:P191" si="135">SUM(O190,O188,O186,O184,O182,O180,O178,O173,O171,O169,O167,O165,O163,O161,O159,O157,O155,O153,O151,O149,O147,O145,O143,O141,O139,O137,O135,O133,O131,O129,O127,O125)</f>
        <v>272280.66000000003</v>
      </c>
      <c r="P191" s="141">
        <f t="shared" si="135"/>
        <v>272280.66000000003</v>
      </c>
      <c r="Q191" s="292"/>
      <c r="R191" s="337">
        <f t="shared" ref="R191:V191" si="136">SUM(R190,R188,R186,R184,R182,R180,R178,R173,R171,R169,R167,R165,R163,R161,R159,R157,R155,R153,R151,R149,R147,R145,R143,R141,R139,R137,R135,R133,R131,R129,R127,R125)</f>
        <v>0</v>
      </c>
      <c r="S191" s="337">
        <f t="shared" si="136"/>
        <v>0</v>
      </c>
      <c r="T191" s="337">
        <f t="shared" si="136"/>
        <v>36351.08</v>
      </c>
      <c r="U191" s="337">
        <f t="shared" si="136"/>
        <v>0</v>
      </c>
      <c r="V191" s="337">
        <f t="shared" si="136"/>
        <v>238738.31000000006</v>
      </c>
      <c r="X191" s="296">
        <f>+V191-272300.67</f>
        <v>-33562.359999999928</v>
      </c>
    </row>
    <row r="192" spans="1:24" ht="19.5" customHeight="1">
      <c r="A192" s="279" t="s">
        <v>187</v>
      </c>
      <c r="B192" s="55"/>
      <c r="C192" s="56"/>
      <c r="D192" s="57"/>
      <c r="E192" s="50"/>
      <c r="F192" s="50"/>
      <c r="G192" s="50"/>
      <c r="H192" s="50"/>
      <c r="I192" s="50"/>
      <c r="J192" s="50"/>
      <c r="K192" s="50"/>
      <c r="L192" s="51"/>
      <c r="M192" s="51"/>
      <c r="N192" s="59"/>
      <c r="O192" s="50"/>
      <c r="P192" s="55">
        <f>+IF($C$10&lt;L192,0,O192)</f>
        <v>0</v>
      </c>
      <c r="Q192" s="53"/>
      <c r="R192" s="285"/>
      <c r="S192" s="285"/>
      <c r="T192" s="285"/>
      <c r="U192" s="285"/>
      <c r="V192" s="285"/>
    </row>
    <row r="193" spans="1:24" ht="19.5" customHeight="1">
      <c r="A193" s="54" t="s">
        <v>169</v>
      </c>
      <c r="B193" s="55"/>
      <c r="C193" s="284">
        <v>37286</v>
      </c>
      <c r="D193" s="57"/>
      <c r="E193" s="50">
        <f>57896.44/1.2</f>
        <v>48247.03333333334</v>
      </c>
      <c r="F193" s="50">
        <v>0</v>
      </c>
      <c r="G193" s="50">
        <v>0</v>
      </c>
      <c r="H193" s="50"/>
      <c r="I193" s="50">
        <f t="shared" ref="I193:I194" si="137">+E193+F193-G193-H193</f>
        <v>48247.03333333334</v>
      </c>
      <c r="J193" s="50">
        <f t="shared" ref="J193:J194" si="138">+I193+(I193*$I$4)</f>
        <v>57896.44000000001</v>
      </c>
      <c r="K193" s="50"/>
      <c r="L193" s="51">
        <v>37376</v>
      </c>
      <c r="M193" s="51"/>
      <c r="N193" s="52">
        <f t="shared" ref="N193:N194" si="139">-IF(L193=0,,IF(M193=0,($C$10-L193),M193-L193))</f>
        <v>-5718</v>
      </c>
      <c r="O193" s="50">
        <f t="shared" ref="O193:O194" si="140">+J193-K193</f>
        <v>57896.44000000001</v>
      </c>
      <c r="P193" s="50">
        <f t="shared" ref="P193:P194" si="141">+IF($C$10&lt;L193,0,O193)</f>
        <v>57896.44000000001</v>
      </c>
      <c r="Q193" s="53"/>
      <c r="R193" s="316">
        <f>IF(N193&gt;=0,0,(IF(-N193&lt;=60,O193,0)))</f>
        <v>0</v>
      </c>
      <c r="S193" s="316">
        <f t="shared" ref="S193:S194" si="142">IF(N193&gt;=0,0,(IF(N193&gt;=-60,0,IF(-60&gt;=N193,IF(N193&gt;=-120,O193,0)))))</f>
        <v>0</v>
      </c>
      <c r="T193" s="316">
        <f t="shared" ref="T193:T194" si="143">IF(N193&gt;=0,0,(IF(N193&gt;-60,0,IF(-60&gt;=N193,IF(N193&gt;=-120,0,IF(N193&gt;=-180,O193,0))))))</f>
        <v>0</v>
      </c>
      <c r="U193" s="316">
        <f t="shared" ref="U193:U194" si="144">IF(N193&gt;=0,0,(IF(N193&gt;-60,0,IF(-60&gt;=N193,IF(N193&gt;-120,0,IF(N193&gt;=-180,0,IF(N193&gt;=-365,O193,0)))))))</f>
        <v>0</v>
      </c>
      <c r="V193" s="316">
        <f>IF(N193&gt;=0,0,IF(365&lt;-N193,O193,0))</f>
        <v>57896.44000000001</v>
      </c>
    </row>
    <row r="194" spans="1:24" ht="19.5" customHeight="1">
      <c r="A194" s="54" t="s">
        <v>169</v>
      </c>
      <c r="B194" s="55"/>
      <c r="C194" s="284">
        <v>37315</v>
      </c>
      <c r="D194" s="57"/>
      <c r="E194" s="50">
        <f>18222.6/1.2</f>
        <v>15185.5</v>
      </c>
      <c r="F194" s="50">
        <v>0</v>
      </c>
      <c r="G194" s="50">
        <v>0</v>
      </c>
      <c r="H194" s="50"/>
      <c r="I194" s="50">
        <f t="shared" si="137"/>
        <v>15185.5</v>
      </c>
      <c r="J194" s="50">
        <f t="shared" si="138"/>
        <v>18222.599999999999</v>
      </c>
      <c r="K194" s="50"/>
      <c r="L194" s="51">
        <v>37406</v>
      </c>
      <c r="M194" s="51"/>
      <c r="N194" s="52">
        <f t="shared" si="139"/>
        <v>-5688</v>
      </c>
      <c r="O194" s="50">
        <f t="shared" si="140"/>
        <v>18222.599999999999</v>
      </c>
      <c r="P194" s="50">
        <f t="shared" si="141"/>
        <v>18222.599999999999</v>
      </c>
      <c r="Q194" s="53"/>
      <c r="R194" s="316">
        <f t="shared" ref="R194" si="145">IF(N194&gt;=0,0,(IF(-N194&lt;=60,O194,0)))</f>
        <v>0</v>
      </c>
      <c r="S194" s="316">
        <f t="shared" si="142"/>
        <v>0</v>
      </c>
      <c r="T194" s="316">
        <f t="shared" si="143"/>
        <v>0</v>
      </c>
      <c r="U194" s="316">
        <f t="shared" si="144"/>
        <v>0</v>
      </c>
      <c r="V194" s="316">
        <f t="shared" ref="V194" si="146">IF(N194&gt;=0,0,IF(365&lt;-N194,O194,0))</f>
        <v>18222.599999999999</v>
      </c>
    </row>
    <row r="195" spans="1:24" s="290" customFormat="1" ht="19.5" customHeight="1">
      <c r="A195" s="138"/>
      <c r="B195" s="143"/>
      <c r="C195" s="286"/>
      <c r="D195" s="140"/>
      <c r="E195" s="141">
        <f t="shared" ref="E195:K195" si="147">SUM(E193:E194)</f>
        <v>63432.53333333334</v>
      </c>
      <c r="F195" s="141">
        <f t="shared" si="147"/>
        <v>0</v>
      </c>
      <c r="G195" s="141">
        <f t="shared" si="147"/>
        <v>0</v>
      </c>
      <c r="H195" s="141">
        <f t="shared" si="147"/>
        <v>0</v>
      </c>
      <c r="I195" s="141">
        <f t="shared" si="147"/>
        <v>63432.53333333334</v>
      </c>
      <c r="J195" s="141">
        <f t="shared" si="147"/>
        <v>76119.040000000008</v>
      </c>
      <c r="K195" s="141">
        <f t="shared" si="147"/>
        <v>0</v>
      </c>
      <c r="L195" s="139"/>
      <c r="M195" s="139"/>
      <c r="N195" s="142"/>
      <c r="O195" s="141">
        <f>SUM(O193:O194)</f>
        <v>76119.040000000008</v>
      </c>
      <c r="P195" s="141">
        <f>SUM(P193:P194)</f>
        <v>76119.040000000008</v>
      </c>
      <c r="Q195" s="288"/>
      <c r="R195" s="289">
        <f>SUM(R193:R194)</f>
        <v>0</v>
      </c>
      <c r="S195" s="289">
        <f>SUM(S193:S194)</f>
        <v>0</v>
      </c>
      <c r="T195" s="289">
        <f>SUM(T193:T194)</f>
        <v>0</v>
      </c>
      <c r="U195" s="289">
        <f>SUM(U193:U194)</f>
        <v>0</v>
      </c>
      <c r="V195" s="289">
        <f>SUM(V193:V194)</f>
        <v>76119.040000000008</v>
      </c>
    </row>
    <row r="196" spans="1:24" ht="19.5" customHeight="1">
      <c r="A196" s="54" t="s">
        <v>188</v>
      </c>
      <c r="B196" s="55"/>
      <c r="C196" s="284">
        <v>37529</v>
      </c>
      <c r="D196" s="57"/>
      <c r="E196" s="50">
        <f>36515.84/1.2</f>
        <v>30429.866666666665</v>
      </c>
      <c r="F196" s="50">
        <f>-E196*$F$10</f>
        <v>0</v>
      </c>
      <c r="G196" s="50">
        <f>E196*$G$10</f>
        <v>0</v>
      </c>
      <c r="H196" s="50"/>
      <c r="I196" s="50">
        <f>+E196+F196-G196-H196</f>
        <v>30429.866666666665</v>
      </c>
      <c r="J196" s="50">
        <f>+I196+(I196*$I$4)</f>
        <v>36515.839999999997</v>
      </c>
      <c r="K196" s="50"/>
      <c r="L196" s="51">
        <v>37600</v>
      </c>
      <c r="M196" s="51"/>
      <c r="N196" s="52">
        <f>-IF(L196=0,,IF(M196=0,($C$10-L196),M196-L196))</f>
        <v>-5494</v>
      </c>
      <c r="O196" s="50">
        <f>+J196-K196</f>
        <v>36515.839999999997</v>
      </c>
      <c r="P196" s="50">
        <f>+IF($C$10&lt;L196,0,O196)</f>
        <v>36515.839999999997</v>
      </c>
      <c r="Q196" s="53"/>
      <c r="R196" s="316">
        <f>IF(N196&gt;=0,0,(IF(-N196&lt;=60,O196,0)))</f>
        <v>0</v>
      </c>
      <c r="S196" s="316">
        <f>IF(N196&gt;=0,0,(IF(N196&gt;=-60,0,IF(-60&gt;=N196,IF(N196&gt;=-120,O196,0)))))</f>
        <v>0</v>
      </c>
      <c r="T196" s="316">
        <f>IF(N196&gt;=0,0,(IF(N196&gt;-60,0,IF(-60&gt;=N196,IF(N196&gt;=-120,0,IF(N196&gt;=-180,O196,0))))))</f>
        <v>0</v>
      </c>
      <c r="U196" s="316">
        <f>IF(N196&gt;=0,0,(IF(N196&gt;-60,0,IF(-60&gt;=N196,IF(N196&gt;-120,0,IF(N196&gt;=-180,0,IF(N196&gt;=-365,O196,0)))))))</f>
        <v>0</v>
      </c>
      <c r="V196" s="316">
        <f>IF(N196&gt;=0,0,IF(365&lt;-N196,O196,0))</f>
        <v>36515.839999999997</v>
      </c>
    </row>
    <row r="197" spans="1:24" ht="19.5" customHeight="1">
      <c r="A197" s="54" t="s">
        <v>188</v>
      </c>
      <c r="B197" s="55"/>
      <c r="C197" s="284">
        <v>37559</v>
      </c>
      <c r="D197" s="57"/>
      <c r="E197" s="50">
        <f>39850.23/1.2</f>
        <v>33208.525000000001</v>
      </c>
      <c r="F197" s="50">
        <f>-E197*$F$10</f>
        <v>0</v>
      </c>
      <c r="G197" s="50">
        <f>E197*$G$10</f>
        <v>0</v>
      </c>
      <c r="H197" s="50"/>
      <c r="I197" s="50">
        <f>+E197+F197-G197-H197</f>
        <v>33208.525000000001</v>
      </c>
      <c r="J197" s="50">
        <f>+I197+(I197*$I$4)</f>
        <v>39850.230000000003</v>
      </c>
      <c r="K197" s="50"/>
      <c r="L197" s="51">
        <v>37631</v>
      </c>
      <c r="M197" s="51"/>
      <c r="N197" s="52">
        <f>-IF(L197=0,,IF(M197=0,($C$10-L197),M197-L197))</f>
        <v>-5463</v>
      </c>
      <c r="O197" s="50">
        <f>+J197-K197</f>
        <v>39850.230000000003</v>
      </c>
      <c r="P197" s="50">
        <f>+IF($C$10&lt;L197,0,O197)</f>
        <v>39850.230000000003</v>
      </c>
      <c r="Q197" s="53"/>
      <c r="R197" s="316">
        <f>IF(N197&gt;=0,0,(IF(-N197&lt;=60,O197,0)))</f>
        <v>0</v>
      </c>
      <c r="S197" s="316">
        <f>IF(N197&gt;=0,0,(IF(N197&gt;=-60,0,IF(-60&gt;=N197,IF(N197&gt;=-120,O197,0)))))</f>
        <v>0</v>
      </c>
      <c r="T197" s="316">
        <f>IF(N197&gt;=0,0,(IF(N197&gt;-60,0,IF(-60&gt;=N197,IF(N197&gt;=-120,0,IF(N197&gt;=-180,O197,0))))))</f>
        <v>0</v>
      </c>
      <c r="U197" s="316">
        <f>IF(N197&gt;=0,0,(IF(N197&gt;-60,0,IF(-60&gt;=N197,IF(N197&gt;-120,0,IF(N197&gt;=-180,0,IF(N197&gt;=-365,O197,0)))))))</f>
        <v>0</v>
      </c>
      <c r="V197" s="316">
        <f>IF(N197&gt;=0,0,IF(365&lt;-N197,O197,0))</f>
        <v>39850.230000000003</v>
      </c>
    </row>
    <row r="198" spans="1:24" s="290" customFormat="1" ht="19.5" customHeight="1">
      <c r="A198" s="138"/>
      <c r="B198" s="143"/>
      <c r="C198" s="286"/>
      <c r="D198" s="140"/>
      <c r="E198" s="141">
        <f>SUM(E196:E197)</f>
        <v>63638.391666666663</v>
      </c>
      <c r="F198" s="141">
        <f t="shared" ref="F198:K198" si="148">SUM(F196:F197)</f>
        <v>0</v>
      </c>
      <c r="G198" s="141">
        <f t="shared" si="148"/>
        <v>0</v>
      </c>
      <c r="H198" s="141">
        <f t="shared" si="148"/>
        <v>0</v>
      </c>
      <c r="I198" s="141">
        <f t="shared" si="148"/>
        <v>63638.391666666663</v>
      </c>
      <c r="J198" s="141">
        <f t="shared" si="148"/>
        <v>76366.070000000007</v>
      </c>
      <c r="K198" s="141">
        <f t="shared" si="148"/>
        <v>0</v>
      </c>
      <c r="L198" s="139"/>
      <c r="M198" s="139"/>
      <c r="N198" s="142"/>
      <c r="O198" s="141">
        <f>SUM(O196:O197)</f>
        <v>76366.070000000007</v>
      </c>
      <c r="P198" s="141">
        <f>SUM(P196:P197)</f>
        <v>76366.070000000007</v>
      </c>
      <c r="Q198" s="288"/>
      <c r="R198" s="289">
        <f>SUM(R196:R197)</f>
        <v>0</v>
      </c>
      <c r="S198" s="289">
        <f t="shared" ref="S198:V198" si="149">SUM(S196:S197)</f>
        <v>0</v>
      </c>
      <c r="T198" s="289">
        <f t="shared" si="149"/>
        <v>0</v>
      </c>
      <c r="U198" s="289">
        <f t="shared" si="149"/>
        <v>0</v>
      </c>
      <c r="V198" s="289">
        <f t="shared" si="149"/>
        <v>76366.070000000007</v>
      </c>
    </row>
    <row r="199" spans="1:24" ht="19.5" customHeight="1">
      <c r="A199" s="54" t="s">
        <v>189</v>
      </c>
      <c r="B199" s="55"/>
      <c r="C199" s="291"/>
      <c r="D199" s="57"/>
      <c r="E199" s="50">
        <f>21389.06/1.2</f>
        <v>17824.216666666667</v>
      </c>
      <c r="F199" s="50">
        <f>-E199*$F$10</f>
        <v>0</v>
      </c>
      <c r="G199" s="50">
        <f>E199*$G$10</f>
        <v>0</v>
      </c>
      <c r="H199" s="50"/>
      <c r="I199" s="50">
        <f>+E199+F199-G199-H199</f>
        <v>17824.216666666667</v>
      </c>
      <c r="J199" s="50">
        <f>+I199+(I199*$I$4)</f>
        <v>21389.06</v>
      </c>
      <c r="K199" s="50">
        <v>23100</v>
      </c>
      <c r="L199" s="51"/>
      <c r="M199" s="51"/>
      <c r="N199" s="52">
        <f>-IF(L199=0,,IF(M199=0,($C$10-L199),M199-L199))</f>
        <v>0</v>
      </c>
      <c r="O199" s="50">
        <f>+J199-K199</f>
        <v>-1710.9399999999987</v>
      </c>
      <c r="P199" s="50">
        <f>+IF($C$10&lt;L199,0,O199)</f>
        <v>-1710.9399999999987</v>
      </c>
      <c r="Q199" s="53"/>
      <c r="R199" s="316">
        <f>IF(N199&gt;=0,0,(IF(-N199&lt;=60,O199,0)))</f>
        <v>0</v>
      </c>
      <c r="S199" s="316">
        <f>IF(N199&gt;=0,0,(IF(N199&gt;=-60,0,IF(-60&gt;=N199,IF(N199&gt;=-120,O199,0)))))</f>
        <v>0</v>
      </c>
      <c r="T199" s="316">
        <f>IF(N199&gt;=0,0,(IF(N199&gt;-60,0,IF(-60&gt;=N199,IF(N199&gt;=-120,0,IF(N199&gt;=-180,O199,0))))))</f>
        <v>0</v>
      </c>
      <c r="U199" s="316">
        <f>IF(N199&gt;=0,0,(IF(N199&gt;-60,0,IF(-60&gt;=N199,IF(N199&gt;-120,0,IF(N199&gt;=-180,0,IF(N199&gt;=-365,O199,0)))))))</f>
        <v>0</v>
      </c>
      <c r="V199" s="316">
        <f>IF(N199&gt;=0,0,IF(365&lt;-N199,O199,0))</f>
        <v>0</v>
      </c>
    </row>
    <row r="200" spans="1:24" s="290" customFormat="1" ht="19.5" customHeight="1">
      <c r="A200" s="138"/>
      <c r="B200" s="143"/>
      <c r="C200" s="286"/>
      <c r="D200" s="140"/>
      <c r="E200" s="141">
        <f t="shared" ref="E200:K200" si="150">SUM(E199:E199)</f>
        <v>17824.216666666667</v>
      </c>
      <c r="F200" s="141">
        <f t="shared" si="150"/>
        <v>0</v>
      </c>
      <c r="G200" s="141">
        <f t="shared" si="150"/>
        <v>0</v>
      </c>
      <c r="H200" s="141">
        <f t="shared" si="150"/>
        <v>0</v>
      </c>
      <c r="I200" s="141">
        <f t="shared" si="150"/>
        <v>17824.216666666667</v>
      </c>
      <c r="J200" s="287">
        <f t="shared" si="150"/>
        <v>21389.06</v>
      </c>
      <c r="K200" s="287">
        <f t="shared" si="150"/>
        <v>23100</v>
      </c>
      <c r="L200" s="139"/>
      <c r="M200" s="139"/>
      <c r="N200" s="142"/>
      <c r="O200" s="141">
        <f>SUM(O199:O199)</f>
        <v>-1710.9399999999987</v>
      </c>
      <c r="P200" s="141">
        <f>SUM(P199:P199)</f>
        <v>-1710.9399999999987</v>
      </c>
      <c r="Q200" s="288"/>
      <c r="R200" s="289">
        <f>SUM(R199:R199)</f>
        <v>0</v>
      </c>
      <c r="S200" s="289">
        <f>SUM(S199:S199)</f>
        <v>0</v>
      </c>
      <c r="T200" s="289">
        <f>SUM(T199:T199)</f>
        <v>0</v>
      </c>
      <c r="U200" s="289">
        <f>SUM(U199:U199)</f>
        <v>0</v>
      </c>
      <c r="V200" s="289">
        <f>SUM(V199:V199)</f>
        <v>0</v>
      </c>
    </row>
    <row r="201" spans="1:24" ht="19.5" customHeight="1">
      <c r="A201" s="54" t="s">
        <v>190</v>
      </c>
      <c r="B201" s="55"/>
      <c r="C201" s="291"/>
      <c r="D201" s="57"/>
      <c r="E201" s="50">
        <f>895031.89/1.2</f>
        <v>745859.90833333333</v>
      </c>
      <c r="F201" s="50">
        <f>-E201*$F$10</f>
        <v>0</v>
      </c>
      <c r="G201" s="50">
        <f>E201*$G$10</f>
        <v>0</v>
      </c>
      <c r="H201" s="50"/>
      <c r="I201" s="50">
        <f>+E201+F201-G201-H201</f>
        <v>745859.90833333333</v>
      </c>
      <c r="J201" s="50">
        <f>+I201+(I201*$I$4)</f>
        <v>895031.89</v>
      </c>
      <c r="K201" s="50">
        <v>895000.02</v>
      </c>
      <c r="L201" s="51"/>
      <c r="M201" s="51"/>
      <c r="N201" s="52">
        <f>-IF(L201=0,,IF(M201=0,($C$10-L201),M201-L201))</f>
        <v>0</v>
      </c>
      <c r="O201" s="50">
        <f>+J201-K201</f>
        <v>31.869999999995343</v>
      </c>
      <c r="P201" s="50">
        <f>+IF($C$10&lt;L201,0,O201)</f>
        <v>31.869999999995343</v>
      </c>
      <c r="Q201" s="53"/>
      <c r="R201" s="316">
        <f>IF(N201&gt;=0,0,(IF(-N201&lt;=60,O201,0)))</f>
        <v>0</v>
      </c>
      <c r="S201" s="316">
        <f>IF(N201&gt;=0,0,(IF(N201&gt;=-60,0,IF(-60&gt;=N201,IF(N201&gt;=-120,O201,0)))))</f>
        <v>0</v>
      </c>
      <c r="T201" s="316">
        <f>IF(N201&gt;=0,0,(IF(N201&gt;-60,0,IF(-60&gt;=N201,IF(N201&gt;=-120,0,IF(N201&gt;=-180,O201,0))))))</f>
        <v>0</v>
      </c>
      <c r="U201" s="316">
        <f>IF(N201&gt;=0,0,(IF(N201&gt;-60,0,IF(-60&gt;=N201,IF(N201&gt;-120,0,IF(N201&gt;=-180,0,IF(N201&gt;=-365,O201,0)))))))</f>
        <v>0</v>
      </c>
      <c r="V201" s="316">
        <f>IF(N201&gt;=0,0,IF(365&lt;-N201,O201,0))</f>
        <v>0</v>
      </c>
    </row>
    <row r="202" spans="1:24" s="290" customFormat="1" ht="19.5" customHeight="1">
      <c r="A202" s="138"/>
      <c r="B202" s="143"/>
      <c r="C202" s="286"/>
      <c r="D202" s="140"/>
      <c r="E202" s="141">
        <f t="shared" ref="E202:K202" si="151">SUM(E201:E201)</f>
        <v>745859.90833333333</v>
      </c>
      <c r="F202" s="141">
        <f t="shared" si="151"/>
        <v>0</v>
      </c>
      <c r="G202" s="141">
        <f t="shared" si="151"/>
        <v>0</v>
      </c>
      <c r="H202" s="141">
        <f t="shared" si="151"/>
        <v>0</v>
      </c>
      <c r="I202" s="141">
        <f t="shared" si="151"/>
        <v>745859.90833333333</v>
      </c>
      <c r="J202" s="287">
        <f t="shared" si="151"/>
        <v>895031.89</v>
      </c>
      <c r="K202" s="287">
        <f t="shared" si="151"/>
        <v>895000.02</v>
      </c>
      <c r="L202" s="139"/>
      <c r="M202" s="139"/>
      <c r="N202" s="142"/>
      <c r="O202" s="141">
        <f>SUM(O201:O201)</f>
        <v>31.869999999995343</v>
      </c>
      <c r="P202" s="141">
        <f>SUM(P201:P201)</f>
        <v>31.869999999995343</v>
      </c>
      <c r="Q202" s="288"/>
      <c r="R202" s="289">
        <f>SUM(R201:R201)</f>
        <v>0</v>
      </c>
      <c r="S202" s="289">
        <f>SUM(S201:S201)</f>
        <v>0</v>
      </c>
      <c r="T202" s="289">
        <f>SUM(T201:T201)</f>
        <v>0</v>
      </c>
      <c r="U202" s="289">
        <f>SUM(U201:U201)</f>
        <v>0</v>
      </c>
      <c r="V202" s="289">
        <f>SUM(V201:V201)</f>
        <v>0</v>
      </c>
    </row>
    <row r="203" spans="1:24" ht="19.5" customHeight="1">
      <c r="A203" s="54" t="s">
        <v>185</v>
      </c>
      <c r="B203" s="54"/>
      <c r="C203" s="56"/>
      <c r="D203" s="57"/>
      <c r="E203" s="50">
        <f>20414730.01/1.2</f>
        <v>17012275.008333337</v>
      </c>
      <c r="F203" s="50">
        <f>-E203*$F$10</f>
        <v>0</v>
      </c>
      <c r="G203" s="50">
        <f>E203*$G$10</f>
        <v>0</v>
      </c>
      <c r="H203" s="50"/>
      <c r="I203" s="50">
        <f>+E203+F203-G203-H203</f>
        <v>17012275.008333337</v>
      </c>
      <c r="J203" s="50">
        <f>+I203+(I203*$I$4)</f>
        <v>20414730.010000005</v>
      </c>
      <c r="K203" s="50">
        <v>20414730.010000005</v>
      </c>
      <c r="L203" s="51"/>
      <c r="M203" s="51"/>
      <c r="N203" s="52">
        <f>-IF(L203=0,,IF(M203=0,($C$10-L203),M203-L203))</f>
        <v>0</v>
      </c>
      <c r="O203" s="50">
        <f>+J203-K203</f>
        <v>0</v>
      </c>
      <c r="P203" s="50">
        <f>+IF($C$10&lt;L203,0,O203)</f>
        <v>0</v>
      </c>
      <c r="Q203" s="53"/>
      <c r="R203" s="316">
        <f>IF(N203&gt;=0,0,(IF(-N203&lt;=60,O203,0)))</f>
        <v>0</v>
      </c>
      <c r="S203" s="316">
        <f>IF(N203&gt;=0,0,(IF(N203&gt;=-60,0,IF(-60&gt;=N203,IF(N203&gt;=-120,O203,0)))))</f>
        <v>0</v>
      </c>
      <c r="T203" s="316">
        <f>IF(N203&gt;=0,0,(IF(N203&gt;-60,0,IF(-60&gt;=N203,IF(N203&gt;=-120,0,IF(N203&gt;=-180,O203,0))))))</f>
        <v>0</v>
      </c>
      <c r="U203" s="316">
        <f>IF(N203&gt;=0,0,(IF(N203&gt;-60,0,IF(-60&gt;=N203,IF(N203&gt;-120,0,IF(N203&gt;=-180,0,IF(N203&gt;=-365,O203,0)))))))</f>
        <v>0</v>
      </c>
      <c r="V203" s="316">
        <f>IF(N203&gt;=0,0,IF(365&lt;-N203,O203,0))</f>
        <v>0</v>
      </c>
    </row>
    <row r="204" spans="1:24" s="290" customFormat="1" ht="19.5" customHeight="1">
      <c r="A204" s="138"/>
      <c r="B204" s="138"/>
      <c r="C204" s="286"/>
      <c r="D204" s="140"/>
      <c r="E204" s="141">
        <f t="shared" ref="E204:K204" si="152">SUM(E203:E203)</f>
        <v>17012275.008333337</v>
      </c>
      <c r="F204" s="141">
        <f t="shared" si="152"/>
        <v>0</v>
      </c>
      <c r="G204" s="141">
        <f t="shared" si="152"/>
        <v>0</v>
      </c>
      <c r="H204" s="141">
        <f t="shared" si="152"/>
        <v>0</v>
      </c>
      <c r="I204" s="141">
        <f t="shared" si="152"/>
        <v>17012275.008333337</v>
      </c>
      <c r="J204" s="287">
        <f t="shared" si="152"/>
        <v>20414730.010000005</v>
      </c>
      <c r="K204" s="287">
        <f t="shared" si="152"/>
        <v>20414730.010000005</v>
      </c>
      <c r="L204" s="139"/>
      <c r="M204" s="139"/>
      <c r="N204" s="142"/>
      <c r="O204" s="141">
        <f>SUM(O203:O203)</f>
        <v>0</v>
      </c>
      <c r="P204" s="141">
        <f>SUM(P203:P203)</f>
        <v>0</v>
      </c>
      <c r="Q204" s="292"/>
      <c r="R204" s="337">
        <f>SUM(R203:R203)</f>
        <v>0</v>
      </c>
      <c r="S204" s="337">
        <f>SUM(S203:S203)</f>
        <v>0</v>
      </c>
      <c r="T204" s="337">
        <f>SUM(T203:T203)</f>
        <v>0</v>
      </c>
      <c r="U204" s="337">
        <f>SUM(U203:U203)</f>
        <v>0</v>
      </c>
      <c r="V204" s="337">
        <f>SUM(V203:V203)</f>
        <v>0</v>
      </c>
    </row>
    <row r="205" spans="1:24" s="290" customFormat="1" ht="18.75" customHeight="1">
      <c r="A205" s="138"/>
      <c r="B205" s="387" t="s">
        <v>191</v>
      </c>
      <c r="C205" s="388"/>
      <c r="D205" s="389"/>
      <c r="E205" s="295">
        <f>SUM(E204,E202,E200,E198,E195)</f>
        <v>17903030.058333337</v>
      </c>
      <c r="F205" s="295">
        <f t="shared" ref="F205:I205" si="153">SUM(F204,F202,F200,F198,F195)</f>
        <v>0</v>
      </c>
      <c r="G205" s="295">
        <f t="shared" si="153"/>
        <v>0</v>
      </c>
      <c r="H205" s="295">
        <f t="shared" si="153"/>
        <v>0</v>
      </c>
      <c r="I205" s="295">
        <f t="shared" si="153"/>
        <v>17903030.058333337</v>
      </c>
      <c r="J205" s="295">
        <f>SUM(J204,J202,J200,J198,J195)</f>
        <v>21483636.070000004</v>
      </c>
      <c r="K205" s="295">
        <f>SUM(K204,K202,K200,K198,K195)</f>
        <v>21332830.030000005</v>
      </c>
      <c r="L205" s="139"/>
      <c r="M205" s="139"/>
      <c r="N205" s="142"/>
      <c r="O205" s="141">
        <f t="shared" ref="O205:P205" si="154">SUM(O204,O202,O200,O198,O195)</f>
        <v>150806.04</v>
      </c>
      <c r="P205" s="141">
        <f t="shared" si="154"/>
        <v>150806.04</v>
      </c>
      <c r="Q205" s="292"/>
      <c r="R205" s="337">
        <f t="shared" ref="R205:V205" si="155">SUM(R204,R202,R200,R198,R195)</f>
        <v>0</v>
      </c>
      <c r="S205" s="337">
        <f t="shared" si="155"/>
        <v>0</v>
      </c>
      <c r="T205" s="337">
        <f t="shared" si="155"/>
        <v>0</v>
      </c>
      <c r="U205" s="337">
        <f t="shared" si="155"/>
        <v>0</v>
      </c>
      <c r="V205" s="337">
        <f t="shared" si="155"/>
        <v>152485.11000000002</v>
      </c>
      <c r="X205" s="296">
        <f>+V205-272300.67</f>
        <v>-119815.55999999997</v>
      </c>
    </row>
    <row r="206" spans="1:24" ht="19.5" customHeight="1">
      <c r="A206" s="279" t="s">
        <v>192</v>
      </c>
      <c r="B206" s="55"/>
      <c r="C206" s="56"/>
      <c r="D206" s="57"/>
      <c r="E206" s="50"/>
      <c r="F206" s="50"/>
      <c r="G206" s="50"/>
      <c r="H206" s="50"/>
      <c r="I206" s="50"/>
      <c r="J206" s="50"/>
      <c r="K206" s="50"/>
      <c r="L206" s="51"/>
      <c r="M206" s="51"/>
      <c r="N206" s="59"/>
      <c r="O206" s="50"/>
      <c r="P206" s="55">
        <f>+IF($C$10&lt;L206,0,O206)</f>
        <v>0</v>
      </c>
      <c r="Q206" s="53"/>
      <c r="R206" s="285"/>
      <c r="S206" s="285"/>
      <c r="T206" s="285"/>
      <c r="U206" s="285"/>
      <c r="V206" s="285"/>
    </row>
    <row r="207" spans="1:24" ht="19.5" customHeight="1">
      <c r="A207" s="54" t="s">
        <v>193</v>
      </c>
      <c r="B207" s="55"/>
      <c r="C207" s="284"/>
      <c r="D207" s="57"/>
      <c r="E207" s="50">
        <f>133354.04/1.2</f>
        <v>111128.36666666668</v>
      </c>
      <c r="F207" s="50">
        <v>0</v>
      </c>
      <c r="G207" s="50">
        <v>0</v>
      </c>
      <c r="H207" s="50"/>
      <c r="I207" s="50">
        <f t="shared" ref="I207" si="156">+E207+F207-G207-H207</f>
        <v>111128.36666666668</v>
      </c>
      <c r="J207" s="50">
        <f t="shared" ref="J207" si="157">+I207+(I207*$I$4)</f>
        <v>133354.04000000004</v>
      </c>
      <c r="K207" s="50">
        <v>133354</v>
      </c>
      <c r="L207" s="51"/>
      <c r="M207" s="51"/>
      <c r="N207" s="52">
        <f t="shared" ref="N207" si="158">-IF(L207=0,,IF(M207=0,($C$10-L207),M207-L207))</f>
        <v>0</v>
      </c>
      <c r="O207" s="50">
        <f t="shared" ref="O207" si="159">+J207-K207</f>
        <v>4.0000000037252903E-2</v>
      </c>
      <c r="P207" s="50">
        <f t="shared" ref="P207" si="160">+IF($C$10&lt;L207,0,O207)</f>
        <v>4.0000000037252903E-2</v>
      </c>
      <c r="Q207" s="53"/>
      <c r="R207" s="316">
        <f>IF(N207&gt;=0,0,(IF(-N207&lt;=60,O207,0)))</f>
        <v>0</v>
      </c>
      <c r="S207" s="316">
        <f t="shared" ref="S207" si="161">IF(N207&gt;=0,0,(IF(N207&gt;=-60,0,IF(-60&gt;=N207,IF(N207&gt;=-120,O207,0)))))</f>
        <v>0</v>
      </c>
      <c r="T207" s="316">
        <f t="shared" ref="T207" si="162">IF(N207&gt;=0,0,(IF(N207&gt;-60,0,IF(-60&gt;=N207,IF(N207&gt;=-120,0,IF(N207&gt;=-180,O207,0))))))</f>
        <v>0</v>
      </c>
      <c r="U207" s="316">
        <f t="shared" ref="U207" si="163">IF(N207&gt;=0,0,(IF(N207&gt;-60,0,IF(-60&gt;=N207,IF(N207&gt;-120,0,IF(N207&gt;=-180,0,IF(N207&gt;=-365,O207,0)))))))</f>
        <v>0</v>
      </c>
      <c r="V207" s="316">
        <f>IF(N207&gt;=0,0,IF(365&lt;-N207,O207,0))</f>
        <v>0</v>
      </c>
    </row>
    <row r="208" spans="1:24" s="290" customFormat="1" ht="19.5" customHeight="1">
      <c r="A208" s="138"/>
      <c r="B208" s="143"/>
      <c r="C208" s="286"/>
      <c r="D208" s="140"/>
      <c r="E208" s="141">
        <f t="shared" ref="E208:K208" si="164">SUM(E207:E207)</f>
        <v>111128.36666666668</v>
      </c>
      <c r="F208" s="141">
        <f t="shared" si="164"/>
        <v>0</v>
      </c>
      <c r="G208" s="141">
        <f t="shared" si="164"/>
        <v>0</v>
      </c>
      <c r="H208" s="141">
        <f t="shared" si="164"/>
        <v>0</v>
      </c>
      <c r="I208" s="141">
        <f t="shared" si="164"/>
        <v>111128.36666666668</v>
      </c>
      <c r="J208" s="287">
        <f t="shared" si="164"/>
        <v>133354.04000000004</v>
      </c>
      <c r="K208" s="287">
        <f t="shared" si="164"/>
        <v>133354</v>
      </c>
      <c r="L208" s="139"/>
      <c r="M208" s="139"/>
      <c r="N208" s="142"/>
      <c r="O208" s="141">
        <f>SUM(O207:O207)</f>
        <v>4.0000000037252903E-2</v>
      </c>
      <c r="P208" s="141">
        <f>SUM(P207:P207)</f>
        <v>4.0000000037252903E-2</v>
      </c>
      <c r="Q208" s="288"/>
      <c r="R208" s="289">
        <f>SUM(R207:R207)</f>
        <v>0</v>
      </c>
      <c r="S208" s="289">
        <f>SUM(S207:S207)</f>
        <v>0</v>
      </c>
      <c r="T208" s="289">
        <f>SUM(T207:T207)</f>
        <v>0</v>
      </c>
      <c r="U208" s="289">
        <f>SUM(U207:U207)</f>
        <v>0</v>
      </c>
      <c r="V208" s="289">
        <f>SUM(V207:V207)</f>
        <v>0</v>
      </c>
    </row>
    <row r="209" spans="1:22">
      <c r="A209" s="54" t="s">
        <v>194</v>
      </c>
      <c r="B209" s="55"/>
      <c r="C209" s="284"/>
      <c r="D209" s="57"/>
      <c r="E209" s="50">
        <f>736980.37/1.2</f>
        <v>614150.30833333335</v>
      </c>
      <c r="F209" s="50">
        <f>-E209*$F$10</f>
        <v>0</v>
      </c>
      <c r="G209" s="50">
        <f>E209*$G$10</f>
        <v>0</v>
      </c>
      <c r="H209" s="50"/>
      <c r="I209" s="50">
        <f>+E209+F209-G209-H209</f>
        <v>614150.30833333335</v>
      </c>
      <c r="J209" s="50">
        <f>+I209+(I209*$I$4)</f>
        <v>736980.37</v>
      </c>
      <c r="K209" s="50">
        <v>736980.37</v>
      </c>
      <c r="L209" s="51"/>
      <c r="M209" s="51"/>
      <c r="N209" s="52">
        <f>-IF(L209=0,,IF(M209=0,($C$10-L209),M209-L209))</f>
        <v>0</v>
      </c>
      <c r="O209" s="50">
        <f>+J209-K209</f>
        <v>0</v>
      </c>
      <c r="P209" s="50">
        <f>+IF($C$10&lt;L209,0,O209)</f>
        <v>0</v>
      </c>
      <c r="Q209" s="53"/>
      <c r="R209" s="316">
        <f>IF(N209&gt;=0,0,(IF(-N209&lt;=60,O209,0)))</f>
        <v>0</v>
      </c>
      <c r="S209" s="316">
        <f>IF(N209&gt;=0,0,(IF(N209&gt;=-60,0,IF(-60&gt;=N209,IF(N209&gt;=-120,O209,0)))))</f>
        <v>0</v>
      </c>
      <c r="T209" s="316">
        <f>IF(N209&gt;=0,0,(IF(N209&gt;-60,0,IF(-60&gt;=N209,IF(N209&gt;=-120,0,IF(N209&gt;=-180,O209,0))))))</f>
        <v>0</v>
      </c>
      <c r="U209" s="316">
        <f>IF(N209&gt;=0,0,(IF(N209&gt;-60,0,IF(-60&gt;=N209,IF(N209&gt;-120,0,IF(N209&gt;=-180,0,IF(N209&gt;=-365,O209,0)))))))</f>
        <v>0</v>
      </c>
      <c r="V209" s="316">
        <f>IF(N209&gt;=0,0,IF(365&lt;-N209,O209,0))</f>
        <v>0</v>
      </c>
    </row>
    <row r="210" spans="1:22" s="290" customFormat="1" ht="15">
      <c r="A210" s="138"/>
      <c r="B210" s="143"/>
      <c r="C210" s="286"/>
      <c r="D210" s="140"/>
      <c r="E210" s="141">
        <f t="shared" ref="E210:K210" si="165">SUM(E209:E209)</f>
        <v>614150.30833333335</v>
      </c>
      <c r="F210" s="141">
        <f t="shared" si="165"/>
        <v>0</v>
      </c>
      <c r="G210" s="141">
        <f t="shared" si="165"/>
        <v>0</v>
      </c>
      <c r="H210" s="141">
        <f t="shared" si="165"/>
        <v>0</v>
      </c>
      <c r="I210" s="141">
        <f t="shared" si="165"/>
        <v>614150.30833333335</v>
      </c>
      <c r="J210" s="287">
        <f t="shared" si="165"/>
        <v>736980.37</v>
      </c>
      <c r="K210" s="287">
        <f t="shared" si="165"/>
        <v>736980.37</v>
      </c>
      <c r="L210" s="139"/>
      <c r="M210" s="139"/>
      <c r="N210" s="142"/>
      <c r="O210" s="141">
        <f>SUM(O209:O209)</f>
        <v>0</v>
      </c>
      <c r="P210" s="141">
        <f>SUM(P209:P209)</f>
        <v>0</v>
      </c>
      <c r="Q210" s="288"/>
      <c r="R210" s="289">
        <f>SUM(R209:R209)</f>
        <v>0</v>
      </c>
      <c r="S210" s="289">
        <f>SUM(S209:S209)</f>
        <v>0</v>
      </c>
      <c r="T210" s="289">
        <f>SUM(T209:T209)</f>
        <v>0</v>
      </c>
      <c r="U210" s="289">
        <f>SUM(U209:U209)</f>
        <v>0</v>
      </c>
      <c r="V210" s="289">
        <f>SUM(V209:V209)</f>
        <v>0</v>
      </c>
    </row>
    <row r="211" spans="1:22">
      <c r="A211" s="54" t="s">
        <v>195</v>
      </c>
      <c r="B211" s="55"/>
      <c r="C211" s="291"/>
      <c r="D211" s="57"/>
      <c r="E211" s="50">
        <f>261159.66/1.2</f>
        <v>217633.05000000002</v>
      </c>
      <c r="F211" s="50">
        <f>-E211*$F$10</f>
        <v>0</v>
      </c>
      <c r="G211" s="50">
        <f>E211*$G$10</f>
        <v>0</v>
      </c>
      <c r="H211" s="50"/>
      <c r="I211" s="50">
        <f>+E211+F211-G211-H211</f>
        <v>217633.05000000002</v>
      </c>
      <c r="J211" s="50">
        <f>+I211+(I211*$I$4)</f>
        <v>261159.66000000003</v>
      </c>
      <c r="K211" s="50">
        <v>261159.66000000003</v>
      </c>
      <c r="L211" s="51"/>
      <c r="M211" s="51"/>
      <c r="N211" s="52">
        <f>-IF(L211=0,,IF(M211=0,($C$10-L211),M211-L211))</f>
        <v>0</v>
      </c>
      <c r="O211" s="50">
        <f>+J211-K211</f>
        <v>0</v>
      </c>
      <c r="P211" s="50">
        <f>+IF($C$10&lt;L211,0,O211)</f>
        <v>0</v>
      </c>
      <c r="Q211" s="53"/>
      <c r="R211" s="316">
        <f>IF(N211&gt;=0,0,(IF(-N211&lt;=60,O211,0)))</f>
        <v>0</v>
      </c>
      <c r="S211" s="316">
        <f>IF(N211&gt;=0,0,(IF(N211&gt;=-60,0,IF(-60&gt;=N211,IF(N211&gt;=-120,O211,0)))))</f>
        <v>0</v>
      </c>
      <c r="T211" s="316">
        <f>IF(N211&gt;=0,0,(IF(N211&gt;-60,0,IF(-60&gt;=N211,IF(N211&gt;=-120,0,IF(N211&gt;=-180,O211,0))))))</f>
        <v>0</v>
      </c>
      <c r="U211" s="316">
        <f>IF(N211&gt;=0,0,(IF(N211&gt;-60,0,IF(-60&gt;=N211,IF(N211&gt;-120,0,IF(N211&gt;=-180,0,IF(N211&gt;=-365,O211,0)))))))</f>
        <v>0</v>
      </c>
      <c r="V211" s="316">
        <f>IF(N211&gt;=0,0,IF(365&lt;-N211,O211,0))</f>
        <v>0</v>
      </c>
    </row>
    <row r="212" spans="1:22" s="290" customFormat="1" ht="15">
      <c r="A212" s="138"/>
      <c r="B212" s="143"/>
      <c r="C212" s="286"/>
      <c r="D212" s="140"/>
      <c r="E212" s="141">
        <f t="shared" ref="E212:K212" si="166">SUM(E211:E211)</f>
        <v>217633.05000000002</v>
      </c>
      <c r="F212" s="141">
        <f t="shared" si="166"/>
        <v>0</v>
      </c>
      <c r="G212" s="141">
        <f t="shared" si="166"/>
        <v>0</v>
      </c>
      <c r="H212" s="141">
        <f t="shared" si="166"/>
        <v>0</v>
      </c>
      <c r="I212" s="141">
        <f t="shared" si="166"/>
        <v>217633.05000000002</v>
      </c>
      <c r="J212" s="287">
        <f t="shared" si="166"/>
        <v>261159.66000000003</v>
      </c>
      <c r="K212" s="287">
        <f t="shared" si="166"/>
        <v>261159.66000000003</v>
      </c>
      <c r="L212" s="139"/>
      <c r="M212" s="139"/>
      <c r="N212" s="142"/>
      <c r="O212" s="141">
        <f>SUM(O211:O211)</f>
        <v>0</v>
      </c>
      <c r="P212" s="141">
        <f>SUM(P211:P211)</f>
        <v>0</v>
      </c>
      <c r="Q212" s="288"/>
      <c r="R212" s="289">
        <f>SUM(R211:R211)</f>
        <v>0</v>
      </c>
      <c r="S212" s="289">
        <f>SUM(S211:S211)</f>
        <v>0</v>
      </c>
      <c r="T212" s="289">
        <f>SUM(T211:T211)</f>
        <v>0</v>
      </c>
      <c r="U212" s="289">
        <f>SUM(U211:U211)</f>
        <v>0</v>
      </c>
      <c r="V212" s="289">
        <f>SUM(V211:V211)</f>
        <v>0</v>
      </c>
    </row>
    <row r="213" spans="1:22">
      <c r="A213" s="54" t="s">
        <v>196</v>
      </c>
      <c r="B213" s="55"/>
      <c r="C213" s="291"/>
      <c r="D213" s="57"/>
      <c r="E213" s="50">
        <f>143411.88/1.2</f>
        <v>119509.90000000001</v>
      </c>
      <c r="F213" s="50">
        <f>-E213*$F$10</f>
        <v>0</v>
      </c>
      <c r="G213" s="50">
        <f>E213*$G$10</f>
        <v>0</v>
      </c>
      <c r="H213" s="50"/>
      <c r="I213" s="50">
        <f>+E213+F213-G213-H213</f>
        <v>119509.90000000001</v>
      </c>
      <c r="J213" s="50">
        <f>+I213+(I213*$I$4)</f>
        <v>143411.88</v>
      </c>
      <c r="K213" s="50">
        <v>143411.88</v>
      </c>
      <c r="L213" s="51"/>
      <c r="M213" s="51"/>
      <c r="N213" s="52">
        <f>-IF(L213=0,,IF(M213=0,($C$10-L213),M213-L213))</f>
        <v>0</v>
      </c>
      <c r="O213" s="50">
        <f>+J213-K213</f>
        <v>0</v>
      </c>
      <c r="P213" s="50">
        <f>+IF($C$10&lt;L213,0,O213)</f>
        <v>0</v>
      </c>
      <c r="Q213" s="53"/>
      <c r="R213" s="316">
        <f>IF(N213&gt;=0,0,(IF(-N213&lt;=60,O213,0)))</f>
        <v>0</v>
      </c>
      <c r="S213" s="316">
        <f>IF(N213&gt;=0,0,(IF(N213&gt;=-60,0,IF(-60&gt;=N213,IF(N213&gt;=-120,O213,0)))))</f>
        <v>0</v>
      </c>
      <c r="T213" s="316">
        <f>IF(N213&gt;=0,0,(IF(N213&gt;-60,0,IF(-60&gt;=N213,IF(N213&gt;=-120,0,IF(N213&gt;=-180,O213,0))))))</f>
        <v>0</v>
      </c>
      <c r="U213" s="316">
        <f>IF(N213&gt;=0,0,(IF(N213&gt;-60,0,IF(-60&gt;=N213,IF(N213&gt;-120,0,IF(N213&gt;=-180,0,IF(N213&gt;=-365,O213,0)))))))</f>
        <v>0</v>
      </c>
      <c r="V213" s="316">
        <f>IF(N213&gt;=0,0,IF(365&lt;-N213,O213,0))</f>
        <v>0</v>
      </c>
    </row>
    <row r="214" spans="1:22" s="290" customFormat="1" ht="15">
      <c r="A214" s="138"/>
      <c r="B214" s="143"/>
      <c r="C214" s="286"/>
      <c r="D214" s="140"/>
      <c r="E214" s="141">
        <f t="shared" ref="E214:K214" si="167">SUM(E213:E213)</f>
        <v>119509.90000000001</v>
      </c>
      <c r="F214" s="141">
        <f t="shared" si="167"/>
        <v>0</v>
      </c>
      <c r="G214" s="141">
        <f t="shared" si="167"/>
        <v>0</v>
      </c>
      <c r="H214" s="141">
        <f t="shared" si="167"/>
        <v>0</v>
      </c>
      <c r="I214" s="141">
        <f t="shared" si="167"/>
        <v>119509.90000000001</v>
      </c>
      <c r="J214" s="287">
        <f t="shared" si="167"/>
        <v>143411.88</v>
      </c>
      <c r="K214" s="287">
        <f t="shared" si="167"/>
        <v>143411.88</v>
      </c>
      <c r="L214" s="139"/>
      <c r="M214" s="139"/>
      <c r="N214" s="142"/>
      <c r="O214" s="141">
        <f>SUM(O213:O213)</f>
        <v>0</v>
      </c>
      <c r="P214" s="141">
        <f>SUM(P213:P213)</f>
        <v>0</v>
      </c>
      <c r="Q214" s="288"/>
      <c r="R214" s="289">
        <f>SUM(R213:R213)</f>
        <v>0</v>
      </c>
      <c r="S214" s="289">
        <f>SUM(S213:S213)</f>
        <v>0</v>
      </c>
      <c r="T214" s="289">
        <f>SUM(T213:T213)</f>
        <v>0</v>
      </c>
      <c r="U214" s="289">
        <f>SUM(U213:U213)</f>
        <v>0</v>
      </c>
      <c r="V214" s="289">
        <f>SUM(V213:V213)</f>
        <v>0</v>
      </c>
    </row>
    <row r="215" spans="1:22">
      <c r="A215" s="54" t="s">
        <v>197</v>
      </c>
      <c r="B215" s="54"/>
      <c r="C215" s="56"/>
      <c r="D215" s="57"/>
      <c r="E215" s="50">
        <f>12158.19/1.2</f>
        <v>10131.825000000001</v>
      </c>
      <c r="F215" s="50">
        <f>-E215*$F$10</f>
        <v>0</v>
      </c>
      <c r="G215" s="50">
        <f>E215*$G$10</f>
        <v>0</v>
      </c>
      <c r="H215" s="50"/>
      <c r="I215" s="50">
        <f>+E215+F215-G215-H215</f>
        <v>10131.825000000001</v>
      </c>
      <c r="J215" s="50">
        <f>+I215+(I215*$I$4)</f>
        <v>12158.19</v>
      </c>
      <c r="K215" s="50">
        <v>12158.19</v>
      </c>
      <c r="L215" s="51"/>
      <c r="M215" s="51"/>
      <c r="N215" s="52">
        <f>-IF(L215=0,,IF(M215=0,($C$10-L215),M215-L215))</f>
        <v>0</v>
      </c>
      <c r="O215" s="50">
        <f>+J215-K215</f>
        <v>0</v>
      </c>
      <c r="P215" s="50">
        <f>+IF($C$10&lt;L215,0,O215)</f>
        <v>0</v>
      </c>
      <c r="Q215" s="53"/>
      <c r="R215" s="316">
        <f>IF(N215&gt;=0,0,(IF(-N215&lt;=60,O215,0)))</f>
        <v>0</v>
      </c>
      <c r="S215" s="316">
        <f>IF(N215&gt;=0,0,(IF(N215&gt;=-60,0,IF(-60&gt;=N215,IF(N215&gt;=-120,O215,0)))))</f>
        <v>0</v>
      </c>
      <c r="T215" s="316">
        <f>IF(N215&gt;=0,0,(IF(N215&gt;-60,0,IF(-60&gt;=N215,IF(N215&gt;=-120,0,IF(N215&gt;=-180,O215,0))))))</f>
        <v>0</v>
      </c>
      <c r="U215" s="316">
        <f>IF(N215&gt;=0,0,(IF(N215&gt;-60,0,IF(-60&gt;=N215,IF(N215&gt;-120,0,IF(N215&gt;=-180,0,IF(N215&gt;=-365,O215,0)))))))</f>
        <v>0</v>
      </c>
      <c r="V215" s="316">
        <f>IF(N215&gt;=0,0,IF(365&lt;-N215,O215,0))</f>
        <v>0</v>
      </c>
    </row>
    <row r="216" spans="1:22" s="290" customFormat="1" ht="15">
      <c r="A216" s="138"/>
      <c r="B216" s="138"/>
      <c r="C216" s="286"/>
      <c r="D216" s="140"/>
      <c r="E216" s="141">
        <f t="shared" ref="E216:K216" si="168">SUM(E215:E215)</f>
        <v>10131.825000000001</v>
      </c>
      <c r="F216" s="141">
        <f t="shared" si="168"/>
        <v>0</v>
      </c>
      <c r="G216" s="141">
        <f t="shared" si="168"/>
        <v>0</v>
      </c>
      <c r="H216" s="141">
        <f t="shared" si="168"/>
        <v>0</v>
      </c>
      <c r="I216" s="141">
        <f t="shared" si="168"/>
        <v>10131.825000000001</v>
      </c>
      <c r="J216" s="287">
        <f t="shared" si="168"/>
        <v>12158.19</v>
      </c>
      <c r="K216" s="287">
        <f t="shared" si="168"/>
        <v>12158.19</v>
      </c>
      <c r="L216" s="139"/>
      <c r="M216" s="139"/>
      <c r="N216" s="142"/>
      <c r="O216" s="141">
        <f>SUM(O215:O215)</f>
        <v>0</v>
      </c>
      <c r="P216" s="141">
        <f>SUM(P215:P215)</f>
        <v>0</v>
      </c>
      <c r="Q216" s="292"/>
      <c r="R216" s="337">
        <f>SUM(R215:R215)</f>
        <v>0</v>
      </c>
      <c r="S216" s="337">
        <f>SUM(S215:S215)</f>
        <v>0</v>
      </c>
      <c r="T216" s="337">
        <f>SUM(T215:T215)</f>
        <v>0</v>
      </c>
      <c r="U216" s="337">
        <f>SUM(U215:U215)</f>
        <v>0</v>
      </c>
      <c r="V216" s="337">
        <f>SUM(V215:V215)</f>
        <v>0</v>
      </c>
    </row>
    <row r="217" spans="1:22">
      <c r="A217" s="54" t="s">
        <v>198</v>
      </c>
      <c r="B217" s="54"/>
      <c r="C217" s="56"/>
      <c r="D217" s="57"/>
      <c r="E217" s="50">
        <f>76740.87/1.2</f>
        <v>63950.724999999999</v>
      </c>
      <c r="F217" s="50">
        <f t="shared" ref="F217:F223" si="169">-E217*$F$10</f>
        <v>0</v>
      </c>
      <c r="G217" s="50">
        <f t="shared" ref="G217" si="170">E217*$G$10</f>
        <v>0</v>
      </c>
      <c r="H217" s="50"/>
      <c r="I217" s="50">
        <f t="shared" ref="I217" si="171">+E217+F217-G217-H217</f>
        <v>63950.724999999999</v>
      </c>
      <c r="J217" s="50">
        <f t="shared" ref="J217:J223" si="172">+I217+(I217*$I$4)</f>
        <v>76740.87</v>
      </c>
      <c r="K217" s="50">
        <v>76740.87</v>
      </c>
      <c r="L217" s="51"/>
      <c r="M217" s="51"/>
      <c r="N217" s="52">
        <f t="shared" ref="N217" si="173">-IF(L217=0,,IF(M217=0,($C$10-L217),M217-L217))</f>
        <v>0</v>
      </c>
      <c r="O217" s="50">
        <f t="shared" ref="O217" si="174">+J217-K217</f>
        <v>0</v>
      </c>
      <c r="P217" s="50">
        <f t="shared" ref="P217" si="175">+IF($C$10&lt;L217,0,O217)</f>
        <v>0</v>
      </c>
      <c r="Q217" s="53"/>
      <c r="R217" s="316">
        <f t="shared" ref="R217" si="176">IF(N217&gt;=0,0,(IF(-N217&lt;=60,O217,0)))</f>
        <v>0</v>
      </c>
      <c r="S217" s="316">
        <f t="shared" ref="S217" si="177">IF(N217&gt;=0,0,(IF(N217&gt;=-60,0,IF(-60&gt;=N217,IF(N217&gt;=-120,O217,0)))))</f>
        <v>0</v>
      </c>
      <c r="T217" s="316">
        <f t="shared" ref="T217" si="178">IF(N217&gt;=0,0,(IF(N217&gt;-60,0,IF(-60&gt;=N217,IF(N217&gt;=-120,0,IF(N217&gt;=-180,O217,0))))))</f>
        <v>0</v>
      </c>
      <c r="U217" s="316">
        <f t="shared" ref="U217" si="179">IF(N217&gt;=0,0,(IF(N217&gt;-60,0,IF(-60&gt;=N217,IF(N217&gt;-120,0,IF(N217&gt;=-180,0,IF(N217&gt;=-365,O217,0)))))))</f>
        <v>0</v>
      </c>
      <c r="V217" s="316">
        <f t="shared" ref="V217" si="180">IF(N217&gt;=0,0,IF(365&lt;-N217,O217,0))</f>
        <v>0</v>
      </c>
    </row>
    <row r="218" spans="1:22" s="290" customFormat="1" ht="15">
      <c r="A218" s="138"/>
      <c r="B218" s="138"/>
      <c r="C218" s="286"/>
      <c r="D218" s="140"/>
      <c r="E218" s="141">
        <f t="shared" ref="E218:K218" si="181">SUM(E217:E217)</f>
        <v>63950.724999999999</v>
      </c>
      <c r="F218" s="141">
        <f t="shared" si="181"/>
        <v>0</v>
      </c>
      <c r="G218" s="141">
        <f t="shared" si="181"/>
        <v>0</v>
      </c>
      <c r="H218" s="141">
        <f t="shared" si="181"/>
        <v>0</v>
      </c>
      <c r="I218" s="141">
        <f t="shared" si="181"/>
        <v>63950.724999999999</v>
      </c>
      <c r="J218" s="287">
        <f t="shared" si="181"/>
        <v>76740.87</v>
      </c>
      <c r="K218" s="287">
        <f t="shared" si="181"/>
        <v>76740.87</v>
      </c>
      <c r="L218" s="139"/>
      <c r="M218" s="139"/>
      <c r="N218" s="142"/>
      <c r="O218" s="141">
        <f t="shared" ref="O218:P218" si="182">SUM(O217:O217)</f>
        <v>0</v>
      </c>
      <c r="P218" s="141">
        <f t="shared" si="182"/>
        <v>0</v>
      </c>
      <c r="Q218" s="292"/>
      <c r="R218" s="337">
        <f t="shared" ref="R218:V218" si="183">SUM(R217:R217)</f>
        <v>0</v>
      </c>
      <c r="S218" s="337">
        <f t="shared" si="183"/>
        <v>0</v>
      </c>
      <c r="T218" s="337">
        <f t="shared" si="183"/>
        <v>0</v>
      </c>
      <c r="U218" s="337">
        <f t="shared" si="183"/>
        <v>0</v>
      </c>
      <c r="V218" s="337">
        <f t="shared" si="183"/>
        <v>0</v>
      </c>
    </row>
    <row r="219" spans="1:22">
      <c r="A219" s="54" t="s">
        <v>174</v>
      </c>
      <c r="B219" s="54"/>
      <c r="C219" s="56"/>
      <c r="D219" s="57"/>
      <c r="E219" s="50">
        <f>25006.48/1.2</f>
        <v>20838.733333333334</v>
      </c>
      <c r="F219" s="50">
        <f t="shared" si="169"/>
        <v>0</v>
      </c>
      <c r="G219" s="50">
        <f t="shared" ref="G219" si="184">E219*$G$10</f>
        <v>0</v>
      </c>
      <c r="H219" s="50"/>
      <c r="I219" s="50">
        <f t="shared" ref="I219" si="185">+E219+F219-G219-H219</f>
        <v>20838.733333333334</v>
      </c>
      <c r="J219" s="50">
        <f t="shared" si="172"/>
        <v>25006.48</v>
      </c>
      <c r="K219" s="50">
        <v>25006.48</v>
      </c>
      <c r="L219" s="51"/>
      <c r="M219" s="51"/>
      <c r="N219" s="52">
        <f t="shared" ref="N219" si="186">-IF(L219=0,,IF(M219=0,($C$10-L219),M219-L219))</f>
        <v>0</v>
      </c>
      <c r="O219" s="50">
        <f t="shared" ref="O219" si="187">+J219-K219</f>
        <v>0</v>
      </c>
      <c r="P219" s="50">
        <f t="shared" ref="P219" si="188">+IF($C$10&lt;L219,0,O219)</f>
        <v>0</v>
      </c>
      <c r="Q219" s="53"/>
      <c r="R219" s="316">
        <f t="shared" ref="R219" si="189">IF(N219&gt;=0,0,(IF(-N219&lt;=60,O219,0)))</f>
        <v>0</v>
      </c>
      <c r="S219" s="316">
        <f t="shared" ref="S219" si="190">IF(N219&gt;=0,0,(IF(N219&gt;=-60,0,IF(-60&gt;=N219,IF(N219&gt;=-120,O219,0)))))</f>
        <v>0</v>
      </c>
      <c r="T219" s="316">
        <f t="shared" ref="T219" si="191">IF(N219&gt;=0,0,(IF(N219&gt;-60,0,IF(-60&gt;=N219,IF(N219&gt;=-120,0,IF(N219&gt;=-180,O219,0))))))</f>
        <v>0</v>
      </c>
      <c r="U219" s="316">
        <f t="shared" ref="U219" si="192">IF(N219&gt;=0,0,(IF(N219&gt;-60,0,IF(-60&gt;=N219,IF(N219&gt;-120,0,IF(N219&gt;=-180,0,IF(N219&gt;=-365,O219,0)))))))</f>
        <v>0</v>
      </c>
      <c r="V219" s="316">
        <f t="shared" ref="V219" si="193">IF(N219&gt;=0,0,IF(365&lt;-N219,O219,0))</f>
        <v>0</v>
      </c>
    </row>
    <row r="220" spans="1:22" s="290" customFormat="1" ht="15">
      <c r="A220" s="138"/>
      <c r="B220" s="138"/>
      <c r="C220" s="286"/>
      <c r="D220" s="140"/>
      <c r="E220" s="141">
        <f t="shared" ref="E220:K220" si="194">SUM(E219:E219)</f>
        <v>20838.733333333334</v>
      </c>
      <c r="F220" s="141">
        <f t="shared" si="194"/>
        <v>0</v>
      </c>
      <c r="G220" s="141">
        <f t="shared" si="194"/>
        <v>0</v>
      </c>
      <c r="H220" s="141">
        <f t="shared" si="194"/>
        <v>0</v>
      </c>
      <c r="I220" s="141">
        <f t="shared" si="194"/>
        <v>20838.733333333334</v>
      </c>
      <c r="J220" s="287">
        <f t="shared" si="194"/>
        <v>25006.48</v>
      </c>
      <c r="K220" s="287">
        <f t="shared" si="194"/>
        <v>25006.48</v>
      </c>
      <c r="L220" s="139"/>
      <c r="M220" s="139"/>
      <c r="N220" s="142"/>
      <c r="O220" s="141">
        <f t="shared" ref="O220:P220" si="195">SUM(O219:O219)</f>
        <v>0</v>
      </c>
      <c r="P220" s="141">
        <f t="shared" si="195"/>
        <v>0</v>
      </c>
      <c r="Q220" s="292"/>
      <c r="R220" s="337">
        <f t="shared" ref="R220:V220" si="196">SUM(R219:R219)</f>
        <v>0</v>
      </c>
      <c r="S220" s="337">
        <f t="shared" si="196"/>
        <v>0</v>
      </c>
      <c r="T220" s="337">
        <f t="shared" si="196"/>
        <v>0</v>
      </c>
      <c r="U220" s="337">
        <f t="shared" si="196"/>
        <v>0</v>
      </c>
      <c r="V220" s="337">
        <f t="shared" si="196"/>
        <v>0</v>
      </c>
    </row>
    <row r="221" spans="1:22">
      <c r="A221" s="54" t="s">
        <v>199</v>
      </c>
      <c r="B221" s="54"/>
      <c r="C221" s="56"/>
      <c r="D221" s="57"/>
      <c r="E221" s="50">
        <f>6866.17/1.2</f>
        <v>5721.8083333333334</v>
      </c>
      <c r="F221" s="50">
        <f t="shared" si="169"/>
        <v>0</v>
      </c>
      <c r="G221" s="50">
        <f t="shared" ref="G221" si="197">E221*$G$10</f>
        <v>0</v>
      </c>
      <c r="H221" s="50"/>
      <c r="I221" s="50">
        <f t="shared" ref="I221" si="198">+E221+F221-G221-H221</f>
        <v>5721.8083333333334</v>
      </c>
      <c r="J221" s="50">
        <f t="shared" si="172"/>
        <v>6866.17</v>
      </c>
      <c r="K221" s="50">
        <v>6866.17</v>
      </c>
      <c r="L221" s="51"/>
      <c r="M221" s="51"/>
      <c r="N221" s="52">
        <f t="shared" ref="N221" si="199">-IF(L221=0,,IF(M221=0,($C$10-L221),M221-L221))</f>
        <v>0</v>
      </c>
      <c r="O221" s="50">
        <f t="shared" ref="O221" si="200">+J221-K221</f>
        <v>0</v>
      </c>
      <c r="P221" s="50">
        <f t="shared" ref="P221" si="201">+IF($C$10&lt;L221,0,O221)</f>
        <v>0</v>
      </c>
      <c r="Q221" s="53"/>
      <c r="R221" s="316">
        <f t="shared" ref="R221" si="202">IF(N221&gt;=0,0,(IF(-N221&lt;=60,O221,0)))</f>
        <v>0</v>
      </c>
      <c r="S221" s="316">
        <f t="shared" ref="S221" si="203">IF(N221&gt;=0,0,(IF(N221&gt;=-60,0,IF(-60&gt;=N221,IF(N221&gt;=-120,O221,0)))))</f>
        <v>0</v>
      </c>
      <c r="T221" s="316">
        <f t="shared" ref="T221" si="204">IF(N221&gt;=0,0,(IF(N221&gt;-60,0,IF(-60&gt;=N221,IF(N221&gt;=-120,0,IF(N221&gt;=-180,O221,0))))))</f>
        <v>0</v>
      </c>
      <c r="U221" s="316">
        <f t="shared" ref="U221" si="205">IF(N221&gt;=0,0,(IF(N221&gt;-60,0,IF(-60&gt;=N221,IF(N221&gt;-120,0,IF(N221&gt;=-180,0,IF(N221&gt;=-365,O221,0)))))))</f>
        <v>0</v>
      </c>
      <c r="V221" s="316">
        <f t="shared" ref="V221" si="206">IF(N221&gt;=0,0,IF(365&lt;-N221,O221,0))</f>
        <v>0</v>
      </c>
    </row>
    <row r="222" spans="1:22" s="290" customFormat="1" ht="15">
      <c r="A222" s="138"/>
      <c r="B222" s="138"/>
      <c r="C222" s="286"/>
      <c r="D222" s="140"/>
      <c r="E222" s="141">
        <f t="shared" ref="E222:K222" si="207">SUM(E221:E221)</f>
        <v>5721.8083333333334</v>
      </c>
      <c r="F222" s="141">
        <f t="shared" si="207"/>
        <v>0</v>
      </c>
      <c r="G222" s="141">
        <f t="shared" si="207"/>
        <v>0</v>
      </c>
      <c r="H222" s="141">
        <f t="shared" si="207"/>
        <v>0</v>
      </c>
      <c r="I222" s="141">
        <f t="shared" si="207"/>
        <v>5721.8083333333334</v>
      </c>
      <c r="J222" s="287">
        <f t="shared" si="207"/>
        <v>6866.17</v>
      </c>
      <c r="K222" s="287">
        <f t="shared" si="207"/>
        <v>6866.17</v>
      </c>
      <c r="L222" s="139"/>
      <c r="M222" s="139"/>
      <c r="N222" s="142"/>
      <c r="O222" s="141">
        <f t="shared" ref="O222:P222" si="208">SUM(O221:O221)</f>
        <v>0</v>
      </c>
      <c r="P222" s="141">
        <f t="shared" si="208"/>
        <v>0</v>
      </c>
      <c r="Q222" s="292"/>
      <c r="R222" s="337">
        <f t="shared" ref="R222:V222" si="209">SUM(R221:R221)</f>
        <v>0</v>
      </c>
      <c r="S222" s="337">
        <f t="shared" si="209"/>
        <v>0</v>
      </c>
      <c r="T222" s="337">
        <f t="shared" si="209"/>
        <v>0</v>
      </c>
      <c r="U222" s="337">
        <f t="shared" si="209"/>
        <v>0</v>
      </c>
      <c r="V222" s="337">
        <f t="shared" si="209"/>
        <v>0</v>
      </c>
    </row>
    <row r="223" spans="1:22">
      <c r="A223" s="54" t="s">
        <v>200</v>
      </c>
      <c r="B223" s="54"/>
      <c r="C223" s="56"/>
      <c r="D223" s="57"/>
      <c r="E223" s="50">
        <f>71685/1.2</f>
        <v>59737.5</v>
      </c>
      <c r="F223" s="50">
        <f t="shared" si="169"/>
        <v>0</v>
      </c>
      <c r="G223" s="50">
        <f t="shared" ref="G223" si="210">E223*$G$10</f>
        <v>0</v>
      </c>
      <c r="H223" s="50"/>
      <c r="I223" s="50">
        <f t="shared" ref="I223" si="211">+E223+F223-G223-H223</f>
        <v>59737.5</v>
      </c>
      <c r="J223" s="50">
        <f t="shared" si="172"/>
        <v>71685</v>
      </c>
      <c r="K223" s="50">
        <v>72000</v>
      </c>
      <c r="L223" s="51"/>
      <c r="M223" s="51"/>
      <c r="N223" s="52">
        <f t="shared" ref="N223" si="212">-IF(L223=0,,IF(M223=0,($C$10-L223),M223-L223))</f>
        <v>0</v>
      </c>
      <c r="O223" s="50">
        <f t="shared" ref="O223" si="213">+J223-K223</f>
        <v>-315</v>
      </c>
      <c r="P223" s="50">
        <f t="shared" ref="P223" si="214">+IF($C$10&lt;L223,0,O223)</f>
        <v>-315</v>
      </c>
      <c r="Q223" s="53"/>
      <c r="R223" s="316">
        <f t="shared" ref="R223" si="215">IF(N223&gt;=0,0,(IF(-N223&lt;=60,O223,0)))</f>
        <v>0</v>
      </c>
      <c r="S223" s="316">
        <f t="shared" ref="S223" si="216">IF(N223&gt;=0,0,(IF(N223&gt;=-60,0,IF(-60&gt;=N223,IF(N223&gt;=-120,O223,0)))))</f>
        <v>0</v>
      </c>
      <c r="T223" s="316">
        <f t="shared" ref="T223" si="217">IF(N223&gt;=0,0,(IF(N223&gt;-60,0,IF(-60&gt;=N223,IF(N223&gt;=-120,0,IF(N223&gt;=-180,O223,0))))))</f>
        <v>0</v>
      </c>
      <c r="U223" s="316">
        <f t="shared" ref="U223" si="218">IF(N223&gt;=0,0,(IF(N223&gt;-60,0,IF(-60&gt;=N223,IF(N223&gt;-120,0,IF(N223&gt;=-180,0,IF(N223&gt;=-365,O223,0)))))))</f>
        <v>0</v>
      </c>
      <c r="V223" s="316">
        <f t="shared" ref="V223" si="219">IF(N223&gt;=0,0,IF(365&lt;-N223,O223,0))</f>
        <v>0</v>
      </c>
    </row>
    <row r="224" spans="1:22" s="290" customFormat="1" ht="15">
      <c r="A224" s="138"/>
      <c r="B224" s="138"/>
      <c r="C224" s="286"/>
      <c r="D224" s="140"/>
      <c r="E224" s="141">
        <f t="shared" ref="E224:K224" si="220">SUM(E223:E223)</f>
        <v>59737.5</v>
      </c>
      <c r="F224" s="141">
        <f t="shared" si="220"/>
        <v>0</v>
      </c>
      <c r="G224" s="141">
        <f t="shared" si="220"/>
        <v>0</v>
      </c>
      <c r="H224" s="141">
        <f t="shared" si="220"/>
        <v>0</v>
      </c>
      <c r="I224" s="141">
        <f t="shared" si="220"/>
        <v>59737.5</v>
      </c>
      <c r="J224" s="287">
        <f t="shared" si="220"/>
        <v>71685</v>
      </c>
      <c r="K224" s="287">
        <f t="shared" si="220"/>
        <v>72000</v>
      </c>
      <c r="L224" s="139"/>
      <c r="M224" s="139"/>
      <c r="N224" s="142"/>
      <c r="O224" s="141">
        <f t="shared" ref="O224:P224" si="221">SUM(O223:O223)</f>
        <v>-315</v>
      </c>
      <c r="P224" s="141">
        <f t="shared" si="221"/>
        <v>-315</v>
      </c>
      <c r="Q224" s="292"/>
      <c r="R224" s="337">
        <f t="shared" ref="R224:V224" si="222">SUM(R223:R223)</f>
        <v>0</v>
      </c>
      <c r="S224" s="337">
        <f t="shared" si="222"/>
        <v>0</v>
      </c>
      <c r="T224" s="337">
        <f t="shared" si="222"/>
        <v>0</v>
      </c>
      <c r="U224" s="337">
        <f t="shared" si="222"/>
        <v>0</v>
      </c>
      <c r="V224" s="337">
        <f t="shared" si="222"/>
        <v>0</v>
      </c>
    </row>
    <row r="225" spans="1:24" ht="19.5" customHeight="1">
      <c r="A225" s="54" t="s">
        <v>201</v>
      </c>
      <c r="B225" s="54"/>
      <c r="C225" s="56"/>
      <c r="D225" s="57"/>
      <c r="E225" s="50">
        <f>25635.49/1.2</f>
        <v>21362.908333333336</v>
      </c>
      <c r="F225" s="50">
        <f t="shared" ref="F225:F231" si="223">-E225*$F$10</f>
        <v>0</v>
      </c>
      <c r="G225" s="50">
        <f t="shared" ref="G225" si="224">E225*$G$10</f>
        <v>0</v>
      </c>
      <c r="H225" s="50"/>
      <c r="I225" s="50">
        <f t="shared" ref="I225" si="225">+E225+F225-G225-H225</f>
        <v>21362.908333333336</v>
      </c>
      <c r="J225" s="50">
        <f t="shared" ref="J225:J231" si="226">+I225+(I225*$I$4)</f>
        <v>25635.490000000005</v>
      </c>
      <c r="K225" s="50">
        <v>25635.490000000005</v>
      </c>
      <c r="L225" s="51"/>
      <c r="M225" s="51"/>
      <c r="N225" s="52">
        <f t="shared" ref="N225" si="227">-IF(L225=0,,IF(M225=0,($C$10-L225),M225-L225))</f>
        <v>0</v>
      </c>
      <c r="O225" s="50">
        <f t="shared" ref="O225" si="228">+J225-K225</f>
        <v>0</v>
      </c>
      <c r="P225" s="50">
        <f t="shared" ref="P225" si="229">+IF($C$10&lt;L225,0,O225)</f>
        <v>0</v>
      </c>
      <c r="Q225" s="53"/>
      <c r="R225" s="316">
        <f t="shared" ref="R225" si="230">IF(N225&gt;=0,0,(IF(-N225&lt;=60,O225,0)))</f>
        <v>0</v>
      </c>
      <c r="S225" s="316">
        <f t="shared" ref="S225" si="231">IF(N225&gt;=0,0,(IF(N225&gt;=-60,0,IF(-60&gt;=N225,IF(N225&gt;=-120,O225,0)))))</f>
        <v>0</v>
      </c>
      <c r="T225" s="316">
        <f t="shared" ref="T225" si="232">IF(N225&gt;=0,0,(IF(N225&gt;-60,0,IF(-60&gt;=N225,IF(N225&gt;=-120,0,IF(N225&gt;=-180,O225,0))))))</f>
        <v>0</v>
      </c>
      <c r="U225" s="316">
        <f t="shared" ref="U225" si="233">IF(N225&gt;=0,0,(IF(N225&gt;-60,0,IF(-60&gt;=N225,IF(N225&gt;-120,0,IF(N225&gt;=-180,0,IF(N225&gt;=-365,O225,0)))))))</f>
        <v>0</v>
      </c>
      <c r="V225" s="316">
        <f t="shared" ref="V225" si="234">IF(N225&gt;=0,0,IF(365&lt;-N225,O225,0))</f>
        <v>0</v>
      </c>
    </row>
    <row r="226" spans="1:24" s="290" customFormat="1" ht="19.5" customHeight="1">
      <c r="A226" s="138"/>
      <c r="B226" s="138"/>
      <c r="C226" s="286"/>
      <c r="D226" s="140"/>
      <c r="E226" s="141">
        <f t="shared" ref="E226:K226" si="235">SUM(E225:E225)</f>
        <v>21362.908333333336</v>
      </c>
      <c r="F226" s="141">
        <f t="shared" si="235"/>
        <v>0</v>
      </c>
      <c r="G226" s="141">
        <f t="shared" si="235"/>
        <v>0</v>
      </c>
      <c r="H226" s="141">
        <f t="shared" si="235"/>
        <v>0</v>
      </c>
      <c r="I226" s="141">
        <f t="shared" si="235"/>
        <v>21362.908333333336</v>
      </c>
      <c r="J226" s="287">
        <f t="shared" si="235"/>
        <v>25635.490000000005</v>
      </c>
      <c r="K226" s="287">
        <f t="shared" si="235"/>
        <v>25635.490000000005</v>
      </c>
      <c r="L226" s="139"/>
      <c r="M226" s="139"/>
      <c r="N226" s="142"/>
      <c r="O226" s="141">
        <f t="shared" ref="O226:P226" si="236">SUM(O225:O225)</f>
        <v>0</v>
      </c>
      <c r="P226" s="141">
        <f t="shared" si="236"/>
        <v>0</v>
      </c>
      <c r="Q226" s="292"/>
      <c r="R226" s="337">
        <f t="shared" ref="R226:V226" si="237">SUM(R225:R225)</f>
        <v>0</v>
      </c>
      <c r="S226" s="337">
        <f t="shared" si="237"/>
        <v>0</v>
      </c>
      <c r="T226" s="337">
        <f t="shared" si="237"/>
        <v>0</v>
      </c>
      <c r="U226" s="337">
        <f t="shared" si="237"/>
        <v>0</v>
      </c>
      <c r="V226" s="337">
        <f t="shared" si="237"/>
        <v>0</v>
      </c>
    </row>
    <row r="227" spans="1:24" ht="19.5" customHeight="1">
      <c r="A227" s="54" t="s">
        <v>202</v>
      </c>
      <c r="B227" s="54"/>
      <c r="C227" s="56"/>
      <c r="D227" s="57"/>
      <c r="E227" s="50">
        <f>59089.04/1.2</f>
        <v>49240.866666666669</v>
      </c>
      <c r="F227" s="50">
        <f t="shared" si="223"/>
        <v>0</v>
      </c>
      <c r="G227" s="50">
        <f t="shared" ref="G227" si="238">E227*$G$10</f>
        <v>0</v>
      </c>
      <c r="H227" s="50"/>
      <c r="I227" s="50">
        <f t="shared" ref="I227" si="239">+E227+F227-G227-H227</f>
        <v>49240.866666666669</v>
      </c>
      <c r="J227" s="50">
        <f t="shared" si="226"/>
        <v>59089.04</v>
      </c>
      <c r="K227" s="50">
        <v>59089.04</v>
      </c>
      <c r="L227" s="51"/>
      <c r="M227" s="51"/>
      <c r="N227" s="52">
        <f t="shared" ref="N227" si="240">-IF(L227=0,,IF(M227=0,($C$10-L227),M227-L227))</f>
        <v>0</v>
      </c>
      <c r="O227" s="50">
        <f t="shared" ref="O227" si="241">+J227-K227</f>
        <v>0</v>
      </c>
      <c r="P227" s="50">
        <f t="shared" ref="P227" si="242">+IF($C$10&lt;L227,0,O227)</f>
        <v>0</v>
      </c>
      <c r="Q227" s="53"/>
      <c r="R227" s="316">
        <f t="shared" ref="R227" si="243">IF(N227&gt;=0,0,(IF(-N227&lt;=60,O227,0)))</f>
        <v>0</v>
      </c>
      <c r="S227" s="316">
        <f t="shared" ref="S227" si="244">IF(N227&gt;=0,0,(IF(N227&gt;=-60,0,IF(-60&gt;=N227,IF(N227&gt;=-120,O227,0)))))</f>
        <v>0</v>
      </c>
      <c r="T227" s="316">
        <f t="shared" ref="T227" si="245">IF(N227&gt;=0,0,(IF(N227&gt;-60,0,IF(-60&gt;=N227,IF(N227&gt;=-120,0,IF(N227&gt;=-180,O227,0))))))</f>
        <v>0</v>
      </c>
      <c r="U227" s="316">
        <f t="shared" ref="U227" si="246">IF(N227&gt;=0,0,(IF(N227&gt;-60,0,IF(-60&gt;=N227,IF(N227&gt;-120,0,IF(N227&gt;=-180,0,IF(N227&gt;=-365,O227,0)))))))</f>
        <v>0</v>
      </c>
      <c r="V227" s="316">
        <f t="shared" ref="V227" si="247">IF(N227&gt;=0,0,IF(365&lt;-N227,O227,0))</f>
        <v>0</v>
      </c>
    </row>
    <row r="228" spans="1:24" s="290" customFormat="1" ht="19.5" customHeight="1">
      <c r="A228" s="138"/>
      <c r="B228" s="138"/>
      <c r="C228" s="286"/>
      <c r="D228" s="140"/>
      <c r="E228" s="141">
        <f t="shared" ref="E228:K228" si="248">SUM(E227:E227)</f>
        <v>49240.866666666669</v>
      </c>
      <c r="F228" s="141">
        <f t="shared" si="248"/>
        <v>0</v>
      </c>
      <c r="G228" s="141">
        <f t="shared" si="248"/>
        <v>0</v>
      </c>
      <c r="H228" s="141">
        <f t="shared" si="248"/>
        <v>0</v>
      </c>
      <c r="I228" s="141">
        <f t="shared" si="248"/>
        <v>49240.866666666669</v>
      </c>
      <c r="J228" s="287">
        <f t="shared" si="248"/>
        <v>59089.04</v>
      </c>
      <c r="K228" s="287">
        <f t="shared" si="248"/>
        <v>59089.04</v>
      </c>
      <c r="L228" s="139"/>
      <c r="M228" s="139"/>
      <c r="N228" s="142"/>
      <c r="O228" s="141">
        <f t="shared" ref="O228:P228" si="249">SUM(O227:O227)</f>
        <v>0</v>
      </c>
      <c r="P228" s="141">
        <f t="shared" si="249"/>
        <v>0</v>
      </c>
      <c r="Q228" s="292"/>
      <c r="R228" s="337">
        <f t="shared" ref="R228:V228" si="250">SUM(R227:R227)</f>
        <v>0</v>
      </c>
      <c r="S228" s="337">
        <f t="shared" si="250"/>
        <v>0</v>
      </c>
      <c r="T228" s="337">
        <f t="shared" si="250"/>
        <v>0</v>
      </c>
      <c r="U228" s="337">
        <f t="shared" si="250"/>
        <v>0</v>
      </c>
      <c r="V228" s="337">
        <f t="shared" si="250"/>
        <v>0</v>
      </c>
    </row>
    <row r="229" spans="1:24" ht="19.5" customHeight="1">
      <c r="A229" s="54" t="s">
        <v>151</v>
      </c>
      <c r="B229" s="54"/>
      <c r="C229" s="56"/>
      <c r="D229" s="57"/>
      <c r="E229" s="50">
        <f>261762.82/1.2</f>
        <v>218135.68333333335</v>
      </c>
      <c r="F229" s="50">
        <f t="shared" si="223"/>
        <v>0</v>
      </c>
      <c r="G229" s="50">
        <f t="shared" ref="G229" si="251">E229*$G$10</f>
        <v>0</v>
      </c>
      <c r="H229" s="50"/>
      <c r="I229" s="50">
        <f t="shared" ref="I229" si="252">+E229+F229-G229-H229</f>
        <v>218135.68333333335</v>
      </c>
      <c r="J229" s="50">
        <f t="shared" si="226"/>
        <v>261762.82</v>
      </c>
      <c r="K229" s="50">
        <v>261762.83</v>
      </c>
      <c r="L229" s="51"/>
      <c r="M229" s="51"/>
      <c r="N229" s="52">
        <f t="shared" ref="N229" si="253">-IF(L229=0,,IF(M229=0,($C$10-L229),M229-L229))</f>
        <v>0</v>
      </c>
      <c r="O229" s="50">
        <f t="shared" ref="O229" si="254">+J229-K229</f>
        <v>-9.9999999802093953E-3</v>
      </c>
      <c r="P229" s="50">
        <f t="shared" ref="P229" si="255">+IF($C$10&lt;L229,0,O229)</f>
        <v>-9.9999999802093953E-3</v>
      </c>
      <c r="Q229" s="53"/>
      <c r="R229" s="316">
        <f t="shared" ref="R229" si="256">IF(N229&gt;=0,0,(IF(-N229&lt;=60,O229,0)))</f>
        <v>0</v>
      </c>
      <c r="S229" s="316">
        <f t="shared" ref="S229" si="257">IF(N229&gt;=0,0,(IF(N229&gt;=-60,0,IF(-60&gt;=N229,IF(N229&gt;=-120,O229,0)))))</f>
        <v>0</v>
      </c>
      <c r="T229" s="316">
        <f t="shared" ref="T229" si="258">IF(N229&gt;=0,0,(IF(N229&gt;-60,0,IF(-60&gt;=N229,IF(N229&gt;=-120,0,IF(N229&gt;=-180,O229,0))))))</f>
        <v>0</v>
      </c>
      <c r="U229" s="316">
        <f t="shared" ref="U229" si="259">IF(N229&gt;=0,0,(IF(N229&gt;-60,0,IF(-60&gt;=N229,IF(N229&gt;-120,0,IF(N229&gt;=-180,0,IF(N229&gt;=-365,O229,0)))))))</f>
        <v>0</v>
      </c>
      <c r="V229" s="316">
        <f t="shared" ref="V229" si="260">IF(N229&gt;=0,0,IF(365&lt;-N229,O229,0))</f>
        <v>0</v>
      </c>
    </row>
    <row r="230" spans="1:24" s="290" customFormat="1" ht="19.5" customHeight="1">
      <c r="A230" s="138"/>
      <c r="B230" s="138"/>
      <c r="C230" s="286"/>
      <c r="D230" s="140"/>
      <c r="E230" s="141">
        <f t="shared" ref="E230:K230" si="261">SUM(E229:E229)</f>
        <v>218135.68333333335</v>
      </c>
      <c r="F230" s="141">
        <f t="shared" si="261"/>
        <v>0</v>
      </c>
      <c r="G230" s="141">
        <f t="shared" si="261"/>
        <v>0</v>
      </c>
      <c r="H230" s="141">
        <f t="shared" si="261"/>
        <v>0</v>
      </c>
      <c r="I230" s="141">
        <f t="shared" si="261"/>
        <v>218135.68333333335</v>
      </c>
      <c r="J230" s="287">
        <f t="shared" si="261"/>
        <v>261762.82</v>
      </c>
      <c r="K230" s="287">
        <f t="shared" si="261"/>
        <v>261762.83</v>
      </c>
      <c r="L230" s="139"/>
      <c r="M230" s="139"/>
      <c r="N230" s="142"/>
      <c r="O230" s="141">
        <f t="shared" ref="O230:P230" si="262">SUM(O229:O229)</f>
        <v>-9.9999999802093953E-3</v>
      </c>
      <c r="P230" s="141">
        <f t="shared" si="262"/>
        <v>-9.9999999802093953E-3</v>
      </c>
      <c r="Q230" s="292"/>
      <c r="R230" s="337">
        <f t="shared" ref="R230:V230" si="263">SUM(R229:R229)</f>
        <v>0</v>
      </c>
      <c r="S230" s="337">
        <f t="shared" si="263"/>
        <v>0</v>
      </c>
      <c r="T230" s="337">
        <f t="shared" si="263"/>
        <v>0</v>
      </c>
      <c r="U230" s="337">
        <f t="shared" si="263"/>
        <v>0</v>
      </c>
      <c r="V230" s="337">
        <f t="shared" si="263"/>
        <v>0</v>
      </c>
    </row>
    <row r="231" spans="1:24" ht="19.5" customHeight="1">
      <c r="A231" s="54" t="s">
        <v>149</v>
      </c>
      <c r="B231" s="54"/>
      <c r="C231" s="56"/>
      <c r="D231" s="57"/>
      <c r="E231" s="50">
        <f>1798991.62/1.2</f>
        <v>1499159.6833333336</v>
      </c>
      <c r="F231" s="50">
        <f t="shared" si="223"/>
        <v>0</v>
      </c>
      <c r="G231" s="50">
        <f t="shared" ref="G231" si="264">E231*$G$10</f>
        <v>0</v>
      </c>
      <c r="H231" s="50"/>
      <c r="I231" s="50">
        <f t="shared" ref="I231" si="265">+E231+F231-G231-H231</f>
        <v>1499159.6833333336</v>
      </c>
      <c r="J231" s="50">
        <f t="shared" si="226"/>
        <v>1798991.6200000003</v>
      </c>
      <c r="K231" s="50">
        <v>1798991.6200000003</v>
      </c>
      <c r="L231" s="51"/>
      <c r="M231" s="51"/>
      <c r="N231" s="52">
        <f t="shared" ref="N231" si="266">-IF(L231=0,,IF(M231=0,($C$10-L231),M231-L231))</f>
        <v>0</v>
      </c>
      <c r="O231" s="50">
        <f t="shared" ref="O231" si="267">+J231-K231</f>
        <v>0</v>
      </c>
      <c r="P231" s="50">
        <f t="shared" ref="P231" si="268">+IF($C$10&lt;L231,0,O231)</f>
        <v>0</v>
      </c>
      <c r="Q231" s="53"/>
      <c r="R231" s="316">
        <f t="shared" ref="R231" si="269">IF(N231&gt;=0,0,(IF(-N231&lt;=60,O231,0)))</f>
        <v>0</v>
      </c>
      <c r="S231" s="316">
        <f t="shared" ref="S231" si="270">IF(N231&gt;=0,0,(IF(N231&gt;=-60,0,IF(-60&gt;=N231,IF(N231&gt;=-120,O231,0)))))</f>
        <v>0</v>
      </c>
      <c r="T231" s="316">
        <f t="shared" ref="T231" si="271">IF(N231&gt;=0,0,(IF(N231&gt;-60,0,IF(-60&gt;=N231,IF(N231&gt;=-120,0,IF(N231&gt;=-180,O231,0))))))</f>
        <v>0</v>
      </c>
      <c r="U231" s="316">
        <f t="shared" ref="U231" si="272">IF(N231&gt;=0,0,(IF(N231&gt;-60,0,IF(-60&gt;=N231,IF(N231&gt;-120,0,IF(N231&gt;=-180,0,IF(N231&gt;=-365,O231,0)))))))</f>
        <v>0</v>
      </c>
      <c r="V231" s="316">
        <f t="shared" ref="V231" si="273">IF(N231&gt;=0,0,IF(365&lt;-N231,O231,0))</f>
        <v>0</v>
      </c>
    </row>
    <row r="232" spans="1:24" s="290" customFormat="1" ht="19.5" customHeight="1">
      <c r="A232" s="138"/>
      <c r="B232" s="138"/>
      <c r="C232" s="286"/>
      <c r="D232" s="140"/>
      <c r="E232" s="141">
        <f t="shared" ref="E232:K232" si="274">SUM(E231:E231)</f>
        <v>1499159.6833333336</v>
      </c>
      <c r="F232" s="141">
        <f t="shared" si="274"/>
        <v>0</v>
      </c>
      <c r="G232" s="141">
        <f t="shared" si="274"/>
        <v>0</v>
      </c>
      <c r="H232" s="141">
        <f t="shared" si="274"/>
        <v>0</v>
      </c>
      <c r="I232" s="141">
        <f t="shared" si="274"/>
        <v>1499159.6833333336</v>
      </c>
      <c r="J232" s="287">
        <f t="shared" si="274"/>
        <v>1798991.6200000003</v>
      </c>
      <c r="K232" s="287">
        <f t="shared" si="274"/>
        <v>1798991.6200000003</v>
      </c>
      <c r="L232" s="139"/>
      <c r="M232" s="139"/>
      <c r="N232" s="142"/>
      <c r="O232" s="141">
        <f t="shared" ref="O232:P232" si="275">SUM(O231:O231)</f>
        <v>0</v>
      </c>
      <c r="P232" s="141">
        <f t="shared" si="275"/>
        <v>0</v>
      </c>
      <c r="Q232" s="292"/>
      <c r="R232" s="337">
        <f t="shared" ref="R232:V232" si="276">SUM(R231:R231)</f>
        <v>0</v>
      </c>
      <c r="S232" s="337">
        <f t="shared" si="276"/>
        <v>0</v>
      </c>
      <c r="T232" s="337">
        <f t="shared" si="276"/>
        <v>0</v>
      </c>
      <c r="U232" s="337">
        <f t="shared" si="276"/>
        <v>0</v>
      </c>
      <c r="V232" s="337">
        <f t="shared" si="276"/>
        <v>0</v>
      </c>
    </row>
    <row r="233" spans="1:24" ht="19.5" customHeight="1">
      <c r="A233" s="54" t="s">
        <v>203</v>
      </c>
      <c r="B233" s="54"/>
      <c r="C233" s="56"/>
      <c r="D233" s="57"/>
      <c r="E233" s="50">
        <f>49200/1.2</f>
        <v>41000</v>
      </c>
      <c r="F233" s="50">
        <f t="shared" ref="F233" si="277">-E233*$F$10</f>
        <v>0</v>
      </c>
      <c r="G233" s="50">
        <f t="shared" ref="G233" si="278">E233*$G$10</f>
        <v>0</v>
      </c>
      <c r="H233" s="50"/>
      <c r="I233" s="50">
        <f t="shared" ref="I233" si="279">+E233+F233-G233-H233</f>
        <v>41000</v>
      </c>
      <c r="J233" s="50">
        <f t="shared" ref="J233" si="280">+I233+(I233*$I$4)</f>
        <v>49200</v>
      </c>
      <c r="K233" s="50">
        <v>49200</v>
      </c>
      <c r="L233" s="51"/>
      <c r="M233" s="51"/>
      <c r="N233" s="52">
        <f t="shared" ref="N233" si="281">-IF(L233=0,,IF(M233=0,($C$10-L233),M233-L233))</f>
        <v>0</v>
      </c>
      <c r="O233" s="50">
        <f t="shared" ref="O233" si="282">+J233-K233</f>
        <v>0</v>
      </c>
      <c r="P233" s="50">
        <f t="shared" ref="P233" si="283">+IF($C$10&lt;L233,0,O233)</f>
        <v>0</v>
      </c>
      <c r="Q233" s="53"/>
      <c r="R233" s="316">
        <f t="shared" ref="R233" si="284">IF(N233&gt;=0,0,(IF(-N233&lt;=60,O233,0)))</f>
        <v>0</v>
      </c>
      <c r="S233" s="316">
        <f t="shared" ref="S233" si="285">IF(N233&gt;=0,0,(IF(N233&gt;=-60,0,IF(-60&gt;=N233,IF(N233&gt;=-120,O233,0)))))</f>
        <v>0</v>
      </c>
      <c r="T233" s="316">
        <f t="shared" ref="T233" si="286">IF(N233&gt;=0,0,(IF(N233&gt;-60,0,IF(-60&gt;=N233,IF(N233&gt;=-120,0,IF(N233&gt;=-180,O233,0))))))</f>
        <v>0</v>
      </c>
      <c r="U233" s="316">
        <f t="shared" ref="U233" si="287">IF(N233&gt;=0,0,(IF(N233&gt;-60,0,IF(-60&gt;=N233,IF(N233&gt;-120,0,IF(N233&gt;=-180,0,IF(N233&gt;=-365,O233,0)))))))</f>
        <v>0</v>
      </c>
      <c r="V233" s="316">
        <f t="shared" ref="V233" si="288">IF(N233&gt;=0,0,IF(365&lt;-N233,O233,0))</f>
        <v>0</v>
      </c>
    </row>
    <row r="234" spans="1:24" s="290" customFormat="1" ht="19.5" customHeight="1">
      <c r="A234" s="138"/>
      <c r="B234" s="138"/>
      <c r="C234" s="286"/>
      <c r="D234" s="140"/>
      <c r="E234" s="141">
        <f t="shared" ref="E234:K234" si="289">SUM(E233:E233)</f>
        <v>41000</v>
      </c>
      <c r="F234" s="141">
        <f t="shared" si="289"/>
        <v>0</v>
      </c>
      <c r="G234" s="141">
        <f t="shared" si="289"/>
        <v>0</v>
      </c>
      <c r="H234" s="141">
        <f t="shared" si="289"/>
        <v>0</v>
      </c>
      <c r="I234" s="141">
        <f t="shared" si="289"/>
        <v>41000</v>
      </c>
      <c r="J234" s="287">
        <f t="shared" si="289"/>
        <v>49200</v>
      </c>
      <c r="K234" s="287">
        <f t="shared" si="289"/>
        <v>49200</v>
      </c>
      <c r="L234" s="139"/>
      <c r="M234" s="139"/>
      <c r="N234" s="142"/>
      <c r="O234" s="141">
        <f t="shared" ref="O234:P234" si="290">SUM(O233:O233)</f>
        <v>0</v>
      </c>
      <c r="P234" s="141">
        <f t="shared" si="290"/>
        <v>0</v>
      </c>
      <c r="Q234" s="292"/>
      <c r="R234" s="337">
        <f t="shared" ref="R234:V234" si="291">SUM(R233:R233)</f>
        <v>0</v>
      </c>
      <c r="S234" s="337">
        <f t="shared" si="291"/>
        <v>0</v>
      </c>
      <c r="T234" s="337">
        <f t="shared" si="291"/>
        <v>0</v>
      </c>
      <c r="U234" s="337">
        <f t="shared" si="291"/>
        <v>0</v>
      </c>
      <c r="V234" s="337">
        <f t="shared" si="291"/>
        <v>0</v>
      </c>
    </row>
    <row r="235" spans="1:24" ht="19.5" customHeight="1">
      <c r="A235" s="54" t="s">
        <v>190</v>
      </c>
      <c r="B235" s="54"/>
      <c r="C235" s="56"/>
      <c r="D235" s="57"/>
      <c r="E235" s="50">
        <f>480444.47/1.2</f>
        <v>400370.39166666666</v>
      </c>
      <c r="F235" s="50">
        <f t="shared" ref="F235" si="292">-E235*$F$10</f>
        <v>0</v>
      </c>
      <c r="G235" s="50">
        <f t="shared" ref="G235" si="293">E235*$G$10</f>
        <v>0</v>
      </c>
      <c r="H235" s="50"/>
      <c r="I235" s="50">
        <f t="shared" ref="I235" si="294">+E235+F235-G235-H235</f>
        <v>400370.39166666666</v>
      </c>
      <c r="J235" s="50">
        <f t="shared" ref="J235" si="295">+I235+(I235*$I$4)</f>
        <v>480444.47</v>
      </c>
      <c r="K235" s="50">
        <v>480444.47</v>
      </c>
      <c r="L235" s="51"/>
      <c r="M235" s="51"/>
      <c r="N235" s="52">
        <f t="shared" ref="N235" si="296">-IF(L235=0,,IF(M235=0,($C$10-L235),M235-L235))</f>
        <v>0</v>
      </c>
      <c r="O235" s="50">
        <f t="shared" ref="O235" si="297">+J235-K235</f>
        <v>0</v>
      </c>
      <c r="P235" s="50">
        <f t="shared" ref="P235" si="298">+IF($C$10&lt;L235,0,O235)</f>
        <v>0</v>
      </c>
      <c r="Q235" s="53"/>
      <c r="R235" s="316">
        <f t="shared" ref="R235" si="299">IF(N235&gt;=0,0,(IF(-N235&lt;=60,O235,0)))</f>
        <v>0</v>
      </c>
      <c r="S235" s="316">
        <f t="shared" ref="S235" si="300">IF(N235&gt;=0,0,(IF(N235&gt;=-60,0,IF(-60&gt;=N235,IF(N235&gt;=-120,O235,0)))))</f>
        <v>0</v>
      </c>
      <c r="T235" s="316">
        <f t="shared" ref="T235" si="301">IF(N235&gt;=0,0,(IF(N235&gt;-60,0,IF(-60&gt;=N235,IF(N235&gt;=-120,0,IF(N235&gt;=-180,O235,0))))))</f>
        <v>0</v>
      </c>
      <c r="U235" s="316">
        <f t="shared" ref="U235" si="302">IF(N235&gt;=0,0,(IF(N235&gt;-60,0,IF(-60&gt;=N235,IF(N235&gt;-120,0,IF(N235&gt;=-180,0,IF(N235&gt;=-365,O235,0)))))))</f>
        <v>0</v>
      </c>
      <c r="V235" s="316">
        <f t="shared" ref="V235" si="303">IF(N235&gt;=0,0,IF(365&lt;-N235,O235,0))</f>
        <v>0</v>
      </c>
    </row>
    <row r="236" spans="1:24" s="290" customFormat="1" ht="19.5" customHeight="1">
      <c r="A236" s="138"/>
      <c r="B236" s="138"/>
      <c r="C236" s="286"/>
      <c r="D236" s="140"/>
      <c r="E236" s="141">
        <f t="shared" ref="E236:K236" si="304">SUM(E235:E235)</f>
        <v>400370.39166666666</v>
      </c>
      <c r="F236" s="141">
        <f t="shared" si="304"/>
        <v>0</v>
      </c>
      <c r="G236" s="141">
        <f t="shared" si="304"/>
        <v>0</v>
      </c>
      <c r="H236" s="141">
        <f t="shared" si="304"/>
        <v>0</v>
      </c>
      <c r="I236" s="141">
        <f t="shared" si="304"/>
        <v>400370.39166666666</v>
      </c>
      <c r="J236" s="287">
        <f t="shared" si="304"/>
        <v>480444.47</v>
      </c>
      <c r="K236" s="287">
        <f t="shared" si="304"/>
        <v>480444.47</v>
      </c>
      <c r="L236" s="139"/>
      <c r="M236" s="139"/>
      <c r="N236" s="142"/>
      <c r="O236" s="141">
        <f t="shared" ref="O236:P236" si="305">SUM(O235:O235)</f>
        <v>0</v>
      </c>
      <c r="P236" s="141">
        <f t="shared" si="305"/>
        <v>0</v>
      </c>
      <c r="Q236" s="292"/>
      <c r="R236" s="337">
        <f t="shared" ref="R236:V236" si="306">SUM(R235:R235)</f>
        <v>0</v>
      </c>
      <c r="S236" s="337">
        <f t="shared" si="306"/>
        <v>0</v>
      </c>
      <c r="T236" s="337">
        <f t="shared" si="306"/>
        <v>0</v>
      </c>
      <c r="U236" s="337">
        <f t="shared" si="306"/>
        <v>0</v>
      </c>
      <c r="V236" s="337">
        <f t="shared" si="306"/>
        <v>0</v>
      </c>
    </row>
    <row r="237" spans="1:24" ht="19.5" customHeight="1">
      <c r="A237" s="54" t="s">
        <v>185</v>
      </c>
      <c r="B237" s="54"/>
      <c r="C237" s="56"/>
      <c r="D237" s="57"/>
      <c r="E237" s="50">
        <v>11897812.58</v>
      </c>
      <c r="F237" s="50">
        <f>-E237*$F$10</f>
        <v>0</v>
      </c>
      <c r="G237" s="50">
        <f>E237*$G$10</f>
        <v>0</v>
      </c>
      <c r="H237" s="50"/>
      <c r="I237" s="50">
        <f>+E237+F237-G237-H237</f>
        <v>11897812.58</v>
      </c>
      <c r="J237" s="50">
        <f>+I237+(I237*$I$4)</f>
        <v>14277375.096000001</v>
      </c>
      <c r="K237" s="50">
        <v>14277375.096000001</v>
      </c>
      <c r="L237" s="51"/>
      <c r="M237" s="51"/>
      <c r="N237" s="52">
        <f>-IF(L237=0,,IF(M237=0,($C$10-L237),M237-L237))</f>
        <v>0</v>
      </c>
      <c r="O237" s="50">
        <f>+J237-K237</f>
        <v>0</v>
      </c>
      <c r="P237" s="50">
        <f>+IF($C$10&lt;L237,0,O237)</f>
        <v>0</v>
      </c>
      <c r="Q237" s="53"/>
      <c r="R237" s="316">
        <f>IF(N237&gt;=0,0,(IF(-N237&lt;=60,O237,0)))</f>
        <v>0</v>
      </c>
      <c r="S237" s="316">
        <f>IF(N237&gt;=0,0,(IF(N237&gt;=-60,0,IF(-60&gt;=N237,IF(N237&gt;=-120,O237,0)))))</f>
        <v>0</v>
      </c>
      <c r="T237" s="316">
        <f>IF(N237&gt;=0,0,(IF(N237&gt;-60,0,IF(-60&gt;=N237,IF(N237&gt;=-120,0,IF(N237&gt;=-180,O237,0))))))</f>
        <v>0</v>
      </c>
      <c r="U237" s="316">
        <f>IF(N237&gt;=0,0,(IF(N237&gt;-60,0,IF(-60&gt;=N237,IF(N237&gt;-120,0,IF(N237&gt;=-180,0,IF(N237&gt;=-365,O237,0)))))))</f>
        <v>0</v>
      </c>
      <c r="V237" s="316">
        <f>IF(N237&gt;=0,0,IF(365&lt;-N237,O237,0))</f>
        <v>0</v>
      </c>
    </row>
    <row r="238" spans="1:24" s="290" customFormat="1" ht="19.5" customHeight="1">
      <c r="A238" s="138"/>
      <c r="B238" s="138"/>
      <c r="C238" s="286"/>
      <c r="D238" s="140"/>
      <c r="E238" s="141">
        <f t="shared" ref="E238:K238" si="307">SUM(E237:E237)</f>
        <v>11897812.58</v>
      </c>
      <c r="F238" s="141">
        <f t="shared" si="307"/>
        <v>0</v>
      </c>
      <c r="G238" s="141">
        <f t="shared" si="307"/>
        <v>0</v>
      </c>
      <c r="H238" s="141">
        <f t="shared" si="307"/>
        <v>0</v>
      </c>
      <c r="I238" s="141">
        <f t="shared" si="307"/>
        <v>11897812.58</v>
      </c>
      <c r="J238" s="287">
        <f t="shared" si="307"/>
        <v>14277375.096000001</v>
      </c>
      <c r="K238" s="287">
        <f t="shared" si="307"/>
        <v>14277375.096000001</v>
      </c>
      <c r="L238" s="139"/>
      <c r="M238" s="139"/>
      <c r="N238" s="142"/>
      <c r="O238" s="141">
        <f>SUM(O237:O237)</f>
        <v>0</v>
      </c>
      <c r="P238" s="141">
        <f>SUM(P237:P237)</f>
        <v>0</v>
      </c>
      <c r="Q238" s="292"/>
      <c r="R238" s="337">
        <f>SUM(R237:R237)</f>
        <v>0</v>
      </c>
      <c r="S238" s="337">
        <f>SUM(S237:S237)</f>
        <v>0</v>
      </c>
      <c r="T238" s="337">
        <f>SUM(T237:T237)</f>
        <v>0</v>
      </c>
      <c r="U238" s="337">
        <f>SUM(U237:U237)</f>
        <v>0</v>
      </c>
      <c r="V238" s="337">
        <f>SUM(V237:V237)</f>
        <v>0</v>
      </c>
    </row>
    <row r="239" spans="1:24" s="290" customFormat="1" ht="18.75" customHeight="1" thickBot="1">
      <c r="A239" s="138"/>
      <c r="B239" s="387" t="s">
        <v>204</v>
      </c>
      <c r="C239" s="388"/>
      <c r="D239" s="389"/>
      <c r="E239" s="295">
        <f>SUM(E238,E236,E234,E232,E230,E228,E226,E224,E222,E220,E218,E216,E214,E212,E210,E208)</f>
        <v>15349884.330000002</v>
      </c>
      <c r="F239" s="295">
        <f t="shared" ref="F239:K239" si="308">SUM(F238,F236,F234,F232,F230,F228,F226,F224,F222,F220,F218,F216,F214,F212,F210,F208)</f>
        <v>0</v>
      </c>
      <c r="G239" s="295">
        <f t="shared" si="308"/>
        <v>0</v>
      </c>
      <c r="H239" s="295">
        <f t="shared" si="308"/>
        <v>0</v>
      </c>
      <c r="I239" s="295">
        <f t="shared" si="308"/>
        <v>15349884.330000002</v>
      </c>
      <c r="J239" s="295">
        <f t="shared" si="308"/>
        <v>18419861.196000002</v>
      </c>
      <c r="K239" s="295">
        <f t="shared" si="308"/>
        <v>18420176.166000005</v>
      </c>
      <c r="L239" s="139"/>
      <c r="M239" s="139"/>
      <c r="N239" s="142"/>
      <c r="O239" s="141">
        <f t="shared" ref="O239:V239" si="309">SUM(O238,O236,O234,O232,O230,O228,O226,O224,O222,O220,O218,O216,O214,O212,O210,O208)</f>
        <v>-314.96999999994296</v>
      </c>
      <c r="P239" s="141">
        <f t="shared" si="309"/>
        <v>-314.96999999994296</v>
      </c>
      <c r="Q239" s="292">
        <f t="shared" si="309"/>
        <v>0</v>
      </c>
      <c r="R239" s="337">
        <f t="shared" si="309"/>
        <v>0</v>
      </c>
      <c r="S239" s="337">
        <f t="shared" si="309"/>
        <v>0</v>
      </c>
      <c r="T239" s="337">
        <f t="shared" si="309"/>
        <v>0</v>
      </c>
      <c r="U239" s="337">
        <f t="shared" si="309"/>
        <v>0</v>
      </c>
      <c r="V239" s="337">
        <f t="shared" si="309"/>
        <v>0</v>
      </c>
      <c r="X239" s="296"/>
    </row>
    <row r="240" spans="1:24" s="292" customFormat="1" ht="28.5" customHeight="1" thickBot="1">
      <c r="A240" s="297"/>
      <c r="B240" s="298" t="s">
        <v>58</v>
      </c>
      <c r="C240" s="298"/>
      <c r="D240" s="298"/>
      <c r="E240" s="299">
        <f>E239+E205+E191+E119</f>
        <v>120515014.64500001</v>
      </c>
      <c r="F240" s="299">
        <f t="shared" ref="F240:K240" si="310">F239+F205+F191+F119</f>
        <v>0</v>
      </c>
      <c r="G240" s="299">
        <f t="shared" si="310"/>
        <v>0</v>
      </c>
      <c r="H240" s="299">
        <f t="shared" si="310"/>
        <v>0</v>
      </c>
      <c r="I240" s="299">
        <f t="shared" si="310"/>
        <v>120515014.64500001</v>
      </c>
      <c r="J240" s="299">
        <f t="shared" si="310"/>
        <v>144618017.574</v>
      </c>
      <c r="K240" s="299">
        <f t="shared" si="310"/>
        <v>144195245.84400001</v>
      </c>
      <c r="L240" s="300"/>
      <c r="M240" s="300"/>
      <c r="N240" s="300"/>
      <c r="O240" s="299">
        <f t="shared" ref="O240:V240" si="311">O239+O205+O191+O119</f>
        <v>422771.7300000001</v>
      </c>
      <c r="P240" s="299">
        <f t="shared" si="311"/>
        <v>422771.7300000001</v>
      </c>
      <c r="Q240" s="292">
        <f t="shared" si="311"/>
        <v>0</v>
      </c>
      <c r="R240" s="301">
        <f t="shared" si="311"/>
        <v>0</v>
      </c>
      <c r="S240" s="301">
        <f t="shared" si="311"/>
        <v>0</v>
      </c>
      <c r="T240" s="301">
        <f t="shared" si="311"/>
        <v>36351.08</v>
      </c>
      <c r="U240" s="301">
        <f t="shared" si="311"/>
        <v>0</v>
      </c>
      <c r="V240" s="301">
        <f t="shared" si="311"/>
        <v>391223.42000000004</v>
      </c>
    </row>
    <row r="241" spans="1:22">
      <c r="A241" s="66"/>
      <c r="B241" s="67"/>
      <c r="C241" s="67"/>
      <c r="D241" s="68" t="s">
        <v>59</v>
      </c>
      <c r="E241" s="69">
        <f>+E240/$M$7</f>
        <v>1.0000000039690768</v>
      </c>
      <c r="F241" s="67"/>
      <c r="G241" s="302"/>
      <c r="H241" s="67"/>
      <c r="I241" s="67"/>
      <c r="J241" s="68" t="s">
        <v>60</v>
      </c>
      <c r="K241" s="69">
        <f>+K240/J240</f>
        <v>0.99707663168744753</v>
      </c>
      <c r="L241" s="67"/>
      <c r="M241" s="67"/>
      <c r="N241" s="67"/>
      <c r="O241" s="67"/>
      <c r="P241" s="70"/>
      <c r="Q241" s="53"/>
      <c r="R241" s="53"/>
      <c r="S241" s="53"/>
      <c r="T241" s="53"/>
      <c r="U241" s="53"/>
      <c r="V241" s="53"/>
    </row>
    <row r="242" spans="1:22" ht="17.25" thickBot="1">
      <c r="A242" s="71"/>
      <c r="B242" s="72"/>
      <c r="C242" s="72"/>
      <c r="D242" s="73" t="s">
        <v>61</v>
      </c>
      <c r="E242" s="74">
        <f>+$M$7-$E$240</f>
        <v>-0.47833333909511566</v>
      </c>
      <c r="F242" s="75">
        <f>+E242/M7</f>
        <v>-3.9690767362280925E-9</v>
      </c>
      <c r="G242" s="72"/>
      <c r="H242" s="72"/>
      <c r="I242" s="72"/>
      <c r="J242" s="303"/>
      <c r="K242" s="72"/>
      <c r="L242" s="72"/>
      <c r="M242" s="72"/>
      <c r="N242" s="72"/>
      <c r="O242" s="72"/>
      <c r="P242" s="76"/>
      <c r="Q242" s="53"/>
      <c r="R242" s="53"/>
      <c r="S242" s="53"/>
      <c r="T242" s="53"/>
      <c r="U242" s="53"/>
      <c r="V242" s="53"/>
    </row>
    <row r="243" spans="1:22">
      <c r="A243" s="53"/>
      <c r="B243" s="66"/>
      <c r="C243" s="67"/>
      <c r="D243" s="67"/>
      <c r="E243" s="67"/>
      <c r="F243" s="67"/>
      <c r="G243" s="67"/>
      <c r="H243" s="67"/>
      <c r="I243" s="67"/>
      <c r="J243" s="67"/>
      <c r="K243" s="67"/>
      <c r="L243" s="67"/>
      <c r="M243" s="67"/>
      <c r="N243" s="70"/>
      <c r="O243" s="53"/>
      <c r="P243" s="53"/>
      <c r="Q243" s="53"/>
      <c r="R243" s="53"/>
      <c r="S243" s="53"/>
      <c r="T243" s="53"/>
      <c r="U243" s="53"/>
      <c r="V243" s="53"/>
    </row>
    <row r="244" spans="1:22" ht="21">
      <c r="A244" s="53"/>
      <c r="B244" s="275"/>
      <c r="C244" s="182" t="s">
        <v>62</v>
      </c>
      <c r="D244" s="182"/>
      <c r="E244" s="182"/>
      <c r="F244" s="182"/>
      <c r="G244" s="182"/>
      <c r="H244" s="182" t="s">
        <v>205</v>
      </c>
      <c r="I244" s="145"/>
      <c r="J244" s="145"/>
      <c r="K244" s="145"/>
      <c r="L244" s="145"/>
      <c r="M244" s="145"/>
      <c r="N244" s="146"/>
      <c r="O244" s="53"/>
      <c r="P244" s="53"/>
      <c r="Q244" s="53"/>
      <c r="R244" s="53"/>
      <c r="S244" s="53"/>
      <c r="T244" s="53"/>
      <c r="U244" s="53"/>
      <c r="V244" s="53"/>
    </row>
    <row r="245" spans="1:22" ht="17.25" thickBot="1">
      <c r="A245" s="53"/>
      <c r="B245" s="275"/>
      <c r="C245" s="145"/>
      <c r="D245" s="145"/>
      <c r="E245" s="145"/>
      <c r="F245" s="145"/>
      <c r="G245" s="147"/>
      <c r="H245" s="145"/>
      <c r="I245" s="145"/>
      <c r="J245" s="145"/>
      <c r="K245" s="145"/>
      <c r="L245" s="145"/>
      <c r="M245" s="145"/>
      <c r="N245" s="146"/>
      <c r="O245" s="53"/>
      <c r="P245" s="53"/>
      <c r="Q245" s="53"/>
      <c r="R245" s="53"/>
      <c r="S245" s="53"/>
      <c r="T245" s="53"/>
      <c r="U245" s="53"/>
      <c r="V245" s="53"/>
    </row>
    <row r="246" spans="1:22" ht="17.25" thickBot="1">
      <c r="A246" s="53"/>
      <c r="B246" s="275"/>
      <c r="C246" s="379" t="s">
        <v>63</v>
      </c>
      <c r="D246" s="380"/>
      <c r="E246" s="381"/>
      <c r="F246" s="148" t="s">
        <v>64</v>
      </c>
      <c r="G246" s="149">
        <f>+M7</f>
        <v>120515014.16666667</v>
      </c>
      <c r="H246" s="150"/>
      <c r="I246" s="151"/>
      <c r="J246" s="150"/>
      <c r="K246" s="150"/>
      <c r="L246" s="150"/>
      <c r="M246" s="150"/>
      <c r="N246" s="152"/>
      <c r="O246" s="53"/>
      <c r="P246" s="53"/>
      <c r="Q246" s="53"/>
      <c r="R246" s="53"/>
      <c r="S246" s="53"/>
      <c r="T246" s="53"/>
      <c r="U246" s="53"/>
      <c r="V246" s="53"/>
    </row>
    <row r="247" spans="1:22" ht="17.25" thickBot="1">
      <c r="A247" s="53"/>
      <c r="B247" s="275"/>
      <c r="C247" s="148"/>
      <c r="D247" s="148"/>
      <c r="E247" s="148"/>
      <c r="F247" s="148"/>
      <c r="G247" s="150"/>
      <c r="H247" s="150"/>
      <c r="I247" s="150"/>
      <c r="J247" s="150"/>
      <c r="K247" s="150"/>
      <c r="L247" s="150"/>
      <c r="M247" s="150"/>
      <c r="N247" s="152"/>
      <c r="O247" s="53"/>
      <c r="P247" s="53"/>
      <c r="Q247" s="53"/>
      <c r="R247" s="53"/>
      <c r="S247" s="53"/>
      <c r="T247" s="53"/>
      <c r="U247" s="53"/>
      <c r="V247" s="53"/>
    </row>
    <row r="248" spans="1:22" ht="17.25" thickBot="1">
      <c r="A248" s="53"/>
      <c r="B248" s="275"/>
      <c r="C248" s="382" t="s">
        <v>65</v>
      </c>
      <c r="D248" s="383"/>
      <c r="E248" s="384"/>
      <c r="F248" s="148" t="s">
        <v>64</v>
      </c>
      <c r="G248" s="154">
        <f>+E240</f>
        <v>120515014.64500001</v>
      </c>
      <c r="H248" s="150"/>
      <c r="I248" s="150"/>
      <c r="J248" s="91">
        <f>G248/G246</f>
        <v>1.0000000039690768</v>
      </c>
      <c r="K248" s="155" t="s">
        <v>66</v>
      </c>
      <c r="L248" s="156"/>
      <c r="M248" s="156"/>
      <c r="N248" s="152"/>
      <c r="O248" s="53"/>
      <c r="P248" s="53"/>
      <c r="Q248" s="53"/>
      <c r="R248" s="53"/>
      <c r="S248" s="53"/>
      <c r="T248" s="53"/>
      <c r="U248" s="53"/>
      <c r="V248" s="53"/>
    </row>
    <row r="249" spans="1:22" ht="17.25" thickBot="1">
      <c r="B249" s="276"/>
      <c r="C249" s="148"/>
      <c r="D249" s="148"/>
      <c r="E249" s="148"/>
      <c r="F249" s="148"/>
      <c r="G249" s="150"/>
      <c r="H249" s="150"/>
      <c r="I249" s="150"/>
      <c r="J249" s="150"/>
      <c r="K249" s="157"/>
      <c r="L249" s="150"/>
      <c r="M249" s="150"/>
      <c r="N249" s="152"/>
    </row>
    <row r="250" spans="1:22" ht="17.25" thickBot="1">
      <c r="B250" s="276"/>
      <c r="C250" s="376" t="s">
        <v>91</v>
      </c>
      <c r="D250" s="377"/>
      <c r="E250" s="378"/>
      <c r="F250" s="148" t="s">
        <v>68</v>
      </c>
      <c r="G250" s="96">
        <f>+K240</f>
        <v>144195245.84400001</v>
      </c>
      <c r="H250" s="150"/>
      <c r="I250" s="150"/>
      <c r="J250" s="97">
        <f>+G250/J240</f>
        <v>0.99707663168744753</v>
      </c>
      <c r="K250" s="277" t="s">
        <v>69</v>
      </c>
      <c r="L250" s="158"/>
      <c r="M250" s="158"/>
      <c r="N250" s="152"/>
    </row>
    <row r="251" spans="1:22" ht="17.25" thickBot="1">
      <c r="B251" s="276"/>
      <c r="C251" s="148"/>
      <c r="D251" s="148"/>
      <c r="E251" s="148"/>
      <c r="F251" s="148"/>
      <c r="G251" s="150"/>
      <c r="H251" s="150"/>
      <c r="I251" s="150"/>
      <c r="J251" s="150"/>
      <c r="K251" s="157"/>
      <c r="L251" s="150"/>
      <c r="M251" s="150"/>
      <c r="N251" s="152"/>
    </row>
    <row r="252" spans="1:22" ht="17.25" thickBot="1">
      <c r="B252" s="276"/>
      <c r="C252" s="376" t="s">
        <v>70</v>
      </c>
      <c r="D252" s="377"/>
      <c r="E252" s="378"/>
      <c r="F252" s="148" t="s">
        <v>68</v>
      </c>
      <c r="G252" s="100">
        <f>+O240</f>
        <v>422771.7300000001</v>
      </c>
      <c r="H252" s="150"/>
      <c r="I252" s="150"/>
      <c r="J252" s="101">
        <f>+G252/J240</f>
        <v>2.923368312552555E-3</v>
      </c>
      <c r="K252" s="277" t="s">
        <v>69</v>
      </c>
      <c r="L252" s="159"/>
      <c r="M252" s="159"/>
      <c r="N252" s="152"/>
    </row>
    <row r="253" spans="1:22" ht="17.25" thickBot="1">
      <c r="B253" s="276"/>
      <c r="C253" s="148"/>
      <c r="D253" s="148"/>
      <c r="E253" s="148"/>
      <c r="F253" s="148"/>
      <c r="G253" s="150"/>
      <c r="H253" s="150"/>
      <c r="I253" s="150"/>
      <c r="J253" s="150"/>
      <c r="K253" s="157"/>
      <c r="L253" s="150"/>
      <c r="M253" s="150"/>
      <c r="N253" s="152"/>
    </row>
    <row r="254" spans="1:22" ht="17.25" thickBot="1">
      <c r="B254" s="276"/>
      <c r="C254" s="376" t="s">
        <v>92</v>
      </c>
      <c r="D254" s="377"/>
      <c r="E254" s="378"/>
      <c r="F254" s="148" t="s">
        <v>68</v>
      </c>
      <c r="G254" s="104">
        <f>+P240</f>
        <v>422771.7300000001</v>
      </c>
      <c r="H254" s="150"/>
      <c r="I254" s="150"/>
      <c r="J254" s="105">
        <f>+G254/J240</f>
        <v>2.923368312552555E-3</v>
      </c>
      <c r="K254" s="277" t="s">
        <v>69</v>
      </c>
      <c r="L254" s="158"/>
      <c r="M254" s="158"/>
      <c r="N254" s="152"/>
    </row>
    <row r="255" spans="1:22" ht="17.25" thickBot="1">
      <c r="B255" s="160"/>
      <c r="C255" s="161"/>
      <c r="D255" s="161"/>
      <c r="E255" s="161"/>
      <c r="F255" s="161"/>
      <c r="G255" s="161"/>
      <c r="H255" s="161"/>
      <c r="I255" s="161"/>
      <c r="J255" s="161"/>
      <c r="K255" s="161"/>
      <c r="L255" s="161"/>
      <c r="M255" s="161"/>
      <c r="N255" s="162"/>
    </row>
  </sheetData>
  <mergeCells count="22">
    <mergeCell ref="M7:N7"/>
    <mergeCell ref="M8:N8"/>
    <mergeCell ref="C3:E4"/>
    <mergeCell ref="M3:N3"/>
    <mergeCell ref="M4:N4"/>
    <mergeCell ref="M5:N5"/>
    <mergeCell ref="M6:N6"/>
    <mergeCell ref="C1:E2"/>
    <mergeCell ref="F1:F2"/>
    <mergeCell ref="G1:J1"/>
    <mergeCell ref="M1:N1"/>
    <mergeCell ref="M2:N2"/>
    <mergeCell ref="O10:P10"/>
    <mergeCell ref="C252:E252"/>
    <mergeCell ref="C254:E254"/>
    <mergeCell ref="B191:D191"/>
    <mergeCell ref="B205:D205"/>
    <mergeCell ref="B239:D239"/>
    <mergeCell ref="C246:E246"/>
    <mergeCell ref="C248:E248"/>
    <mergeCell ref="C250:E250"/>
    <mergeCell ref="B119:D119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V106"/>
  <sheetViews>
    <sheetView workbookViewId="0"/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2" ht="21" customHeight="1">
      <c r="A1" s="270" t="s">
        <v>11</v>
      </c>
      <c r="B1" s="165"/>
      <c r="C1" s="390" t="s">
        <v>108</v>
      </c>
      <c r="D1" s="390"/>
      <c r="E1" s="390"/>
      <c r="F1" s="392"/>
      <c r="G1" s="394" t="s">
        <v>12</v>
      </c>
      <c r="H1" s="395"/>
      <c r="I1" s="395"/>
      <c r="J1" s="396"/>
      <c r="K1" s="112" t="s">
        <v>13</v>
      </c>
      <c r="L1" s="113"/>
      <c r="M1" s="397">
        <v>11844898.99</v>
      </c>
      <c r="N1" s="397"/>
      <c r="O1" s="114" t="s">
        <v>14</v>
      </c>
      <c r="P1" s="115"/>
    </row>
    <row r="2" spans="1:22" ht="21">
      <c r="A2" s="271"/>
      <c r="B2" s="121"/>
      <c r="C2" s="391"/>
      <c r="D2" s="391"/>
      <c r="E2" s="391"/>
      <c r="F2" s="393"/>
      <c r="G2" s="166" t="s">
        <v>15</v>
      </c>
      <c r="H2" s="167"/>
      <c r="I2" s="168">
        <v>90</v>
      </c>
      <c r="J2" s="169"/>
      <c r="K2" s="116" t="s">
        <v>16</v>
      </c>
      <c r="L2" s="117"/>
      <c r="M2" s="398"/>
      <c r="N2" s="398"/>
      <c r="O2" s="117"/>
      <c r="P2" s="118"/>
    </row>
    <row r="3" spans="1:22" ht="21" customHeight="1">
      <c r="A3" s="271" t="s">
        <v>17</v>
      </c>
      <c r="B3" s="121"/>
      <c r="C3" s="391"/>
      <c r="D3" s="391"/>
      <c r="E3" s="391"/>
      <c r="F3" s="119"/>
      <c r="G3" s="166" t="s">
        <v>19</v>
      </c>
      <c r="H3" s="167"/>
      <c r="I3" s="170" t="s">
        <v>20</v>
      </c>
      <c r="J3" s="171"/>
      <c r="K3" s="116" t="s">
        <v>109</v>
      </c>
      <c r="L3" s="117"/>
      <c r="M3" s="398"/>
      <c r="N3" s="398"/>
      <c r="O3" s="117"/>
      <c r="P3" s="118"/>
    </row>
    <row r="4" spans="1:22">
      <c r="A4" s="271"/>
      <c r="B4" s="121"/>
      <c r="C4" s="391"/>
      <c r="D4" s="391"/>
      <c r="E4" s="391"/>
      <c r="F4" s="120"/>
      <c r="G4" s="166" t="s">
        <v>22</v>
      </c>
      <c r="H4" s="167"/>
      <c r="I4" s="172">
        <v>0.2</v>
      </c>
      <c r="J4" s="171"/>
      <c r="K4" s="116"/>
      <c r="L4" s="117"/>
      <c r="M4" s="398"/>
      <c r="N4" s="398"/>
      <c r="O4" s="117"/>
      <c r="P4" s="118"/>
    </row>
    <row r="5" spans="1:22">
      <c r="A5" s="271" t="s">
        <v>24</v>
      </c>
      <c r="B5" s="121"/>
      <c r="C5" s="121"/>
      <c r="D5" s="122"/>
      <c r="E5" s="123"/>
      <c r="F5" s="124"/>
      <c r="G5" s="166" t="s">
        <v>25</v>
      </c>
      <c r="H5" s="167"/>
      <c r="I5" s="170"/>
      <c r="J5" s="171" t="s">
        <v>26</v>
      </c>
      <c r="K5" s="116"/>
      <c r="L5" s="117"/>
      <c r="M5" s="398"/>
      <c r="N5" s="398"/>
      <c r="O5" s="117"/>
      <c r="P5" s="118"/>
    </row>
    <row r="6" spans="1:22">
      <c r="A6" s="271" t="s">
        <v>86</v>
      </c>
      <c r="B6" s="121"/>
      <c r="C6" s="121"/>
      <c r="D6" s="174"/>
      <c r="E6" s="125"/>
      <c r="F6" s="126"/>
      <c r="G6" s="166"/>
      <c r="H6" s="170" t="s">
        <v>28</v>
      </c>
      <c r="I6" s="173">
        <v>0</v>
      </c>
      <c r="J6" s="171" t="s">
        <v>89</v>
      </c>
      <c r="K6" s="116" t="s">
        <v>110</v>
      </c>
      <c r="L6" s="117"/>
      <c r="M6" s="398"/>
      <c r="N6" s="398"/>
      <c r="O6" s="117"/>
      <c r="P6" s="118"/>
    </row>
    <row r="7" spans="1:22">
      <c r="A7" s="271" t="s">
        <v>87</v>
      </c>
      <c r="B7" s="121"/>
      <c r="C7" s="121"/>
      <c r="D7" s="174"/>
      <c r="E7" s="125"/>
      <c r="F7" s="126"/>
      <c r="G7" s="166"/>
      <c r="H7" s="170" t="s">
        <v>30</v>
      </c>
      <c r="I7" s="173">
        <v>0</v>
      </c>
      <c r="J7" s="171" t="s">
        <v>89</v>
      </c>
      <c r="K7" s="127" t="s">
        <v>31</v>
      </c>
      <c r="L7" s="128"/>
      <c r="M7" s="399">
        <f>SUM(M1:M6)</f>
        <v>11844898.99</v>
      </c>
      <c r="N7" s="399"/>
      <c r="O7" s="117"/>
      <c r="P7" s="118"/>
    </row>
    <row r="8" spans="1:22">
      <c r="A8" s="129" t="s">
        <v>88</v>
      </c>
      <c r="B8" s="130"/>
      <c r="C8" s="130"/>
      <c r="D8" s="175" t="s">
        <v>271</v>
      </c>
      <c r="E8" s="131"/>
      <c r="F8" s="132"/>
      <c r="G8" s="176"/>
      <c r="H8" s="177" t="s">
        <v>32</v>
      </c>
      <c r="I8" s="178">
        <v>0</v>
      </c>
      <c r="J8" s="179" t="s">
        <v>89</v>
      </c>
      <c r="K8" s="133" t="s">
        <v>33</v>
      </c>
      <c r="L8" s="134"/>
      <c r="M8" s="400">
        <f>+M7*(1+$I$4)</f>
        <v>14213878.788000001</v>
      </c>
      <c r="N8" s="400"/>
      <c r="O8" s="135"/>
      <c r="P8" s="136"/>
    </row>
    <row r="10" spans="1:22" ht="21" customHeight="1">
      <c r="B10" s="5" t="s">
        <v>34</v>
      </c>
      <c r="C10" s="137">
        <v>43094</v>
      </c>
      <c r="E10" s="44"/>
      <c r="F10" s="45">
        <v>0</v>
      </c>
      <c r="G10" s="46"/>
      <c r="L10" s="5">
        <v>11844898.99</v>
      </c>
      <c r="O10" s="385" t="s">
        <v>35</v>
      </c>
      <c r="P10" s="386"/>
    </row>
    <row r="11" spans="1:22" ht="60">
      <c r="A11" s="180" t="s">
        <v>112</v>
      </c>
      <c r="B11" s="181" t="s">
        <v>37</v>
      </c>
      <c r="C11" s="181" t="s">
        <v>38</v>
      </c>
      <c r="D11" s="180" t="s">
        <v>39</v>
      </c>
      <c r="E11" s="181" t="s">
        <v>40</v>
      </c>
      <c r="F11" s="181" t="s">
        <v>41</v>
      </c>
      <c r="G11" s="181" t="s">
        <v>42</v>
      </c>
      <c r="H11" s="181" t="s">
        <v>43</v>
      </c>
      <c r="I11" s="181" t="s">
        <v>44</v>
      </c>
      <c r="J11" s="181" t="s">
        <v>45</v>
      </c>
      <c r="K11" s="181" t="s">
        <v>46</v>
      </c>
      <c r="L11" s="181" t="s">
        <v>47</v>
      </c>
      <c r="M11" s="181" t="s">
        <v>48</v>
      </c>
      <c r="N11" s="181" t="s">
        <v>49</v>
      </c>
      <c r="O11" s="181" t="s">
        <v>50</v>
      </c>
      <c r="P11" s="181" t="s">
        <v>51</v>
      </c>
      <c r="R11" s="278" t="s">
        <v>52</v>
      </c>
      <c r="S11" s="278" t="s">
        <v>53</v>
      </c>
      <c r="T11" s="278" t="s">
        <v>54</v>
      </c>
      <c r="U11" s="278" t="s">
        <v>55</v>
      </c>
      <c r="V11" s="278" t="s">
        <v>56</v>
      </c>
    </row>
    <row r="12" spans="1:22" ht="19.5" customHeight="1">
      <c r="A12" s="54" t="s">
        <v>272</v>
      </c>
      <c r="B12" s="55"/>
      <c r="C12" s="284"/>
      <c r="D12" s="57"/>
      <c r="E12" s="50">
        <f>16500.6/1.2</f>
        <v>13750.5</v>
      </c>
      <c r="F12" s="50">
        <v>0</v>
      </c>
      <c r="G12" s="50">
        <v>0</v>
      </c>
      <c r="H12" s="50"/>
      <c r="I12" s="50">
        <f>+E12+F12-G12-H12</f>
        <v>13750.5</v>
      </c>
      <c r="J12" s="50">
        <f>+I12+(I12*$I$4)</f>
        <v>16500.599999999999</v>
      </c>
      <c r="K12" s="50">
        <v>16500.599999999999</v>
      </c>
      <c r="L12" s="51"/>
      <c r="M12" s="51"/>
      <c r="N12" s="52">
        <f>-IF(L12=0,,IF(M12=0,($C$10-L12),M12-L12))</f>
        <v>0</v>
      </c>
      <c r="O12" s="50">
        <f>+J12-K12</f>
        <v>0</v>
      </c>
      <c r="P12" s="50">
        <f>+IF($C$10&lt;L12,0,O12)</f>
        <v>0</v>
      </c>
      <c r="Q12" s="53"/>
      <c r="R12" s="316">
        <f>IF(N12&gt;=0,0,(IF(-N12&lt;=60,O12,0)))</f>
        <v>0</v>
      </c>
      <c r="S12" s="316">
        <f>IF(N12&gt;=0,0,(IF(N12&gt;=-60,0,IF(-60&gt;=N12,IF(N12&gt;=-120,O12,0)))))</f>
        <v>0</v>
      </c>
      <c r="T12" s="316">
        <f>IF(N12&gt;=0,0,(IF(N12&gt;-60,0,IF(-60&gt;=N12,IF(N12&gt;=-120,0,IF(N12&gt;=-180,O12,0))))))</f>
        <v>0</v>
      </c>
      <c r="U12" s="316">
        <f>IF(N12&gt;=0,0,(IF(N12&gt;-60,0,IF(-60&gt;=N12,IF(N12&gt;-120,0,IF(N12&gt;=-180,0,IF(N12&gt;=-365,O12,0)))))))</f>
        <v>0</v>
      </c>
      <c r="V12" s="316">
        <f>IF(N12&gt;=0,0,IF(365&lt;-N12,O12,0))</f>
        <v>0</v>
      </c>
    </row>
    <row r="13" spans="1:22" s="290" customFormat="1" ht="19.5" customHeight="1">
      <c r="A13" s="138"/>
      <c r="B13" s="143"/>
      <c r="C13" s="286"/>
      <c r="D13" s="140"/>
      <c r="E13" s="141">
        <f t="shared" ref="E13:K13" si="0">SUM(E12:E12)</f>
        <v>13750.5</v>
      </c>
      <c r="F13" s="141">
        <f t="shared" si="0"/>
        <v>0</v>
      </c>
      <c r="G13" s="141">
        <f t="shared" si="0"/>
        <v>0</v>
      </c>
      <c r="H13" s="141">
        <f t="shared" si="0"/>
        <v>0</v>
      </c>
      <c r="I13" s="141">
        <f t="shared" si="0"/>
        <v>13750.5</v>
      </c>
      <c r="J13" s="287">
        <f t="shared" si="0"/>
        <v>16500.599999999999</v>
      </c>
      <c r="K13" s="287">
        <f t="shared" si="0"/>
        <v>16500.599999999999</v>
      </c>
      <c r="L13" s="139"/>
      <c r="M13" s="139"/>
      <c r="N13" s="142"/>
      <c r="O13" s="141">
        <f>SUM(O12:O12)</f>
        <v>0</v>
      </c>
      <c r="P13" s="141">
        <f>SUM(P12:P12)</f>
        <v>0</v>
      </c>
      <c r="Q13" s="288"/>
      <c r="R13" s="289">
        <f>SUM(R12:R12)</f>
        <v>0</v>
      </c>
      <c r="S13" s="289">
        <f>SUM(S12:S12)</f>
        <v>0</v>
      </c>
      <c r="T13" s="289">
        <f>SUM(T12:T12)</f>
        <v>0</v>
      </c>
      <c r="U13" s="289">
        <f>SUM(U12:U12)</f>
        <v>0</v>
      </c>
      <c r="V13" s="289">
        <f>SUM(V12:V12)</f>
        <v>0</v>
      </c>
    </row>
    <row r="14" spans="1:22" ht="19.5" customHeight="1">
      <c r="A14" s="54" t="s">
        <v>209</v>
      </c>
      <c r="B14" s="55"/>
      <c r="C14" s="291"/>
      <c r="D14" s="57"/>
      <c r="E14" s="50">
        <f>186257.67/1.2</f>
        <v>155214.72500000001</v>
      </c>
      <c r="F14" s="50">
        <f>-E14*$F$10</f>
        <v>0</v>
      </c>
      <c r="G14" s="50">
        <f>E14*$G$10</f>
        <v>0</v>
      </c>
      <c r="H14" s="50"/>
      <c r="I14" s="50">
        <f>+E14+F14-G14-H14</f>
        <v>155214.72500000001</v>
      </c>
      <c r="J14" s="50">
        <f>+I14+(I14*$I$4)</f>
        <v>186257.67</v>
      </c>
      <c r="K14" s="50">
        <v>186257.67</v>
      </c>
      <c r="L14" s="51"/>
      <c r="M14" s="51"/>
      <c r="N14" s="52">
        <f>-IF(L14=0,,IF(M14=0,($C$10-L14),M14-L14))</f>
        <v>0</v>
      </c>
      <c r="O14" s="50">
        <f>+J14-K14</f>
        <v>0</v>
      </c>
      <c r="P14" s="50">
        <f>+IF($C$10&lt;L14,0,O14)</f>
        <v>0</v>
      </c>
      <c r="Q14" s="53"/>
      <c r="R14" s="316">
        <f>IF(N14&gt;=0,0,(IF(-N14&lt;=60,O14,0)))</f>
        <v>0</v>
      </c>
      <c r="S14" s="316">
        <f>IF(N14&gt;=0,0,(IF(N14&gt;=-60,0,IF(-60&gt;=N14,IF(N14&gt;=-120,O14,0)))))</f>
        <v>0</v>
      </c>
      <c r="T14" s="316">
        <f>IF(N14&gt;=0,0,(IF(N14&gt;-60,0,IF(-60&gt;=N14,IF(N14&gt;=-120,0,IF(N14&gt;=-180,O14,0))))))</f>
        <v>0</v>
      </c>
      <c r="U14" s="316">
        <f>IF(N14&gt;=0,0,(IF(N14&gt;-60,0,IF(-60&gt;=N14,IF(N14&gt;-120,0,IF(N14&gt;=-180,0,IF(N14&gt;=-365,O14,0)))))))</f>
        <v>0</v>
      </c>
      <c r="V14" s="316">
        <f>IF(N14&gt;=0,0,IF(365&lt;-N14,O14,0))</f>
        <v>0</v>
      </c>
    </row>
    <row r="15" spans="1:22" s="290" customFormat="1" ht="19.5" customHeight="1">
      <c r="A15" s="138"/>
      <c r="B15" s="143"/>
      <c r="C15" s="286"/>
      <c r="D15" s="140"/>
      <c r="E15" s="141">
        <f t="shared" ref="E15:K15" si="1">SUM(E14:E14)</f>
        <v>155214.72500000001</v>
      </c>
      <c r="F15" s="141">
        <f t="shared" si="1"/>
        <v>0</v>
      </c>
      <c r="G15" s="141">
        <f t="shared" si="1"/>
        <v>0</v>
      </c>
      <c r="H15" s="141">
        <f t="shared" si="1"/>
        <v>0</v>
      </c>
      <c r="I15" s="141">
        <f t="shared" si="1"/>
        <v>155214.72500000001</v>
      </c>
      <c r="J15" s="287">
        <f t="shared" si="1"/>
        <v>186257.67</v>
      </c>
      <c r="K15" s="287">
        <f t="shared" si="1"/>
        <v>186257.67</v>
      </c>
      <c r="L15" s="139"/>
      <c r="M15" s="139"/>
      <c r="N15" s="142"/>
      <c r="O15" s="141">
        <f>SUM(O14:O14)</f>
        <v>0</v>
      </c>
      <c r="P15" s="141">
        <f>SUM(P14:P14)</f>
        <v>0</v>
      </c>
      <c r="Q15" s="288"/>
      <c r="R15" s="289">
        <f>SUM(R14:R14)</f>
        <v>0</v>
      </c>
      <c r="S15" s="289">
        <f>SUM(S14:S14)</f>
        <v>0</v>
      </c>
      <c r="T15" s="289">
        <f>SUM(T14:T14)</f>
        <v>0</v>
      </c>
      <c r="U15" s="289">
        <f>SUM(U14:U14)</f>
        <v>0</v>
      </c>
      <c r="V15" s="289">
        <f>SUM(V14:V14)</f>
        <v>0</v>
      </c>
    </row>
    <row r="16" spans="1:22" ht="19.5" customHeight="1">
      <c r="A16" s="54" t="s">
        <v>210</v>
      </c>
      <c r="B16" s="55"/>
      <c r="C16" s="291"/>
      <c r="D16" s="57"/>
      <c r="E16" s="50">
        <f>42070.45/1.2</f>
        <v>35058.708333333336</v>
      </c>
      <c r="F16" s="50">
        <f>-E16*$F$10</f>
        <v>0</v>
      </c>
      <c r="G16" s="50">
        <f>E16*$G$10</f>
        <v>0</v>
      </c>
      <c r="H16" s="50"/>
      <c r="I16" s="50">
        <f>+E16+F16-G16-H16</f>
        <v>35058.708333333336</v>
      </c>
      <c r="J16" s="50">
        <f>+I16+(I16*$I$4)</f>
        <v>42070.450000000004</v>
      </c>
      <c r="K16" s="50">
        <v>42070.450000000004</v>
      </c>
      <c r="L16" s="51"/>
      <c r="M16" s="51"/>
      <c r="N16" s="52">
        <f>-IF(L16=0,,IF(M16=0,($C$10-L16),M16-L16))</f>
        <v>0</v>
      </c>
      <c r="O16" s="50">
        <f>+J16-K16</f>
        <v>0</v>
      </c>
      <c r="P16" s="50">
        <f>+IF($C$10&lt;L16,0,O16)</f>
        <v>0</v>
      </c>
      <c r="Q16" s="53"/>
      <c r="R16" s="316">
        <f>IF(N16&gt;=0,0,(IF(-N16&lt;=60,O16,0)))</f>
        <v>0</v>
      </c>
      <c r="S16" s="316">
        <f>IF(N16&gt;=0,0,(IF(N16&gt;=-60,0,IF(-60&gt;=N16,IF(N16&gt;=-120,O16,0)))))</f>
        <v>0</v>
      </c>
      <c r="T16" s="316">
        <f>IF(N16&gt;=0,0,(IF(N16&gt;-60,0,IF(-60&gt;=N16,IF(N16&gt;=-120,0,IF(N16&gt;=-180,O16,0))))))</f>
        <v>0</v>
      </c>
      <c r="U16" s="316">
        <f>IF(N16&gt;=0,0,(IF(N16&gt;-60,0,IF(-60&gt;=N16,IF(N16&gt;-120,0,IF(N16&gt;=-180,0,IF(N16&gt;=-365,O16,0)))))))</f>
        <v>0</v>
      </c>
      <c r="V16" s="316">
        <f>IF(N16&gt;=0,0,IF(365&lt;-N16,O16,0))</f>
        <v>0</v>
      </c>
    </row>
    <row r="17" spans="1:22" s="290" customFormat="1" ht="19.5" customHeight="1">
      <c r="A17" s="138"/>
      <c r="B17" s="143"/>
      <c r="C17" s="286"/>
      <c r="D17" s="140"/>
      <c r="E17" s="141">
        <f t="shared" ref="E17:K17" si="2">SUM(E16:E16)</f>
        <v>35058.708333333336</v>
      </c>
      <c r="F17" s="141">
        <f t="shared" si="2"/>
        <v>0</v>
      </c>
      <c r="G17" s="141">
        <f t="shared" si="2"/>
        <v>0</v>
      </c>
      <c r="H17" s="141">
        <f t="shared" si="2"/>
        <v>0</v>
      </c>
      <c r="I17" s="141">
        <f t="shared" si="2"/>
        <v>35058.708333333336</v>
      </c>
      <c r="J17" s="287">
        <f t="shared" si="2"/>
        <v>42070.450000000004</v>
      </c>
      <c r="K17" s="287">
        <f t="shared" si="2"/>
        <v>42070.450000000004</v>
      </c>
      <c r="L17" s="139"/>
      <c r="M17" s="139"/>
      <c r="N17" s="142"/>
      <c r="O17" s="141">
        <f>SUM(O16:O16)</f>
        <v>0</v>
      </c>
      <c r="P17" s="141">
        <f>SUM(P16:P16)</f>
        <v>0</v>
      </c>
      <c r="Q17" s="288"/>
      <c r="R17" s="289">
        <f>SUM(R16:R16)</f>
        <v>0</v>
      </c>
      <c r="S17" s="289">
        <f>SUM(S16:S16)</f>
        <v>0</v>
      </c>
      <c r="T17" s="289">
        <f>SUM(T16:T16)</f>
        <v>0</v>
      </c>
      <c r="U17" s="289">
        <f>SUM(U16:U16)</f>
        <v>0</v>
      </c>
      <c r="V17" s="289">
        <f>SUM(V16:V16)</f>
        <v>0</v>
      </c>
    </row>
    <row r="18" spans="1:22" ht="19.5" customHeight="1">
      <c r="A18" s="54" t="s">
        <v>211</v>
      </c>
      <c r="B18" s="55"/>
      <c r="C18" s="56"/>
      <c r="D18" s="57"/>
      <c r="E18" s="50">
        <f>1430244.06/1.2</f>
        <v>1191870.05</v>
      </c>
      <c r="F18" s="50">
        <f>-E18*$F$10</f>
        <v>0</v>
      </c>
      <c r="G18" s="50">
        <f>E18*$G$10</f>
        <v>0</v>
      </c>
      <c r="H18" s="50"/>
      <c r="I18" s="50">
        <f>+E18+F18-G18-H18</f>
        <v>1191870.05</v>
      </c>
      <c r="J18" s="50">
        <f>+I18+(I18*$I$4)</f>
        <v>1430244.06</v>
      </c>
      <c r="K18" s="50">
        <v>1430244.06</v>
      </c>
      <c r="L18" s="51"/>
      <c r="M18" s="51"/>
      <c r="N18" s="52">
        <f>-IF(L18=0,,IF(M18=0,($C$10-L18),M18-L18))</f>
        <v>0</v>
      </c>
      <c r="O18" s="50">
        <f>+J18-K18</f>
        <v>0</v>
      </c>
      <c r="P18" s="50">
        <f>+IF($C$10&lt;L18,0,O18)</f>
        <v>0</v>
      </c>
      <c r="Q18" s="53"/>
      <c r="R18" s="316">
        <f>IF(N18&gt;=0,0,(IF(-N18&lt;=60,O18,0)))</f>
        <v>0</v>
      </c>
      <c r="S18" s="316">
        <f>IF(N18&gt;=0,0,(IF(N18&gt;=-60,0,IF(-60&gt;=N18,IF(N18&gt;=-120,O18,0)))))</f>
        <v>0</v>
      </c>
      <c r="T18" s="316">
        <f>IF(N18&gt;=0,0,(IF(N18&gt;-60,0,IF(-60&gt;=N18,IF(N18&gt;=-120,0,IF(N18&gt;=-180,O18,0))))))</f>
        <v>0</v>
      </c>
      <c r="U18" s="316">
        <f>IF(N18&gt;=0,0,(IF(N18&gt;-60,0,IF(-60&gt;=N18,IF(N18&gt;-120,0,IF(N18&gt;=-180,0,IF(N18&gt;=-365,O18,0)))))))</f>
        <v>0</v>
      </c>
      <c r="V18" s="316">
        <f>IF(N18&gt;=0,0,IF(365&lt;-N18,O18,0))</f>
        <v>0</v>
      </c>
    </row>
    <row r="19" spans="1:22" s="290" customFormat="1" ht="19.5" customHeight="1">
      <c r="A19" s="138"/>
      <c r="B19" s="138"/>
      <c r="C19" s="286"/>
      <c r="D19" s="140"/>
      <c r="E19" s="141">
        <f t="shared" ref="E19:K19" si="3">SUM(E18:E18)</f>
        <v>1191870.05</v>
      </c>
      <c r="F19" s="141">
        <f t="shared" si="3"/>
        <v>0</v>
      </c>
      <c r="G19" s="141">
        <f t="shared" si="3"/>
        <v>0</v>
      </c>
      <c r="H19" s="141">
        <f t="shared" si="3"/>
        <v>0</v>
      </c>
      <c r="I19" s="141">
        <f t="shared" si="3"/>
        <v>1191870.05</v>
      </c>
      <c r="J19" s="287">
        <f t="shared" si="3"/>
        <v>1430244.06</v>
      </c>
      <c r="K19" s="287">
        <f t="shared" si="3"/>
        <v>1430244.06</v>
      </c>
      <c r="L19" s="139"/>
      <c r="M19" s="139"/>
      <c r="N19" s="142"/>
      <c r="O19" s="141">
        <f>SUM(O18:O18)</f>
        <v>0</v>
      </c>
      <c r="P19" s="141">
        <f>SUM(P18:P18)</f>
        <v>0</v>
      </c>
      <c r="Q19" s="292"/>
      <c r="R19" s="337">
        <f>SUM(R18:R18)</f>
        <v>0</v>
      </c>
      <c r="S19" s="337">
        <f>SUM(S18:S18)</f>
        <v>0</v>
      </c>
      <c r="T19" s="337">
        <f>SUM(T18:T18)</f>
        <v>0</v>
      </c>
      <c r="U19" s="337">
        <f>SUM(U18:U18)</f>
        <v>0</v>
      </c>
      <c r="V19" s="337">
        <f>SUM(V18:V18)</f>
        <v>0</v>
      </c>
    </row>
    <row r="20" spans="1:22" ht="19.5" customHeight="1">
      <c r="A20" s="54" t="s">
        <v>213</v>
      </c>
      <c r="B20" s="54"/>
      <c r="C20" s="56"/>
      <c r="D20" s="57"/>
      <c r="E20" s="50">
        <f>29999.55/1.2</f>
        <v>24999.625</v>
      </c>
      <c r="F20" s="50">
        <f>-E20*$F$10</f>
        <v>0</v>
      </c>
      <c r="G20" s="50">
        <f>E20*$G$10</f>
        <v>0</v>
      </c>
      <c r="H20" s="50"/>
      <c r="I20" s="50">
        <f>+E20+F20-G20-H20</f>
        <v>24999.625</v>
      </c>
      <c r="J20" s="50">
        <f>+I20+(I20*$I$4)</f>
        <v>29999.55</v>
      </c>
      <c r="K20" s="50">
        <v>29999.55</v>
      </c>
      <c r="L20" s="51"/>
      <c r="M20" s="51"/>
      <c r="N20" s="52">
        <f>-IF(L20=0,,IF(M20=0,($C$10-L20),M20-L20))</f>
        <v>0</v>
      </c>
      <c r="O20" s="50">
        <f>+J20-K20</f>
        <v>0</v>
      </c>
      <c r="P20" s="50">
        <f>+IF($C$10&lt;L20,0,O20)</f>
        <v>0</v>
      </c>
      <c r="Q20" s="53"/>
      <c r="R20" s="316">
        <f>IF(N20&gt;=0,0,(IF(-N20&lt;=60,O20,0)))</f>
        <v>0</v>
      </c>
      <c r="S20" s="316">
        <f>IF(N20&gt;=0,0,(IF(N20&gt;=-60,0,IF(-60&gt;=N20,IF(N20&gt;=-120,O20,0)))))</f>
        <v>0</v>
      </c>
      <c r="T20" s="316">
        <f>IF(N20&gt;=0,0,(IF(N20&gt;-60,0,IF(-60&gt;=N20,IF(N20&gt;=-120,0,IF(N20&gt;=-180,O20,0))))))</f>
        <v>0</v>
      </c>
      <c r="U20" s="316">
        <f>IF(N20&gt;=0,0,(IF(N20&gt;-60,0,IF(-60&gt;=N20,IF(N20&gt;-120,0,IF(N20&gt;=-180,0,IF(N20&gt;=-365,O20,0)))))))</f>
        <v>0</v>
      </c>
      <c r="V20" s="316">
        <f>IF(N20&gt;=0,0,IF(365&lt;-N20,O20,0))</f>
        <v>0</v>
      </c>
    </row>
    <row r="21" spans="1:22" s="290" customFormat="1" ht="19.5" customHeight="1">
      <c r="A21" s="138"/>
      <c r="B21" s="138"/>
      <c r="C21" s="286"/>
      <c r="D21" s="140"/>
      <c r="E21" s="141">
        <f t="shared" ref="E21:K21" si="4">SUM(E20:E20)</f>
        <v>24999.625</v>
      </c>
      <c r="F21" s="141">
        <f t="shared" si="4"/>
        <v>0</v>
      </c>
      <c r="G21" s="141">
        <f t="shared" si="4"/>
        <v>0</v>
      </c>
      <c r="H21" s="141">
        <f t="shared" si="4"/>
        <v>0</v>
      </c>
      <c r="I21" s="141">
        <f t="shared" si="4"/>
        <v>24999.625</v>
      </c>
      <c r="J21" s="287">
        <f t="shared" si="4"/>
        <v>29999.55</v>
      </c>
      <c r="K21" s="287">
        <f t="shared" si="4"/>
        <v>29999.55</v>
      </c>
      <c r="L21" s="139"/>
      <c r="M21" s="139"/>
      <c r="N21" s="142"/>
      <c r="O21" s="141">
        <f>SUM(O20:O20)</f>
        <v>0</v>
      </c>
      <c r="P21" s="141">
        <f>SUM(P20:P20)</f>
        <v>0</v>
      </c>
      <c r="Q21" s="292"/>
      <c r="R21" s="337">
        <f>SUM(R20:R20)</f>
        <v>0</v>
      </c>
      <c r="S21" s="337">
        <f>SUM(S20:S20)</f>
        <v>0</v>
      </c>
      <c r="T21" s="337">
        <f>SUM(T20:T20)</f>
        <v>0</v>
      </c>
      <c r="U21" s="337">
        <f>SUM(U20:U20)</f>
        <v>0</v>
      </c>
      <c r="V21" s="337">
        <f>SUM(V20:V20)</f>
        <v>0</v>
      </c>
    </row>
    <row r="22" spans="1:22" ht="19.5" customHeight="1">
      <c r="A22" s="54" t="s">
        <v>214</v>
      </c>
      <c r="B22" s="54"/>
      <c r="C22" s="56"/>
      <c r="D22" s="57"/>
      <c r="E22" s="50">
        <f>2993184.52/1.2</f>
        <v>2494320.4333333336</v>
      </c>
      <c r="F22" s="50">
        <f>-E22*$F$10</f>
        <v>0</v>
      </c>
      <c r="G22" s="50">
        <f>E22*$G$10</f>
        <v>0</v>
      </c>
      <c r="H22" s="50"/>
      <c r="I22" s="50">
        <f>+E22+F22-G22-H22</f>
        <v>2494320.4333333336</v>
      </c>
      <c r="J22" s="50">
        <f>+I22+(I22*$I$4)</f>
        <v>2993184.5200000005</v>
      </c>
      <c r="K22" s="50">
        <v>2993184.5200000005</v>
      </c>
      <c r="L22" s="51"/>
      <c r="M22" s="51"/>
      <c r="N22" s="52">
        <f>-IF(L22=0,,IF(M22=0,($C$10-L22),M22-L22))</f>
        <v>0</v>
      </c>
      <c r="O22" s="50">
        <f>+J22-K22</f>
        <v>0</v>
      </c>
      <c r="P22" s="50">
        <f>+IF($C$10&lt;L22,0,O22)</f>
        <v>0</v>
      </c>
      <c r="Q22" s="53"/>
      <c r="R22" s="316">
        <f>IF(N22&gt;=0,0,(IF(-N22&lt;=60,O22,0)))</f>
        <v>0</v>
      </c>
      <c r="S22" s="316">
        <f>IF(N22&gt;=0,0,(IF(N22&gt;=-60,0,IF(-60&gt;=N22,IF(N22&gt;=-120,O22,0)))))</f>
        <v>0</v>
      </c>
      <c r="T22" s="316">
        <f>IF(N22&gt;=0,0,(IF(N22&gt;-60,0,IF(-60&gt;=N22,IF(N22&gt;=-120,0,IF(N22&gt;=-180,O22,0))))))</f>
        <v>0</v>
      </c>
      <c r="U22" s="316">
        <f>IF(N22&gt;=0,0,(IF(N22&gt;-60,0,IF(-60&gt;=N22,IF(N22&gt;-120,0,IF(N22&gt;=-180,0,IF(N22&gt;=-365,O22,0)))))))</f>
        <v>0</v>
      </c>
      <c r="V22" s="316">
        <f>IF(N22&gt;=0,0,IF(365&lt;-N22,O22,0))</f>
        <v>0</v>
      </c>
    </row>
    <row r="23" spans="1:22" s="290" customFormat="1" ht="19.5" customHeight="1">
      <c r="A23" s="138"/>
      <c r="B23" s="138"/>
      <c r="C23" s="286"/>
      <c r="D23" s="140"/>
      <c r="E23" s="141">
        <f t="shared" ref="E23:K23" si="5">SUM(E22:E22)</f>
        <v>2494320.4333333336</v>
      </c>
      <c r="F23" s="141">
        <f t="shared" si="5"/>
        <v>0</v>
      </c>
      <c r="G23" s="141">
        <f t="shared" si="5"/>
        <v>0</v>
      </c>
      <c r="H23" s="141">
        <f t="shared" si="5"/>
        <v>0</v>
      </c>
      <c r="I23" s="141">
        <f t="shared" si="5"/>
        <v>2494320.4333333336</v>
      </c>
      <c r="J23" s="287">
        <f t="shared" si="5"/>
        <v>2993184.5200000005</v>
      </c>
      <c r="K23" s="287">
        <f t="shared" si="5"/>
        <v>2993184.5200000005</v>
      </c>
      <c r="L23" s="139"/>
      <c r="M23" s="139"/>
      <c r="N23" s="142"/>
      <c r="O23" s="141">
        <f>SUM(O22:O22)</f>
        <v>0</v>
      </c>
      <c r="P23" s="141">
        <f>SUM(P22:P22)</f>
        <v>0</v>
      </c>
      <c r="Q23" s="292"/>
      <c r="R23" s="337">
        <f>SUM(R22:R22)</f>
        <v>0</v>
      </c>
      <c r="S23" s="337">
        <f>SUM(S22:S22)</f>
        <v>0</v>
      </c>
      <c r="T23" s="337">
        <f>SUM(T22:T22)</f>
        <v>0</v>
      </c>
      <c r="U23" s="337">
        <f>SUM(U22:U22)</f>
        <v>0</v>
      </c>
      <c r="V23" s="337">
        <f>SUM(V22:V22)</f>
        <v>0</v>
      </c>
    </row>
    <row r="24" spans="1:22" ht="19.5" customHeight="1">
      <c r="A24" s="54" t="s">
        <v>121</v>
      </c>
      <c r="B24" s="54"/>
      <c r="C24" s="56"/>
      <c r="D24" s="57"/>
      <c r="E24" s="50">
        <f>921503.5/1.2</f>
        <v>767919.58333333337</v>
      </c>
      <c r="F24" s="50">
        <f>-E24*$F$10</f>
        <v>0</v>
      </c>
      <c r="G24" s="50">
        <f>E24*$G$10</f>
        <v>0</v>
      </c>
      <c r="H24" s="50"/>
      <c r="I24" s="50">
        <f>+E24+F24-G24-H24</f>
        <v>767919.58333333337</v>
      </c>
      <c r="J24" s="50">
        <f>+I24+(I24*$I$4)</f>
        <v>921503.5</v>
      </c>
      <c r="K24" s="50">
        <v>921503.5</v>
      </c>
      <c r="L24" s="51"/>
      <c r="M24" s="51"/>
      <c r="N24" s="52">
        <f>-IF(L24=0,,IF(M24=0,($C$10-L24),M24-L24))</f>
        <v>0</v>
      </c>
      <c r="O24" s="50">
        <f>+J24-K24</f>
        <v>0</v>
      </c>
      <c r="P24" s="50">
        <f>+IF($C$10&lt;L24,0,O24)</f>
        <v>0</v>
      </c>
      <c r="Q24" s="53"/>
      <c r="R24" s="316">
        <f>IF(N24&gt;=0,0,(IF(-N24&lt;=60,O24,0)))</f>
        <v>0</v>
      </c>
      <c r="S24" s="316">
        <f>IF(N24&gt;=0,0,(IF(N24&gt;=-60,0,IF(-60&gt;=N24,IF(N24&gt;=-120,O24,0)))))</f>
        <v>0</v>
      </c>
      <c r="T24" s="316">
        <f>IF(N24&gt;=0,0,(IF(N24&gt;-60,0,IF(-60&gt;=N24,IF(N24&gt;=-120,0,IF(N24&gt;=-180,O24,0))))))</f>
        <v>0</v>
      </c>
      <c r="U24" s="316">
        <f>IF(N24&gt;=0,0,(IF(N24&gt;-60,0,IF(-60&gt;=N24,IF(N24&gt;-120,0,IF(N24&gt;=-180,0,IF(N24&gt;=-365,O24,0)))))))</f>
        <v>0</v>
      </c>
      <c r="V24" s="316">
        <f>IF(N24&gt;=0,0,IF(365&lt;-N24,O24,0))</f>
        <v>0</v>
      </c>
    </row>
    <row r="25" spans="1:22" s="290" customFormat="1" ht="19.5" customHeight="1">
      <c r="A25" s="138"/>
      <c r="B25" s="143"/>
      <c r="C25" s="286"/>
      <c r="D25" s="140"/>
      <c r="E25" s="141">
        <f t="shared" ref="E25:K25" si="6">SUM(E24:E24)</f>
        <v>767919.58333333337</v>
      </c>
      <c r="F25" s="141">
        <f t="shared" si="6"/>
        <v>0</v>
      </c>
      <c r="G25" s="141">
        <f t="shared" si="6"/>
        <v>0</v>
      </c>
      <c r="H25" s="141">
        <f t="shared" si="6"/>
        <v>0</v>
      </c>
      <c r="I25" s="141">
        <f t="shared" si="6"/>
        <v>767919.58333333337</v>
      </c>
      <c r="J25" s="287">
        <f t="shared" si="6"/>
        <v>921503.5</v>
      </c>
      <c r="K25" s="287">
        <f t="shared" si="6"/>
        <v>921503.5</v>
      </c>
      <c r="L25" s="139"/>
      <c r="M25" s="139"/>
      <c r="N25" s="142"/>
      <c r="O25" s="141">
        <f>SUM(O24)</f>
        <v>0</v>
      </c>
      <c r="P25" s="141">
        <f>SUM(P24)</f>
        <v>0</v>
      </c>
      <c r="Q25" s="292"/>
      <c r="R25" s="337">
        <f>SUM(R24)</f>
        <v>0</v>
      </c>
      <c r="S25" s="337">
        <f>SUM(S24)</f>
        <v>0</v>
      </c>
      <c r="T25" s="337">
        <f>SUM(T24)</f>
        <v>0</v>
      </c>
      <c r="U25" s="337">
        <f>SUM(U24)</f>
        <v>0</v>
      </c>
      <c r="V25" s="337">
        <f>SUM(V24)</f>
        <v>0</v>
      </c>
    </row>
    <row r="26" spans="1:22" ht="19.5" customHeight="1">
      <c r="A26" s="54" t="s">
        <v>273</v>
      </c>
      <c r="B26" s="54"/>
      <c r="C26" s="56"/>
      <c r="D26" s="57"/>
      <c r="E26" s="50">
        <f>57118.43/1.2</f>
        <v>47598.691666666666</v>
      </c>
      <c r="F26" s="50">
        <f>-E26*$F$10</f>
        <v>0</v>
      </c>
      <c r="G26" s="50">
        <f>E26*$G$10</f>
        <v>0</v>
      </c>
      <c r="H26" s="50"/>
      <c r="I26" s="50">
        <f>+E26+F26-G26-H26</f>
        <v>47598.691666666666</v>
      </c>
      <c r="J26" s="50">
        <f>+I26+(I26*$I$4)</f>
        <v>57118.43</v>
      </c>
      <c r="K26" s="50">
        <v>57118.43</v>
      </c>
      <c r="L26" s="51"/>
      <c r="M26" s="51"/>
      <c r="N26" s="52">
        <f>-IF(L26=0,,IF(M26=0,($C$10-L26),M26-L26))</f>
        <v>0</v>
      </c>
      <c r="O26" s="50">
        <f>+J26-K26</f>
        <v>0</v>
      </c>
      <c r="P26" s="50">
        <f>+IF($C$10&lt;L26,0,O26)</f>
        <v>0</v>
      </c>
      <c r="Q26" s="53"/>
      <c r="R26" s="316">
        <f>IF(N26&gt;=0,0,(IF(-N26&lt;=60,O26,0)))</f>
        <v>0</v>
      </c>
      <c r="S26" s="316">
        <f>IF(N26&gt;=0,0,(IF(N26&gt;=-60,0,IF(-60&gt;=N26,IF(N26&gt;=-120,O26,0)))))</f>
        <v>0</v>
      </c>
      <c r="T26" s="316">
        <f>IF(N26&gt;=0,0,(IF(N26&gt;-60,0,IF(-60&gt;=N26,IF(N26&gt;=-120,0,IF(N26&gt;=-180,O26,0))))))</f>
        <v>0</v>
      </c>
      <c r="U26" s="316">
        <f>IF(N26&gt;=0,0,(IF(N26&gt;-60,0,IF(-60&gt;=N26,IF(N26&gt;-120,0,IF(N26&gt;=-180,0,IF(N26&gt;=-365,O26,0)))))))</f>
        <v>0</v>
      </c>
      <c r="V26" s="316">
        <f>IF(N26&gt;=0,0,IF(365&lt;-N26,O26,0))</f>
        <v>0</v>
      </c>
    </row>
    <row r="27" spans="1:22" s="290" customFormat="1" ht="19.5" customHeight="1">
      <c r="A27" s="138"/>
      <c r="B27" s="143"/>
      <c r="C27" s="286"/>
      <c r="D27" s="140"/>
      <c r="E27" s="141">
        <f t="shared" ref="E27:K27" si="7">SUM(E26:E26)</f>
        <v>47598.691666666666</v>
      </c>
      <c r="F27" s="141">
        <f t="shared" si="7"/>
        <v>0</v>
      </c>
      <c r="G27" s="141">
        <f t="shared" si="7"/>
        <v>0</v>
      </c>
      <c r="H27" s="141">
        <f t="shared" si="7"/>
        <v>0</v>
      </c>
      <c r="I27" s="141">
        <f t="shared" si="7"/>
        <v>47598.691666666666</v>
      </c>
      <c r="J27" s="287">
        <f t="shared" si="7"/>
        <v>57118.43</v>
      </c>
      <c r="K27" s="287">
        <f t="shared" si="7"/>
        <v>57118.43</v>
      </c>
      <c r="L27" s="139"/>
      <c r="M27" s="139"/>
      <c r="N27" s="142"/>
      <c r="O27" s="141">
        <f>SUM(O26:O26)</f>
        <v>0</v>
      </c>
      <c r="P27" s="141">
        <f>SUM(P26:P26)</f>
        <v>0</v>
      </c>
      <c r="Q27" s="292"/>
      <c r="R27" s="337">
        <f>SUM(R26:R26)</f>
        <v>0</v>
      </c>
      <c r="S27" s="337">
        <f>SUM(S26:S26)</f>
        <v>0</v>
      </c>
      <c r="T27" s="337">
        <f>SUM(T26:T26)</f>
        <v>0</v>
      </c>
      <c r="U27" s="337">
        <f>SUM(U26:U26)</f>
        <v>0</v>
      </c>
      <c r="V27" s="337">
        <f>SUM(V26:V26)</f>
        <v>0</v>
      </c>
    </row>
    <row r="28" spans="1:22" ht="19.5" customHeight="1">
      <c r="A28" s="54" t="s">
        <v>216</v>
      </c>
      <c r="B28" s="54"/>
      <c r="C28" s="56"/>
      <c r="D28" s="57"/>
      <c r="E28" s="50">
        <f>74039.21/1.2</f>
        <v>61699.341666666674</v>
      </c>
      <c r="F28" s="50">
        <f>-E28*$F$10</f>
        <v>0</v>
      </c>
      <c r="G28" s="50">
        <f>E28*$G$10</f>
        <v>0</v>
      </c>
      <c r="H28" s="50"/>
      <c r="I28" s="50">
        <f>+E28+F28-G28-H28</f>
        <v>61699.341666666674</v>
      </c>
      <c r="J28" s="50">
        <f>+I28+(I28*$I$4)</f>
        <v>74039.210000000006</v>
      </c>
      <c r="K28" s="50">
        <v>74039.210000000006</v>
      </c>
      <c r="L28" s="51"/>
      <c r="M28" s="51"/>
      <c r="N28" s="52">
        <f>-IF(L28=0,,IF(M28=0,($C$10-L28),M28-L28))</f>
        <v>0</v>
      </c>
      <c r="O28" s="50">
        <f>+J28-K28</f>
        <v>0</v>
      </c>
      <c r="P28" s="50">
        <f>+IF($C$10&lt;L28,0,O28)</f>
        <v>0</v>
      </c>
      <c r="Q28" s="53"/>
      <c r="R28" s="316">
        <f>IF(N28&gt;=0,0,(IF(-N28&lt;=60,O28,0)))</f>
        <v>0</v>
      </c>
      <c r="S28" s="316">
        <f>IF(N28&gt;=0,0,(IF(N28&gt;=-60,0,IF(-60&gt;=N28,IF(N28&gt;=-120,O28,0)))))</f>
        <v>0</v>
      </c>
      <c r="T28" s="316">
        <f>IF(N28&gt;=0,0,(IF(N28&gt;-60,0,IF(-60&gt;=N28,IF(N28&gt;=-120,0,IF(N28&gt;=-180,O28,0))))))</f>
        <v>0</v>
      </c>
      <c r="U28" s="316">
        <f>IF(N28&gt;=0,0,(IF(N28&gt;-60,0,IF(-60&gt;=N28,IF(N28&gt;-120,0,IF(N28&gt;=-180,0,IF(N28&gt;=-365,O28,0)))))))</f>
        <v>0</v>
      </c>
      <c r="V28" s="316">
        <f>IF(N28&gt;=0,0,IF(365&lt;-N28,O28,0))</f>
        <v>0</v>
      </c>
    </row>
    <row r="29" spans="1:22" s="290" customFormat="1" ht="19.5" customHeight="1">
      <c r="A29" s="138"/>
      <c r="B29" s="143"/>
      <c r="C29" s="286"/>
      <c r="D29" s="140"/>
      <c r="E29" s="141">
        <f t="shared" ref="E29:K29" si="8">SUM(E28:E28)</f>
        <v>61699.341666666674</v>
      </c>
      <c r="F29" s="141">
        <f t="shared" si="8"/>
        <v>0</v>
      </c>
      <c r="G29" s="141">
        <f t="shared" si="8"/>
        <v>0</v>
      </c>
      <c r="H29" s="141">
        <f t="shared" si="8"/>
        <v>0</v>
      </c>
      <c r="I29" s="141">
        <f t="shared" si="8"/>
        <v>61699.341666666674</v>
      </c>
      <c r="J29" s="287">
        <f t="shared" si="8"/>
        <v>74039.210000000006</v>
      </c>
      <c r="K29" s="287">
        <f t="shared" si="8"/>
        <v>74039.210000000006</v>
      </c>
      <c r="L29" s="139"/>
      <c r="M29" s="139"/>
      <c r="N29" s="142"/>
      <c r="O29" s="141">
        <f>SUM(O28:O28)</f>
        <v>0</v>
      </c>
      <c r="P29" s="141">
        <f>SUM(P28:P28)</f>
        <v>0</v>
      </c>
      <c r="Q29" s="292"/>
      <c r="R29" s="337">
        <f>SUM(R28:R28)</f>
        <v>0</v>
      </c>
      <c r="S29" s="337">
        <f>SUM(S28:S28)</f>
        <v>0</v>
      </c>
      <c r="T29" s="337">
        <f>SUM(T28:T28)</f>
        <v>0</v>
      </c>
      <c r="U29" s="337">
        <f>SUM(U28:U28)</f>
        <v>0</v>
      </c>
      <c r="V29" s="337">
        <f>SUM(V28:V28)</f>
        <v>0</v>
      </c>
    </row>
    <row r="30" spans="1:22" ht="19.5" customHeight="1">
      <c r="A30" s="54" t="s">
        <v>274</v>
      </c>
      <c r="B30" s="54"/>
      <c r="C30" s="56"/>
      <c r="D30" s="57"/>
      <c r="E30" s="50">
        <f>10585.64/1.2</f>
        <v>8821.3666666666668</v>
      </c>
      <c r="F30" s="50">
        <f>-E30*$F$10</f>
        <v>0</v>
      </c>
      <c r="G30" s="50">
        <f>E30*$G$10</f>
        <v>0</v>
      </c>
      <c r="H30" s="50"/>
      <c r="I30" s="50">
        <f>+E30+F30-G30-H30</f>
        <v>8821.3666666666668</v>
      </c>
      <c r="J30" s="50">
        <f>+I30+(I30*$I$4)</f>
        <v>10585.64</v>
      </c>
      <c r="K30" s="50">
        <v>10585.64</v>
      </c>
      <c r="L30" s="51"/>
      <c r="M30" s="51"/>
      <c r="N30" s="52">
        <f>-IF(L30=0,,IF(M30=0,($C$10-L30),M30-L30))</f>
        <v>0</v>
      </c>
      <c r="O30" s="50">
        <f>+J30-K30</f>
        <v>0</v>
      </c>
      <c r="P30" s="50">
        <f>+IF($C$10&lt;L30,0,O30)</f>
        <v>0</v>
      </c>
      <c r="Q30" s="53"/>
      <c r="R30" s="316">
        <f>IF(N30&gt;=0,0,(IF(-N30&lt;=60,O30,0)))</f>
        <v>0</v>
      </c>
      <c r="S30" s="316">
        <f>IF(N30&gt;=0,0,(IF(N30&gt;=-60,0,IF(-60&gt;=N30,IF(N30&gt;=-120,O30,0)))))</f>
        <v>0</v>
      </c>
      <c r="T30" s="316">
        <f>IF(N30&gt;=0,0,(IF(N30&gt;-60,0,IF(-60&gt;=N30,IF(N30&gt;=-120,0,IF(N30&gt;=-180,O30,0))))))</f>
        <v>0</v>
      </c>
      <c r="U30" s="316">
        <f>IF(N30&gt;=0,0,(IF(N30&gt;-60,0,IF(-60&gt;=N30,IF(N30&gt;-120,0,IF(N30&gt;=-180,0,IF(N30&gt;=-365,O30,0)))))))</f>
        <v>0</v>
      </c>
      <c r="V30" s="316">
        <f>IF(N30&gt;=0,0,IF(365&lt;-N30,O30,0))</f>
        <v>0</v>
      </c>
    </row>
    <row r="31" spans="1:22" s="290" customFormat="1" ht="19.5" customHeight="1">
      <c r="A31" s="138"/>
      <c r="B31" s="143"/>
      <c r="C31" s="286"/>
      <c r="D31" s="140"/>
      <c r="E31" s="141">
        <f t="shared" ref="E31:K31" si="9">SUM(E30:E30)</f>
        <v>8821.3666666666668</v>
      </c>
      <c r="F31" s="141">
        <f t="shared" si="9"/>
        <v>0</v>
      </c>
      <c r="G31" s="141">
        <f t="shared" si="9"/>
        <v>0</v>
      </c>
      <c r="H31" s="141">
        <f t="shared" si="9"/>
        <v>0</v>
      </c>
      <c r="I31" s="141">
        <f t="shared" si="9"/>
        <v>8821.3666666666668</v>
      </c>
      <c r="J31" s="287">
        <f t="shared" si="9"/>
        <v>10585.64</v>
      </c>
      <c r="K31" s="287">
        <f t="shared" si="9"/>
        <v>10585.64</v>
      </c>
      <c r="L31" s="139"/>
      <c r="M31" s="139"/>
      <c r="N31" s="142"/>
      <c r="O31" s="141">
        <f>SUM(O30:O30)</f>
        <v>0</v>
      </c>
      <c r="P31" s="141">
        <f>SUM(P30:P30)</f>
        <v>0</v>
      </c>
      <c r="Q31" s="292"/>
      <c r="R31" s="337">
        <f>SUM(R30:R30)</f>
        <v>0</v>
      </c>
      <c r="S31" s="337">
        <f>SUM(S30:S30)</f>
        <v>0</v>
      </c>
      <c r="T31" s="337">
        <f>SUM(T30:T30)</f>
        <v>0</v>
      </c>
      <c r="U31" s="337">
        <f>SUM(U30:U30)</f>
        <v>0</v>
      </c>
      <c r="V31" s="337">
        <f>SUM(V30:V30)</f>
        <v>0</v>
      </c>
    </row>
    <row r="32" spans="1:22" ht="19.5" customHeight="1">
      <c r="A32" s="54" t="s">
        <v>219</v>
      </c>
      <c r="B32" s="54"/>
      <c r="C32" s="56"/>
      <c r="D32" s="57"/>
      <c r="E32" s="50">
        <f>77949.02/1.2</f>
        <v>64957.51666666667</v>
      </c>
      <c r="F32" s="50">
        <f>-E32*$F$10</f>
        <v>0</v>
      </c>
      <c r="G32" s="50">
        <f>E32*$G$10</f>
        <v>0</v>
      </c>
      <c r="H32" s="50"/>
      <c r="I32" s="50">
        <f>+E32+F32-G32-H32</f>
        <v>64957.51666666667</v>
      </c>
      <c r="J32" s="50">
        <f>+I32+(I32*$I$4)</f>
        <v>77949.02</v>
      </c>
      <c r="K32" s="50">
        <v>77949.02</v>
      </c>
      <c r="L32" s="51"/>
      <c r="M32" s="51"/>
      <c r="N32" s="52">
        <f>-IF(L32=0,,IF(M32=0,($C$10-L32),M32-L32))</f>
        <v>0</v>
      </c>
      <c r="O32" s="50">
        <f>+J32-K32</f>
        <v>0</v>
      </c>
      <c r="P32" s="50">
        <f>+IF($C$10&lt;L32,0,O32)</f>
        <v>0</v>
      </c>
      <c r="Q32" s="53"/>
      <c r="R32" s="316">
        <f>IF(N32&gt;=0,0,(IF(-N32&lt;=60,O32,0)))</f>
        <v>0</v>
      </c>
      <c r="S32" s="316">
        <f>IF(N32&gt;=0,0,(IF(N32&gt;=-60,0,IF(-60&gt;=N32,IF(N32&gt;=-120,O32,0)))))</f>
        <v>0</v>
      </c>
      <c r="T32" s="316">
        <f>IF(N32&gt;=0,0,(IF(N32&gt;-60,0,IF(-60&gt;=N32,IF(N32&gt;=-120,0,IF(N32&gt;=-180,O32,0))))))</f>
        <v>0</v>
      </c>
      <c r="U32" s="316">
        <f>IF(N32&gt;=0,0,(IF(N32&gt;-60,0,IF(-60&gt;=N32,IF(N32&gt;-120,0,IF(N32&gt;=-180,0,IF(N32&gt;=-365,O32,0)))))))</f>
        <v>0</v>
      </c>
      <c r="V32" s="316">
        <f>IF(N32&gt;=0,0,IF(365&lt;-N32,O32,0))</f>
        <v>0</v>
      </c>
    </row>
    <row r="33" spans="1:22" s="290" customFormat="1" ht="19.5" customHeight="1">
      <c r="A33" s="138"/>
      <c r="B33" s="143"/>
      <c r="C33" s="286"/>
      <c r="D33" s="140"/>
      <c r="E33" s="141">
        <f t="shared" ref="E33:K33" si="10">SUM(E32:E32)</f>
        <v>64957.51666666667</v>
      </c>
      <c r="F33" s="141">
        <f t="shared" si="10"/>
        <v>0</v>
      </c>
      <c r="G33" s="141">
        <f t="shared" si="10"/>
        <v>0</v>
      </c>
      <c r="H33" s="141">
        <f t="shared" si="10"/>
        <v>0</v>
      </c>
      <c r="I33" s="141">
        <f t="shared" si="10"/>
        <v>64957.51666666667</v>
      </c>
      <c r="J33" s="287">
        <f t="shared" si="10"/>
        <v>77949.02</v>
      </c>
      <c r="K33" s="287">
        <f t="shared" si="10"/>
        <v>77949.02</v>
      </c>
      <c r="L33" s="139"/>
      <c r="M33" s="139"/>
      <c r="N33" s="142"/>
      <c r="O33" s="141">
        <f>SUM(O32:O32)</f>
        <v>0</v>
      </c>
      <c r="P33" s="141">
        <f>SUM(P32:P32)</f>
        <v>0</v>
      </c>
      <c r="Q33" s="292"/>
      <c r="R33" s="337">
        <f>SUM(R32:R32)</f>
        <v>0</v>
      </c>
      <c r="S33" s="337">
        <f>SUM(S32:S32)</f>
        <v>0</v>
      </c>
      <c r="T33" s="337">
        <f>SUM(T32:T32)</f>
        <v>0</v>
      </c>
      <c r="U33" s="337">
        <f>SUM(U32:U32)</f>
        <v>0</v>
      </c>
      <c r="V33" s="337">
        <f>SUM(V32:V32)</f>
        <v>0</v>
      </c>
    </row>
    <row r="34" spans="1:22" ht="19.5" customHeight="1">
      <c r="A34" s="54" t="s">
        <v>220</v>
      </c>
      <c r="B34" s="54"/>
      <c r="C34" s="56"/>
      <c r="D34" s="57"/>
      <c r="E34" s="50">
        <f>592095.34/1.2</f>
        <v>493412.78333333333</v>
      </c>
      <c r="F34" s="50">
        <f>-E34*$F$10</f>
        <v>0</v>
      </c>
      <c r="G34" s="50">
        <f>E34*$G$10</f>
        <v>0</v>
      </c>
      <c r="H34" s="50"/>
      <c r="I34" s="50">
        <f>+E34+F34-G34-H34</f>
        <v>493412.78333333333</v>
      </c>
      <c r="J34" s="50">
        <f>+I34+(I34*$I$4)</f>
        <v>592095.34</v>
      </c>
      <c r="K34" s="50">
        <v>592095.34</v>
      </c>
      <c r="L34" s="51"/>
      <c r="M34" s="51"/>
      <c r="N34" s="52">
        <f>-IF(L34=0,,IF(M34=0,($C$10-L34),M34-L34))</f>
        <v>0</v>
      </c>
      <c r="O34" s="50">
        <f>+J34-K34</f>
        <v>0</v>
      </c>
      <c r="P34" s="50">
        <f>+IF($C$10&lt;L34,0,O34)</f>
        <v>0</v>
      </c>
      <c r="Q34" s="53"/>
      <c r="R34" s="316">
        <f>IF(N34&gt;=0,0,(IF(-N34&lt;=60,O34,0)))</f>
        <v>0</v>
      </c>
      <c r="S34" s="316">
        <f>IF(N34&gt;=0,0,(IF(N34&gt;=-60,0,IF(-60&gt;=N34,IF(N34&gt;=-120,O34,0)))))</f>
        <v>0</v>
      </c>
      <c r="T34" s="316">
        <f>IF(N34&gt;=0,0,(IF(N34&gt;-60,0,IF(-60&gt;=N34,IF(N34&gt;=-120,0,IF(N34&gt;=-180,O34,0))))))</f>
        <v>0</v>
      </c>
      <c r="U34" s="316">
        <f>IF(N34&gt;=0,0,(IF(N34&gt;-60,0,IF(-60&gt;=N34,IF(N34&gt;-120,0,IF(N34&gt;=-180,0,IF(N34&gt;=-365,O34,0)))))))</f>
        <v>0</v>
      </c>
      <c r="V34" s="316">
        <f>IF(N34&gt;=0,0,IF(365&lt;-N34,O34,0))</f>
        <v>0</v>
      </c>
    </row>
    <row r="35" spans="1:22" s="290" customFormat="1" ht="19.5" customHeight="1">
      <c r="A35" s="138"/>
      <c r="B35" s="143"/>
      <c r="C35" s="286"/>
      <c r="D35" s="140"/>
      <c r="E35" s="141">
        <f t="shared" ref="E35:K35" si="11">SUM(E34:E34)</f>
        <v>493412.78333333333</v>
      </c>
      <c r="F35" s="141">
        <f t="shared" si="11"/>
        <v>0</v>
      </c>
      <c r="G35" s="141">
        <f t="shared" si="11"/>
        <v>0</v>
      </c>
      <c r="H35" s="141">
        <f t="shared" si="11"/>
        <v>0</v>
      </c>
      <c r="I35" s="141">
        <f t="shared" si="11"/>
        <v>493412.78333333333</v>
      </c>
      <c r="J35" s="287">
        <f t="shared" si="11"/>
        <v>592095.34</v>
      </c>
      <c r="K35" s="287">
        <f t="shared" si="11"/>
        <v>592095.34</v>
      </c>
      <c r="L35" s="139"/>
      <c r="M35" s="139"/>
      <c r="N35" s="142"/>
      <c r="O35" s="141">
        <f>SUM(O34:O34)</f>
        <v>0</v>
      </c>
      <c r="P35" s="141">
        <f>SUM(P34:P34)</f>
        <v>0</v>
      </c>
      <c r="Q35" s="292"/>
      <c r="R35" s="337">
        <f>SUM(R34:R34)</f>
        <v>0</v>
      </c>
      <c r="S35" s="337">
        <f>SUM(S34:S34)</f>
        <v>0</v>
      </c>
      <c r="T35" s="337">
        <f>SUM(T34:T34)</f>
        <v>0</v>
      </c>
      <c r="U35" s="337">
        <f>SUM(U34:U34)</f>
        <v>0</v>
      </c>
      <c r="V35" s="337">
        <f>SUM(V34:V34)</f>
        <v>0</v>
      </c>
    </row>
    <row r="36" spans="1:22" ht="19.5" customHeight="1">
      <c r="A36" s="54" t="s">
        <v>124</v>
      </c>
      <c r="B36" s="54"/>
      <c r="C36" s="56"/>
      <c r="D36" s="57"/>
      <c r="E36" s="50">
        <f>2171195.57/1.2</f>
        <v>1809329.6416666666</v>
      </c>
      <c r="F36" s="50">
        <f>-E36*$F$10</f>
        <v>0</v>
      </c>
      <c r="G36" s="50">
        <f>E36*$G$10</f>
        <v>0</v>
      </c>
      <c r="H36" s="50"/>
      <c r="I36" s="50">
        <f>+E36+F36-G36-H36</f>
        <v>1809329.6416666666</v>
      </c>
      <c r="J36" s="50">
        <f>+I36+(I36*$I$4)</f>
        <v>2171195.5699999998</v>
      </c>
      <c r="K36" s="50">
        <v>2171195.5699999998</v>
      </c>
      <c r="L36" s="51"/>
      <c r="M36" s="293"/>
      <c r="N36" s="52">
        <f>-IF(L36=0,,IF(M36=0,($C$10-L36),M36-L36))</f>
        <v>0</v>
      </c>
      <c r="O36" s="50">
        <f>+J36-K36</f>
        <v>0</v>
      </c>
      <c r="P36" s="50">
        <f>+IF($C$10&lt;L36,0,O36)</f>
        <v>0</v>
      </c>
      <c r="Q36" s="53"/>
      <c r="R36" s="316">
        <f>IF(N36&gt;=0,0,(IF(-N36&lt;=60,O36,0)))</f>
        <v>0</v>
      </c>
      <c r="S36" s="316">
        <f>IF(N36&gt;=0,0,(IF(N36&gt;=-60,0,IF(-60&gt;=N36,IF(N36&gt;=-120,O36,0)))))</f>
        <v>0</v>
      </c>
      <c r="T36" s="316">
        <f>IF(N36&gt;=0,0,(IF(N36&gt;-60,0,IF(-60&gt;=N36,IF(N36&gt;=-120,0,IF(N36&gt;=-180,O36,0))))))</f>
        <v>0</v>
      </c>
      <c r="U36" s="316">
        <f>IF(N36&gt;=0,0,(IF(N36&gt;-60,0,IF(-60&gt;=N36,IF(N36&gt;-120,0,IF(N36&gt;=-180,0,IF(N36&gt;=-365,O36,0)))))))</f>
        <v>0</v>
      </c>
      <c r="V36" s="316">
        <f>IF(N36&gt;=0,0,IF(365&lt;-N36,O36,0))</f>
        <v>0</v>
      </c>
    </row>
    <row r="37" spans="1:22" s="290" customFormat="1" ht="19.5" customHeight="1">
      <c r="A37" s="138"/>
      <c r="B37" s="138"/>
      <c r="C37" s="286"/>
      <c r="D37" s="140"/>
      <c r="E37" s="141">
        <f t="shared" ref="E37:K37" si="12">SUM(E36:E36)</f>
        <v>1809329.6416666666</v>
      </c>
      <c r="F37" s="141">
        <f t="shared" si="12"/>
        <v>0</v>
      </c>
      <c r="G37" s="141">
        <f t="shared" si="12"/>
        <v>0</v>
      </c>
      <c r="H37" s="141">
        <f t="shared" si="12"/>
        <v>0</v>
      </c>
      <c r="I37" s="141">
        <f t="shared" si="12"/>
        <v>1809329.6416666666</v>
      </c>
      <c r="J37" s="287">
        <f t="shared" si="12"/>
        <v>2171195.5699999998</v>
      </c>
      <c r="K37" s="287">
        <f t="shared" si="12"/>
        <v>2171195.5699999998</v>
      </c>
      <c r="L37" s="139"/>
      <c r="M37" s="294"/>
      <c r="N37" s="142"/>
      <c r="O37" s="141">
        <f>SUM(O36:O36)</f>
        <v>0</v>
      </c>
      <c r="P37" s="141">
        <f>SUM(P36:P36)</f>
        <v>0</v>
      </c>
      <c r="Q37" s="292"/>
      <c r="R37" s="337">
        <f>SUM(R36:R36)</f>
        <v>0</v>
      </c>
      <c r="S37" s="337">
        <f>SUM(S36:S36)</f>
        <v>0</v>
      </c>
      <c r="T37" s="337">
        <f>SUM(T36:T36)</f>
        <v>0</v>
      </c>
      <c r="U37" s="337">
        <f>SUM(U36:U36)</f>
        <v>0</v>
      </c>
      <c r="V37" s="337">
        <f>SUM(V36:V36)</f>
        <v>0</v>
      </c>
    </row>
    <row r="38" spans="1:22" ht="19.5" customHeight="1">
      <c r="A38" s="54" t="s">
        <v>275</v>
      </c>
      <c r="B38" s="54"/>
      <c r="C38" s="56">
        <v>38017</v>
      </c>
      <c r="D38" s="57"/>
      <c r="E38" s="50">
        <v>8392.5499999999993</v>
      </c>
      <c r="F38" s="50">
        <f t="shared" ref="F38:F44" si="13">-E38*$F$10</f>
        <v>0</v>
      </c>
      <c r="G38" s="50">
        <f t="shared" ref="G38:G44" si="14">E38*$G$10</f>
        <v>0</v>
      </c>
      <c r="H38" s="50"/>
      <c r="I38" s="50">
        <f t="shared" ref="I38:I44" si="15">+E38+F38-G38-H38</f>
        <v>8392.5499999999993</v>
      </c>
      <c r="J38" s="50">
        <f t="shared" ref="J38:J44" si="16">+I38+(I38*$I$4)</f>
        <v>10071.06</v>
      </c>
      <c r="K38" s="50">
        <v>10071.06</v>
      </c>
      <c r="L38" s="51">
        <v>38087</v>
      </c>
      <c r="M38" s="51"/>
      <c r="N38" s="52">
        <f t="shared" ref="N38:N44" si="17">-IF(L38=0,,IF(M38=0,($C$10-L38),M38-L38))</f>
        <v>-5007</v>
      </c>
      <c r="O38" s="50">
        <f t="shared" ref="O38:O44" si="18">+J38-K38</f>
        <v>0</v>
      </c>
      <c r="P38" s="50">
        <f t="shared" ref="P38:P44" si="19">+IF($C$10&lt;L38,0,O38)</f>
        <v>0</v>
      </c>
      <c r="Q38" s="53"/>
      <c r="R38" s="316">
        <f t="shared" ref="R38:R44" si="20">IF(N38&gt;=0,0,(IF(-N38&lt;=60,O38,0)))</f>
        <v>0</v>
      </c>
      <c r="S38" s="316">
        <f t="shared" ref="S38:S44" si="21">IF(N38&gt;=0,0,(IF(N38&gt;=-60,0,IF(-60&gt;=N38,IF(N38&gt;=-120,O38,0)))))</f>
        <v>0</v>
      </c>
      <c r="T38" s="316">
        <f t="shared" ref="T38:T44" si="22">IF(N38&gt;=0,0,(IF(N38&gt;-60,0,IF(-60&gt;=N38,IF(N38&gt;=-120,0,IF(N38&gt;=-180,O38,0))))))</f>
        <v>0</v>
      </c>
      <c r="U38" s="316">
        <f t="shared" ref="U38:U44" si="23">IF(N38&gt;=0,0,(IF(N38&gt;-60,0,IF(-60&gt;=N38,IF(N38&gt;-120,0,IF(N38&gt;=-180,0,IF(N38&gt;=-365,O38,0)))))))</f>
        <v>0</v>
      </c>
      <c r="V38" s="316">
        <f t="shared" ref="V38:V44" si="24">IF(N38&gt;=0,0,IF(365&lt;-N38,O38,0))</f>
        <v>0</v>
      </c>
    </row>
    <row r="39" spans="1:22" ht="19.5" customHeight="1">
      <c r="A39" s="54" t="s">
        <v>275</v>
      </c>
      <c r="B39" s="54"/>
      <c r="C39" s="56">
        <v>38045</v>
      </c>
      <c r="D39" s="57"/>
      <c r="E39" s="50">
        <v>5033.0583333333334</v>
      </c>
      <c r="F39" s="50">
        <f t="shared" si="13"/>
        <v>0</v>
      </c>
      <c r="G39" s="50">
        <f t="shared" si="14"/>
        <v>0</v>
      </c>
      <c r="H39" s="50"/>
      <c r="I39" s="50">
        <f t="shared" si="15"/>
        <v>5033.0583333333334</v>
      </c>
      <c r="J39" s="50">
        <f t="shared" si="16"/>
        <v>6039.67</v>
      </c>
      <c r="K39" s="50">
        <v>6039.67</v>
      </c>
      <c r="L39" s="51">
        <v>38117</v>
      </c>
      <c r="M39" s="51"/>
      <c r="N39" s="52">
        <f t="shared" si="17"/>
        <v>-4977</v>
      </c>
      <c r="O39" s="50">
        <f t="shared" si="18"/>
        <v>0</v>
      </c>
      <c r="P39" s="50">
        <f t="shared" si="19"/>
        <v>0</v>
      </c>
      <c r="Q39" s="53"/>
      <c r="R39" s="316">
        <f t="shared" si="20"/>
        <v>0</v>
      </c>
      <c r="S39" s="316">
        <f t="shared" si="21"/>
        <v>0</v>
      </c>
      <c r="T39" s="316">
        <f t="shared" si="22"/>
        <v>0</v>
      </c>
      <c r="U39" s="316">
        <f t="shared" si="23"/>
        <v>0</v>
      </c>
      <c r="V39" s="316">
        <f t="shared" si="24"/>
        <v>0</v>
      </c>
    </row>
    <row r="40" spans="1:22" ht="19.5" customHeight="1">
      <c r="A40" s="54" t="s">
        <v>275</v>
      </c>
      <c r="B40" s="54"/>
      <c r="C40" s="56">
        <v>38077</v>
      </c>
      <c r="D40" s="57"/>
      <c r="E40" s="50">
        <v>8751.0249999999996</v>
      </c>
      <c r="F40" s="50">
        <f t="shared" si="13"/>
        <v>0</v>
      </c>
      <c r="G40" s="50">
        <f t="shared" si="14"/>
        <v>0</v>
      </c>
      <c r="H40" s="50"/>
      <c r="I40" s="50">
        <f t="shared" si="15"/>
        <v>8751.0249999999996</v>
      </c>
      <c r="J40" s="50">
        <f t="shared" si="16"/>
        <v>10501.23</v>
      </c>
      <c r="K40" s="50">
        <v>10501.23</v>
      </c>
      <c r="L40" s="51">
        <v>38148</v>
      </c>
      <c r="M40" s="51"/>
      <c r="N40" s="52">
        <f t="shared" si="17"/>
        <v>-4946</v>
      </c>
      <c r="O40" s="50">
        <f t="shared" si="18"/>
        <v>0</v>
      </c>
      <c r="P40" s="50">
        <f t="shared" si="19"/>
        <v>0</v>
      </c>
      <c r="Q40" s="53"/>
      <c r="R40" s="316">
        <f t="shared" si="20"/>
        <v>0</v>
      </c>
      <c r="S40" s="316">
        <f t="shared" si="21"/>
        <v>0</v>
      </c>
      <c r="T40" s="316">
        <f t="shared" si="22"/>
        <v>0</v>
      </c>
      <c r="U40" s="316">
        <f t="shared" si="23"/>
        <v>0</v>
      </c>
      <c r="V40" s="316">
        <f t="shared" si="24"/>
        <v>0</v>
      </c>
    </row>
    <row r="41" spans="1:22" ht="19.5" customHeight="1">
      <c r="A41" s="54" t="s">
        <v>275</v>
      </c>
      <c r="B41" s="54"/>
      <c r="C41" s="56">
        <v>38107</v>
      </c>
      <c r="D41" s="57"/>
      <c r="E41" s="50">
        <v>12660.791666666668</v>
      </c>
      <c r="F41" s="50">
        <f t="shared" si="13"/>
        <v>0</v>
      </c>
      <c r="G41" s="50">
        <f t="shared" si="14"/>
        <v>0</v>
      </c>
      <c r="H41" s="50"/>
      <c r="I41" s="50">
        <f t="shared" si="15"/>
        <v>12660.791666666668</v>
      </c>
      <c r="J41" s="50">
        <f t="shared" si="16"/>
        <v>15192.95</v>
      </c>
      <c r="K41" s="50">
        <v>15192.95</v>
      </c>
      <c r="L41" s="51">
        <v>38178</v>
      </c>
      <c r="M41" s="51"/>
      <c r="N41" s="52">
        <f t="shared" si="17"/>
        <v>-4916</v>
      </c>
      <c r="O41" s="50">
        <f t="shared" si="18"/>
        <v>0</v>
      </c>
      <c r="P41" s="50">
        <f t="shared" si="19"/>
        <v>0</v>
      </c>
      <c r="Q41" s="53"/>
      <c r="R41" s="316">
        <f t="shared" si="20"/>
        <v>0</v>
      </c>
      <c r="S41" s="316">
        <f t="shared" si="21"/>
        <v>0</v>
      </c>
      <c r="T41" s="316">
        <f t="shared" si="22"/>
        <v>0</v>
      </c>
      <c r="U41" s="316">
        <f t="shared" si="23"/>
        <v>0</v>
      </c>
      <c r="V41" s="316">
        <f t="shared" si="24"/>
        <v>0</v>
      </c>
    </row>
    <row r="42" spans="1:22" ht="19.5" customHeight="1">
      <c r="A42" s="54" t="s">
        <v>275</v>
      </c>
      <c r="B42" s="54"/>
      <c r="C42" s="56">
        <v>38138</v>
      </c>
      <c r="D42" s="57"/>
      <c r="E42" s="50">
        <v>6109.5166666666673</v>
      </c>
      <c r="F42" s="50">
        <f t="shared" si="13"/>
        <v>0</v>
      </c>
      <c r="G42" s="50">
        <f t="shared" si="14"/>
        <v>0</v>
      </c>
      <c r="H42" s="50"/>
      <c r="I42" s="50">
        <f t="shared" si="15"/>
        <v>6109.5166666666673</v>
      </c>
      <c r="J42" s="50">
        <f t="shared" si="16"/>
        <v>7331.420000000001</v>
      </c>
      <c r="K42" s="50">
        <v>7331.41</v>
      </c>
      <c r="L42" s="51">
        <v>38209</v>
      </c>
      <c r="M42" s="51"/>
      <c r="N42" s="52">
        <f t="shared" si="17"/>
        <v>-4885</v>
      </c>
      <c r="O42" s="50">
        <f t="shared" si="18"/>
        <v>1.0000000001127773E-2</v>
      </c>
      <c r="P42" s="50">
        <f t="shared" si="19"/>
        <v>1.0000000001127773E-2</v>
      </c>
      <c r="Q42" s="53"/>
      <c r="R42" s="316">
        <f t="shared" si="20"/>
        <v>0</v>
      </c>
      <c r="S42" s="316">
        <f t="shared" si="21"/>
        <v>0</v>
      </c>
      <c r="T42" s="316">
        <f t="shared" si="22"/>
        <v>0</v>
      </c>
      <c r="U42" s="316">
        <f t="shared" si="23"/>
        <v>0</v>
      </c>
      <c r="V42" s="316">
        <f t="shared" si="24"/>
        <v>1.0000000001127773E-2</v>
      </c>
    </row>
    <row r="43" spans="1:22" ht="19.5" customHeight="1">
      <c r="A43" s="54" t="s">
        <v>275</v>
      </c>
      <c r="B43" s="54"/>
      <c r="C43" s="56">
        <v>38168</v>
      </c>
      <c r="D43" s="57"/>
      <c r="E43" s="50">
        <f>10697.0666666667-2363.5</f>
        <v>8333.5666666667003</v>
      </c>
      <c r="F43" s="50">
        <f t="shared" si="13"/>
        <v>0</v>
      </c>
      <c r="G43" s="50">
        <f t="shared" si="14"/>
        <v>0</v>
      </c>
      <c r="H43" s="50"/>
      <c r="I43" s="50">
        <f t="shared" si="15"/>
        <v>8333.5666666667003</v>
      </c>
      <c r="J43" s="50">
        <f t="shared" si="16"/>
        <v>10000.280000000041</v>
      </c>
      <c r="K43" s="50">
        <v>10000</v>
      </c>
      <c r="L43" s="51">
        <v>38240</v>
      </c>
      <c r="M43" s="51">
        <v>38632</v>
      </c>
      <c r="N43" s="52">
        <f t="shared" si="17"/>
        <v>-392</v>
      </c>
      <c r="O43" s="50">
        <f t="shared" si="18"/>
        <v>0.2800000000406726</v>
      </c>
      <c r="P43" s="50">
        <f t="shared" si="19"/>
        <v>0.2800000000406726</v>
      </c>
      <c r="Q43" s="53"/>
      <c r="R43" s="316">
        <f t="shared" si="20"/>
        <v>0</v>
      </c>
      <c r="S43" s="316">
        <f t="shared" si="21"/>
        <v>0</v>
      </c>
      <c r="T43" s="316">
        <f t="shared" si="22"/>
        <v>0</v>
      </c>
      <c r="U43" s="316">
        <f t="shared" si="23"/>
        <v>0</v>
      </c>
      <c r="V43" s="316">
        <f t="shared" si="24"/>
        <v>0.2800000000406726</v>
      </c>
    </row>
    <row r="44" spans="1:22" ht="19.5" customHeight="1">
      <c r="A44" s="54" t="s">
        <v>275</v>
      </c>
      <c r="B44" s="54"/>
      <c r="C44" s="56">
        <v>38199</v>
      </c>
      <c r="D44" s="57"/>
      <c r="E44" s="50">
        <f>8255.56666666667-8255.57</f>
        <v>-3.3333333303744439E-3</v>
      </c>
      <c r="F44" s="50">
        <f t="shared" si="13"/>
        <v>0</v>
      </c>
      <c r="G44" s="50">
        <f t="shared" si="14"/>
        <v>0</v>
      </c>
      <c r="H44" s="50"/>
      <c r="I44" s="50">
        <f t="shared" si="15"/>
        <v>-3.3333333303744439E-3</v>
      </c>
      <c r="J44" s="50">
        <f t="shared" si="16"/>
        <v>-3.9999999964493325E-3</v>
      </c>
      <c r="K44" s="50"/>
      <c r="L44" s="51">
        <v>38301</v>
      </c>
      <c r="M44" s="51"/>
      <c r="N44" s="52">
        <f t="shared" si="17"/>
        <v>-4793</v>
      </c>
      <c r="O44" s="50">
        <f t="shared" si="18"/>
        <v>-3.9999999964493325E-3</v>
      </c>
      <c r="P44" s="50">
        <f t="shared" si="19"/>
        <v>-3.9999999964493325E-3</v>
      </c>
      <c r="Q44" s="53"/>
      <c r="R44" s="316">
        <f t="shared" si="20"/>
        <v>0</v>
      </c>
      <c r="S44" s="316">
        <f t="shared" si="21"/>
        <v>0</v>
      </c>
      <c r="T44" s="316">
        <f t="shared" si="22"/>
        <v>0</v>
      </c>
      <c r="U44" s="316">
        <f t="shared" si="23"/>
        <v>0</v>
      </c>
      <c r="V44" s="316">
        <f t="shared" si="24"/>
        <v>-3.9999999964493325E-3</v>
      </c>
    </row>
    <row r="45" spans="1:22" s="290" customFormat="1" ht="19.5" customHeight="1">
      <c r="A45" s="138"/>
      <c r="B45" s="143"/>
      <c r="C45" s="286"/>
      <c r="D45" s="140"/>
      <c r="E45" s="141">
        <f>SUM(E38:E44)</f>
        <v>49280.505000000048</v>
      </c>
      <c r="F45" s="141">
        <f t="shared" ref="F45:K45" si="25">SUM(F38:F44)</f>
        <v>0</v>
      </c>
      <c r="G45" s="141">
        <f t="shared" si="25"/>
        <v>0</v>
      </c>
      <c r="H45" s="141">
        <f t="shared" si="25"/>
        <v>0</v>
      </c>
      <c r="I45" s="141">
        <f t="shared" si="25"/>
        <v>49280.505000000048</v>
      </c>
      <c r="J45" s="141">
        <f t="shared" si="25"/>
        <v>59136.606000000051</v>
      </c>
      <c r="K45" s="141">
        <f t="shared" si="25"/>
        <v>59136.320000000007</v>
      </c>
      <c r="L45" s="139"/>
      <c r="M45" s="139"/>
      <c r="N45" s="142"/>
      <c r="O45" s="141">
        <f>SUM(O38:O44)</f>
        <v>0.28600000004535103</v>
      </c>
      <c r="P45" s="141">
        <f>SUM(P38:P44)</f>
        <v>0.28600000004535103</v>
      </c>
      <c r="Q45" s="292"/>
      <c r="R45" s="337">
        <f>SUM(R38:R44)</f>
        <v>0</v>
      </c>
      <c r="S45" s="337">
        <f>SUM(S38:S44)</f>
        <v>0</v>
      </c>
      <c r="T45" s="337">
        <f>SUM(T38:T44)</f>
        <v>0</v>
      </c>
      <c r="U45" s="337">
        <f>SUM(U38:U44)</f>
        <v>0</v>
      </c>
      <c r="V45" s="337">
        <f>SUM(V38:V44)</f>
        <v>0.28600000004535103</v>
      </c>
    </row>
    <row r="46" spans="1:22" ht="19.5" customHeight="1">
      <c r="A46" s="54" t="s">
        <v>127</v>
      </c>
      <c r="B46" s="54"/>
      <c r="C46" s="56"/>
      <c r="D46" s="57"/>
      <c r="E46" s="50">
        <f>669116.12/1.2</f>
        <v>557596.76666666672</v>
      </c>
      <c r="F46" s="50">
        <f>-E46*$F$10</f>
        <v>0</v>
      </c>
      <c r="G46" s="50">
        <f>E46*$G$10</f>
        <v>0</v>
      </c>
      <c r="H46" s="50"/>
      <c r="I46" s="50">
        <f>+E46+F46-G46-H46</f>
        <v>557596.76666666672</v>
      </c>
      <c r="J46" s="50">
        <f>+I46+(I46*$I$4)</f>
        <v>669116.12000000011</v>
      </c>
      <c r="K46" s="50">
        <v>669116.12000000011</v>
      </c>
      <c r="L46" s="51"/>
      <c r="M46" s="51"/>
      <c r="N46" s="52">
        <f>-IF(L46=0,,IF(M46=0,($C$10-L46),M46-L46))</f>
        <v>0</v>
      </c>
      <c r="O46" s="50">
        <f>+J46-K46</f>
        <v>0</v>
      </c>
      <c r="P46" s="50">
        <f>+IF($C$10&lt;L46,0,O46)</f>
        <v>0</v>
      </c>
      <c r="Q46" s="53"/>
      <c r="R46" s="316">
        <f>IF(N46&gt;=0,0,(IF(-N46&lt;=60,O46,0)))</f>
        <v>0</v>
      </c>
      <c r="S46" s="316">
        <f>IF(N46&gt;=0,0,(IF(N46&gt;=-60,0,IF(-60&gt;=N46,IF(N46&gt;=-120,O46,0)))))</f>
        <v>0</v>
      </c>
      <c r="T46" s="316">
        <f>IF(N46&gt;=0,0,(IF(N46&gt;-60,0,IF(-60&gt;=N46,IF(N46&gt;=-120,0,IF(N46&gt;=-180,O46,0))))))</f>
        <v>0</v>
      </c>
      <c r="U46" s="316">
        <f>IF(N46&gt;=0,0,(IF(N46&gt;-60,0,IF(-60&gt;=N46,IF(N46&gt;-120,0,IF(N46&gt;=-180,0,IF(N46&gt;=-365,O46,0)))))))</f>
        <v>0</v>
      </c>
      <c r="V46" s="316">
        <f>IF(N46&gt;=0,0,IF(365&lt;-N46,O46,0))</f>
        <v>0</v>
      </c>
    </row>
    <row r="47" spans="1:22" s="290" customFormat="1" ht="19.5" customHeight="1">
      <c r="A47" s="138"/>
      <c r="B47" s="143"/>
      <c r="C47" s="286"/>
      <c r="D47" s="140"/>
      <c r="E47" s="141">
        <f t="shared" ref="E47:K47" si="26">SUM(E46:E46)</f>
        <v>557596.76666666672</v>
      </c>
      <c r="F47" s="141">
        <f t="shared" si="26"/>
        <v>0</v>
      </c>
      <c r="G47" s="141">
        <f t="shared" si="26"/>
        <v>0</v>
      </c>
      <c r="H47" s="141">
        <f t="shared" si="26"/>
        <v>0</v>
      </c>
      <c r="I47" s="141">
        <f t="shared" si="26"/>
        <v>557596.76666666672</v>
      </c>
      <c r="J47" s="287">
        <f t="shared" si="26"/>
        <v>669116.12000000011</v>
      </c>
      <c r="K47" s="287">
        <f t="shared" si="26"/>
        <v>669116.12000000011</v>
      </c>
      <c r="L47" s="139"/>
      <c r="M47" s="139"/>
      <c r="N47" s="142"/>
      <c r="O47" s="141">
        <f>SUM(O46:O46)</f>
        <v>0</v>
      </c>
      <c r="P47" s="141">
        <f>SUM(P46:P46)</f>
        <v>0</v>
      </c>
      <c r="Q47" s="292"/>
      <c r="R47" s="337">
        <f>SUM(R46:R46)</f>
        <v>0</v>
      </c>
      <c r="S47" s="337">
        <f>SUM(S46:S46)</f>
        <v>0</v>
      </c>
      <c r="T47" s="337">
        <f>SUM(T46:T46)</f>
        <v>0</v>
      </c>
      <c r="U47" s="337">
        <f>SUM(U46:U46)</f>
        <v>0</v>
      </c>
      <c r="V47" s="337">
        <f>SUM(V46:V46)</f>
        <v>0</v>
      </c>
    </row>
    <row r="48" spans="1:22" ht="19.5" customHeight="1">
      <c r="A48" s="54" t="s">
        <v>276</v>
      </c>
      <c r="B48" s="54"/>
      <c r="C48" s="56"/>
      <c r="D48" s="57"/>
      <c r="E48" s="50">
        <f>10345.48/1.2</f>
        <v>8621.2333333333336</v>
      </c>
      <c r="F48" s="50">
        <f>-E48*$F$10</f>
        <v>0</v>
      </c>
      <c r="G48" s="50">
        <f>E48*$G$10</f>
        <v>0</v>
      </c>
      <c r="H48" s="50"/>
      <c r="I48" s="50">
        <f>+E48+F48-G48-H48</f>
        <v>8621.2333333333336</v>
      </c>
      <c r="J48" s="50">
        <f>+I48+(I48*$I$4)</f>
        <v>10345.48</v>
      </c>
      <c r="K48" s="50">
        <v>10345.48</v>
      </c>
      <c r="L48" s="51"/>
      <c r="M48" s="51"/>
      <c r="N48" s="52">
        <f>-IF(L48=0,,IF(M48=0,($C$10-L48),M48-L48))</f>
        <v>0</v>
      </c>
      <c r="O48" s="50">
        <f>+J48-K48</f>
        <v>0</v>
      </c>
      <c r="P48" s="50">
        <f>+IF($C$10&lt;L48,0,O48)</f>
        <v>0</v>
      </c>
      <c r="Q48" s="53"/>
      <c r="R48" s="316">
        <f>IF(N48&gt;=0,0,(IF(-N48&lt;=60,O48,0)))</f>
        <v>0</v>
      </c>
      <c r="S48" s="316">
        <f>IF(N48&gt;=0,0,(IF(N48&gt;=-60,0,IF(-60&gt;=N48,IF(N48&gt;=-120,O48,0)))))</f>
        <v>0</v>
      </c>
      <c r="T48" s="316">
        <f>IF(N48&gt;=0,0,(IF(N48&gt;-60,0,IF(-60&gt;=N48,IF(N48&gt;=-120,0,IF(N48&gt;=-180,O48,0))))))</f>
        <v>0</v>
      </c>
      <c r="U48" s="316">
        <f>IF(N48&gt;=0,0,(IF(N48&gt;-60,0,IF(-60&gt;=N48,IF(N48&gt;-120,0,IF(N48&gt;=-180,0,IF(N48&gt;=-365,O48,0)))))))</f>
        <v>0</v>
      </c>
      <c r="V48" s="316">
        <f>IF(N48&gt;=0,0,IF(365&lt;-N48,O48,0))</f>
        <v>0</v>
      </c>
    </row>
    <row r="49" spans="1:22" s="290" customFormat="1" ht="19.5" customHeight="1">
      <c r="A49" s="138"/>
      <c r="B49" s="138"/>
      <c r="C49" s="286"/>
      <c r="D49" s="140"/>
      <c r="E49" s="141">
        <f t="shared" ref="E49:K49" si="27">SUM(E48:E48)</f>
        <v>8621.2333333333336</v>
      </c>
      <c r="F49" s="141">
        <f t="shared" si="27"/>
        <v>0</v>
      </c>
      <c r="G49" s="141">
        <f t="shared" si="27"/>
        <v>0</v>
      </c>
      <c r="H49" s="141">
        <f t="shared" si="27"/>
        <v>0</v>
      </c>
      <c r="I49" s="141">
        <f t="shared" si="27"/>
        <v>8621.2333333333336</v>
      </c>
      <c r="J49" s="287">
        <f t="shared" si="27"/>
        <v>10345.48</v>
      </c>
      <c r="K49" s="287">
        <f t="shared" si="27"/>
        <v>10345.48</v>
      </c>
      <c r="L49" s="139"/>
      <c r="M49" s="139"/>
      <c r="N49" s="142"/>
      <c r="O49" s="141">
        <f>SUM(O48:O48)</f>
        <v>0</v>
      </c>
      <c r="P49" s="141">
        <f>SUM(P48:P48)</f>
        <v>0</v>
      </c>
      <c r="Q49" s="292"/>
      <c r="R49" s="337">
        <f>SUM(R48:R48)</f>
        <v>0</v>
      </c>
      <c r="S49" s="337">
        <f>SUM(S48:S48)</f>
        <v>0</v>
      </c>
      <c r="T49" s="337">
        <f>SUM(T48:T48)</f>
        <v>0</v>
      </c>
      <c r="U49" s="337">
        <f>SUM(U48:U48)</f>
        <v>0</v>
      </c>
      <c r="V49" s="337">
        <f>SUM(V48:V48)</f>
        <v>0</v>
      </c>
    </row>
    <row r="50" spans="1:22" ht="19.5" customHeight="1">
      <c r="A50" s="54" t="s">
        <v>131</v>
      </c>
      <c r="B50" s="54"/>
      <c r="C50" s="56"/>
      <c r="D50" s="57"/>
      <c r="E50" s="50">
        <f>1486919.28/1.2</f>
        <v>1239099.4000000001</v>
      </c>
      <c r="F50" s="50">
        <f>-E50*$F$10</f>
        <v>0</v>
      </c>
      <c r="G50" s="50">
        <f>E50*$G$10</f>
        <v>0</v>
      </c>
      <c r="H50" s="50"/>
      <c r="I50" s="50">
        <f>+E50+F50-G50-H50</f>
        <v>1239099.4000000001</v>
      </c>
      <c r="J50" s="50">
        <f>+I50+(I50*$I$4)</f>
        <v>1486919.2800000003</v>
      </c>
      <c r="K50" s="50">
        <v>1486919.2800000003</v>
      </c>
      <c r="L50" s="51"/>
      <c r="M50" s="293"/>
      <c r="N50" s="52">
        <f>-IF(L50=0,,IF(M50=0,($C$10-L50),M50-L50))</f>
        <v>0</v>
      </c>
      <c r="O50" s="50">
        <f>+J50-K50</f>
        <v>0</v>
      </c>
      <c r="P50" s="50">
        <f>+IF($C$10&lt;L50,0,O50)</f>
        <v>0</v>
      </c>
      <c r="Q50" s="53"/>
      <c r="R50" s="316">
        <f>IF(N50&gt;=0,0,(IF(-N50&lt;=60,O50,0)))</f>
        <v>0</v>
      </c>
      <c r="S50" s="316">
        <f>IF(N50&gt;=0,0,(IF(N50&gt;=-60,0,IF(-60&gt;=N50,IF(N50&gt;=-120,O50,0)))))</f>
        <v>0</v>
      </c>
      <c r="T50" s="316">
        <f>IF(N50&gt;=0,0,(IF(N50&gt;-60,0,IF(-60&gt;=N50,IF(N50&gt;=-120,0,IF(N50&gt;=-180,O50,0))))))</f>
        <v>0</v>
      </c>
      <c r="U50" s="316">
        <f>IF(N50&gt;=0,0,(IF(N50&gt;-60,0,IF(-60&gt;=N50,IF(N50&gt;-120,0,IF(N50&gt;=-180,0,IF(N50&gt;=-365,O50,0)))))))</f>
        <v>0</v>
      </c>
      <c r="V50" s="316">
        <f>IF(N50&gt;=0,0,IF(365&lt;-N50,O50,0))</f>
        <v>0</v>
      </c>
    </row>
    <row r="51" spans="1:22" s="290" customFormat="1" ht="19.5" customHeight="1">
      <c r="A51" s="138"/>
      <c r="B51" s="138"/>
      <c r="C51" s="286"/>
      <c r="D51" s="140"/>
      <c r="E51" s="141">
        <f t="shared" ref="E51:K51" si="28">SUM(E50:E50)</f>
        <v>1239099.4000000001</v>
      </c>
      <c r="F51" s="141">
        <f t="shared" si="28"/>
        <v>0</v>
      </c>
      <c r="G51" s="141">
        <f t="shared" si="28"/>
        <v>0</v>
      </c>
      <c r="H51" s="141">
        <f t="shared" si="28"/>
        <v>0</v>
      </c>
      <c r="I51" s="141">
        <f t="shared" si="28"/>
        <v>1239099.4000000001</v>
      </c>
      <c r="J51" s="287">
        <f t="shared" si="28"/>
        <v>1486919.2800000003</v>
      </c>
      <c r="K51" s="287">
        <f t="shared" si="28"/>
        <v>1486919.2800000003</v>
      </c>
      <c r="L51" s="139"/>
      <c r="M51" s="139"/>
      <c r="N51" s="142"/>
      <c r="O51" s="141">
        <f>SUM(O50:O50)</f>
        <v>0</v>
      </c>
      <c r="P51" s="141">
        <f>SUM(P50:P50)</f>
        <v>0</v>
      </c>
      <c r="Q51" s="292"/>
      <c r="R51" s="337">
        <f>SUM(R50:R50)</f>
        <v>0</v>
      </c>
      <c r="S51" s="337">
        <f>SUM(S50:S50)</f>
        <v>0</v>
      </c>
      <c r="T51" s="337">
        <f>SUM(T50:T50)</f>
        <v>0</v>
      </c>
      <c r="U51" s="337">
        <f>SUM(U50:U50)</f>
        <v>0</v>
      </c>
      <c r="V51" s="337">
        <f>SUM(V50:V50)</f>
        <v>0</v>
      </c>
    </row>
    <row r="52" spans="1:22" ht="19.5" customHeight="1">
      <c r="A52" s="54" t="s">
        <v>170</v>
      </c>
      <c r="B52" s="54"/>
      <c r="C52" s="56"/>
      <c r="D52" s="57"/>
      <c r="E52" s="50">
        <f>60002.47/1.2</f>
        <v>50002.058333333334</v>
      </c>
      <c r="F52" s="50">
        <f>-E52*$F$10</f>
        <v>0</v>
      </c>
      <c r="G52" s="50">
        <f>E52*$G$10</f>
        <v>0</v>
      </c>
      <c r="H52" s="50"/>
      <c r="I52" s="50">
        <f>+E52+F52-G52-H52</f>
        <v>50002.058333333334</v>
      </c>
      <c r="J52" s="50">
        <f>+I52+(I52*$I$4)</f>
        <v>60002.47</v>
      </c>
      <c r="K52" s="50">
        <v>60002.47</v>
      </c>
      <c r="L52" s="51"/>
      <c r="M52" s="293"/>
      <c r="N52" s="52">
        <f>-IF(L52=0,,IF(M52=0,($C$10-L52),M52-L52))</f>
        <v>0</v>
      </c>
      <c r="O52" s="50">
        <f>+J52-K52</f>
        <v>0</v>
      </c>
      <c r="P52" s="50">
        <f>+IF($C$10&lt;L52,0,O52)</f>
        <v>0</v>
      </c>
      <c r="Q52" s="53"/>
      <c r="R52" s="316">
        <f>IF(N52&gt;=0,0,(IF(-N52&lt;=60,O52,0)))</f>
        <v>0</v>
      </c>
      <c r="S52" s="316">
        <f>IF(N52&gt;=0,0,(IF(N52&gt;=-60,0,IF(-60&gt;=N52,IF(N52&gt;=-120,O52,0)))))</f>
        <v>0</v>
      </c>
      <c r="T52" s="316">
        <f>IF(N52&gt;=0,0,(IF(N52&gt;-60,0,IF(-60&gt;=N52,IF(N52&gt;=-120,0,IF(N52&gt;=-180,O52,0))))))</f>
        <v>0</v>
      </c>
      <c r="U52" s="316">
        <f>IF(N52&gt;=0,0,(IF(N52&gt;-60,0,IF(-60&gt;=N52,IF(N52&gt;-120,0,IF(N52&gt;=-180,0,IF(N52&gt;=-365,O52,0)))))))</f>
        <v>0</v>
      </c>
      <c r="V52" s="316">
        <f>IF(N52&gt;=0,0,IF(365&lt;-N52,O52,0))</f>
        <v>0</v>
      </c>
    </row>
    <row r="53" spans="1:22" s="290" customFormat="1" ht="19.5" customHeight="1">
      <c r="A53" s="138"/>
      <c r="B53" s="138"/>
      <c r="C53" s="286"/>
      <c r="D53" s="140"/>
      <c r="E53" s="141">
        <f t="shared" ref="E53:K53" si="29">SUM(E52:E52)</f>
        <v>50002.058333333334</v>
      </c>
      <c r="F53" s="141">
        <f t="shared" si="29"/>
        <v>0</v>
      </c>
      <c r="G53" s="141">
        <f t="shared" si="29"/>
        <v>0</v>
      </c>
      <c r="H53" s="141">
        <f t="shared" si="29"/>
        <v>0</v>
      </c>
      <c r="I53" s="141">
        <f t="shared" si="29"/>
        <v>50002.058333333334</v>
      </c>
      <c r="J53" s="287">
        <f t="shared" si="29"/>
        <v>60002.47</v>
      </c>
      <c r="K53" s="287">
        <f t="shared" si="29"/>
        <v>60002.47</v>
      </c>
      <c r="L53" s="139"/>
      <c r="M53" s="139"/>
      <c r="N53" s="142"/>
      <c r="O53" s="141">
        <f>SUM(O52:O52)</f>
        <v>0</v>
      </c>
      <c r="P53" s="141">
        <f>SUM(P52:P52)</f>
        <v>0</v>
      </c>
      <c r="Q53" s="292"/>
      <c r="R53" s="337">
        <f>SUM(R52:R52)</f>
        <v>0</v>
      </c>
      <c r="S53" s="337">
        <f>SUM(S52:S52)</f>
        <v>0</v>
      </c>
      <c r="T53" s="337">
        <f>SUM(T52:T52)</f>
        <v>0</v>
      </c>
      <c r="U53" s="337">
        <f>SUM(U52:U52)</f>
        <v>0</v>
      </c>
      <c r="V53" s="337">
        <f>SUM(V52:V52)</f>
        <v>0</v>
      </c>
    </row>
    <row r="54" spans="1:22" ht="19.5" customHeight="1">
      <c r="A54" s="54" t="s">
        <v>277</v>
      </c>
      <c r="B54" s="54"/>
      <c r="C54" s="56"/>
      <c r="D54" s="57"/>
      <c r="E54" s="50">
        <f>13614.68/1.2</f>
        <v>11345.566666666668</v>
      </c>
      <c r="F54" s="50">
        <f>-E54*$F$10</f>
        <v>0</v>
      </c>
      <c r="G54" s="50">
        <f>E54*$G$10</f>
        <v>0</v>
      </c>
      <c r="H54" s="50"/>
      <c r="I54" s="50">
        <f>+E54+F54-G54-H54</f>
        <v>11345.566666666668</v>
      </c>
      <c r="J54" s="50">
        <f>+I54+(I54*$I$4)</f>
        <v>13614.68</v>
      </c>
      <c r="K54" s="50">
        <v>13614.68</v>
      </c>
      <c r="L54" s="51"/>
      <c r="M54" s="51"/>
      <c r="N54" s="52">
        <f>-IF(L54=0,,IF(M54=0,($C$10-L54),M54-L54))</f>
        <v>0</v>
      </c>
      <c r="O54" s="50">
        <f>+J54-K54</f>
        <v>0</v>
      </c>
      <c r="P54" s="50">
        <f>+IF($C$10&lt;L54,0,O54)</f>
        <v>0</v>
      </c>
      <c r="Q54" s="53"/>
      <c r="R54" s="316">
        <f>IF(N54&gt;=0,0,(IF(-N54&lt;=60,O54,0)))</f>
        <v>0</v>
      </c>
      <c r="S54" s="316">
        <f>IF(N54&gt;=0,0,(IF(N54&gt;=-60,0,IF(-60&gt;=N54,IF(N54&gt;=-120,O54,0)))))</f>
        <v>0</v>
      </c>
      <c r="T54" s="316">
        <f>IF(N54&gt;=0,0,(IF(N54&gt;-60,0,IF(-60&gt;=N54,IF(N54&gt;=-120,0,IF(N54&gt;=-180,O54,0))))))</f>
        <v>0</v>
      </c>
      <c r="U54" s="316">
        <f>IF(N54&gt;=0,0,(IF(N54&gt;-60,0,IF(-60&gt;=N54,IF(N54&gt;-120,0,IF(N54&gt;=-180,0,IF(N54&gt;=-365,O54,0)))))))</f>
        <v>0</v>
      </c>
      <c r="V54" s="316">
        <f>IF(N54&gt;=0,0,IF(365&lt;-N54,O54,0))</f>
        <v>0</v>
      </c>
    </row>
    <row r="55" spans="1:22" s="290" customFormat="1" ht="19.5" customHeight="1">
      <c r="A55" s="138"/>
      <c r="B55" s="138"/>
      <c r="C55" s="286"/>
      <c r="D55" s="140"/>
      <c r="E55" s="141">
        <f t="shared" ref="E55:K55" si="30">SUM(E54:E54)</f>
        <v>11345.566666666668</v>
      </c>
      <c r="F55" s="141">
        <f t="shared" si="30"/>
        <v>0</v>
      </c>
      <c r="G55" s="141">
        <f t="shared" si="30"/>
        <v>0</v>
      </c>
      <c r="H55" s="141">
        <f t="shared" si="30"/>
        <v>0</v>
      </c>
      <c r="I55" s="141">
        <f t="shared" si="30"/>
        <v>11345.566666666668</v>
      </c>
      <c r="J55" s="287">
        <f t="shared" si="30"/>
        <v>13614.68</v>
      </c>
      <c r="K55" s="287">
        <f t="shared" si="30"/>
        <v>13614.68</v>
      </c>
      <c r="L55" s="139"/>
      <c r="M55" s="139"/>
      <c r="N55" s="142"/>
      <c r="O55" s="141">
        <f>SUM(O54:O54)</f>
        <v>0</v>
      </c>
      <c r="P55" s="141">
        <f>SUM(P54:P54)</f>
        <v>0</v>
      </c>
      <c r="Q55" s="292"/>
      <c r="R55" s="337">
        <f>SUM(R54:R54)</f>
        <v>0</v>
      </c>
      <c r="S55" s="337">
        <f>SUM(S54:S54)</f>
        <v>0</v>
      </c>
      <c r="T55" s="337">
        <f>SUM(T54:T54)</f>
        <v>0</v>
      </c>
      <c r="U55" s="337">
        <f>SUM(U54:U54)</f>
        <v>0</v>
      </c>
      <c r="V55" s="337">
        <f>SUM(V54:V54)</f>
        <v>0</v>
      </c>
    </row>
    <row r="56" spans="1:22" ht="19.5" customHeight="1">
      <c r="A56" s="54" t="s">
        <v>278</v>
      </c>
      <c r="B56" s="54"/>
      <c r="C56" s="56"/>
      <c r="D56" s="57"/>
      <c r="E56" s="50">
        <f>4500/1.2</f>
        <v>3750</v>
      </c>
      <c r="F56" s="50">
        <f>-E56*$F$10</f>
        <v>0</v>
      </c>
      <c r="G56" s="50">
        <f>E56*$G$10</f>
        <v>0</v>
      </c>
      <c r="H56" s="50"/>
      <c r="I56" s="50">
        <f>+E56+F56-G56-H56</f>
        <v>3750</v>
      </c>
      <c r="J56" s="50">
        <f>+I56+(I56*$I$4)</f>
        <v>4500</v>
      </c>
      <c r="K56" s="50">
        <v>4500</v>
      </c>
      <c r="L56" s="51"/>
      <c r="M56" s="293"/>
      <c r="N56" s="52">
        <f>-IF(L56=0,,IF(M56=0,($C$10-L56),M56-L56))</f>
        <v>0</v>
      </c>
      <c r="O56" s="50">
        <f>+J56-K56</f>
        <v>0</v>
      </c>
      <c r="P56" s="50">
        <f>+IF($C$10&lt;L56,0,O56)</f>
        <v>0</v>
      </c>
      <c r="Q56" s="53"/>
      <c r="R56" s="316">
        <f>IF(N56&gt;=0,0,(IF(-N56&lt;=60,O56,0)))</f>
        <v>0</v>
      </c>
      <c r="S56" s="316">
        <f>IF(N56&gt;=0,0,(IF(N56&gt;=-60,0,IF(-60&gt;=N56,IF(N56&gt;=-120,O56,0)))))</f>
        <v>0</v>
      </c>
      <c r="T56" s="316">
        <f>IF(N56&gt;=0,0,(IF(N56&gt;-60,0,IF(-60&gt;=N56,IF(N56&gt;=-120,0,IF(N56&gt;=-180,O56,0))))))</f>
        <v>0</v>
      </c>
      <c r="U56" s="316">
        <f>IF(N56&gt;=0,0,(IF(N56&gt;-60,0,IF(-60&gt;=N56,IF(N56&gt;-120,0,IF(N56&gt;=-180,0,IF(N56&gt;=-365,O56,0)))))))</f>
        <v>0</v>
      </c>
      <c r="V56" s="316">
        <f>IF(N56&gt;=0,0,IF(365&lt;-N56,O56,0))</f>
        <v>0</v>
      </c>
    </row>
    <row r="57" spans="1:22" s="290" customFormat="1" ht="19.5" customHeight="1">
      <c r="A57" s="138"/>
      <c r="B57" s="138"/>
      <c r="C57" s="286"/>
      <c r="D57" s="140"/>
      <c r="E57" s="141">
        <f t="shared" ref="E57:K57" si="31">SUM(E56:E56)</f>
        <v>3750</v>
      </c>
      <c r="F57" s="141">
        <f t="shared" si="31"/>
        <v>0</v>
      </c>
      <c r="G57" s="141">
        <f t="shared" si="31"/>
        <v>0</v>
      </c>
      <c r="H57" s="141">
        <f t="shared" si="31"/>
        <v>0</v>
      </c>
      <c r="I57" s="141">
        <f t="shared" si="31"/>
        <v>3750</v>
      </c>
      <c r="J57" s="287">
        <f t="shared" si="31"/>
        <v>4500</v>
      </c>
      <c r="K57" s="287">
        <f t="shared" si="31"/>
        <v>4500</v>
      </c>
      <c r="L57" s="139"/>
      <c r="M57" s="139"/>
      <c r="N57" s="142"/>
      <c r="O57" s="141">
        <f>SUM(O56:O56)</f>
        <v>0</v>
      </c>
      <c r="P57" s="141">
        <f>SUM(P56:P56)</f>
        <v>0</v>
      </c>
      <c r="Q57" s="292"/>
      <c r="R57" s="337">
        <f>SUM(R56:R56)</f>
        <v>0</v>
      </c>
      <c r="S57" s="337">
        <f>SUM(S56:S56)</f>
        <v>0</v>
      </c>
      <c r="T57" s="337">
        <f>SUM(T56:T56)</f>
        <v>0</v>
      </c>
      <c r="U57" s="337">
        <f>SUM(U56:U56)</f>
        <v>0</v>
      </c>
      <c r="V57" s="337">
        <f>SUM(V56:V56)</f>
        <v>0</v>
      </c>
    </row>
    <row r="58" spans="1:22" ht="19.5" customHeight="1">
      <c r="A58" s="54" t="s">
        <v>279</v>
      </c>
      <c r="B58" s="54"/>
      <c r="C58" s="56"/>
      <c r="D58" s="57"/>
      <c r="E58" s="50">
        <f>906796.11/1.2</f>
        <v>755663.42500000005</v>
      </c>
      <c r="F58" s="50">
        <f>-E58*$F$10</f>
        <v>0</v>
      </c>
      <c r="G58" s="50">
        <f>E58*$G$10</f>
        <v>0</v>
      </c>
      <c r="H58" s="50"/>
      <c r="I58" s="50">
        <f>+E58+F58-G58-H58</f>
        <v>755663.42500000005</v>
      </c>
      <c r="J58" s="50">
        <f>+I58+(I58*$I$4)</f>
        <v>906796.1100000001</v>
      </c>
      <c r="K58" s="50">
        <v>906796.1100000001</v>
      </c>
      <c r="L58" s="51"/>
      <c r="M58" s="293"/>
      <c r="N58" s="52">
        <f>-IF(L58=0,,IF(M58=0,($C$10-L58),M58-L58))</f>
        <v>0</v>
      </c>
      <c r="O58" s="50">
        <f>+J58-K58</f>
        <v>0</v>
      </c>
      <c r="P58" s="50">
        <f>+IF($C$10&lt;L58,0,O58)</f>
        <v>0</v>
      </c>
      <c r="Q58" s="53"/>
      <c r="R58" s="316">
        <f>IF(N58&gt;=0,0,(IF(-N58&lt;=60,O58,0)))</f>
        <v>0</v>
      </c>
      <c r="S58" s="316">
        <f>IF(N58&gt;=0,0,(IF(N58&gt;=-60,0,IF(-60&gt;=N58,IF(N58&gt;=-120,O58,0)))))</f>
        <v>0</v>
      </c>
      <c r="T58" s="316">
        <f>IF(N58&gt;=0,0,(IF(N58&gt;-60,0,IF(-60&gt;=N58,IF(N58&gt;=-120,0,IF(N58&gt;=-180,O58,0))))))</f>
        <v>0</v>
      </c>
      <c r="U58" s="316">
        <f>IF(N58&gt;=0,0,(IF(N58&gt;-60,0,IF(-60&gt;=N58,IF(N58&gt;-120,0,IF(N58&gt;=-180,0,IF(N58&gt;=-365,O58,0)))))))</f>
        <v>0</v>
      </c>
      <c r="V58" s="316">
        <f>IF(N58&gt;=0,0,IF(365&lt;-N58,O58,0))</f>
        <v>0</v>
      </c>
    </row>
    <row r="59" spans="1:22" s="290" customFormat="1" ht="19.5" customHeight="1">
      <c r="A59" s="138"/>
      <c r="B59" s="138"/>
      <c r="C59" s="286"/>
      <c r="D59" s="140"/>
      <c r="E59" s="141">
        <f t="shared" ref="E59:K59" si="32">SUM(E58:E58)</f>
        <v>755663.42500000005</v>
      </c>
      <c r="F59" s="141">
        <f t="shared" si="32"/>
        <v>0</v>
      </c>
      <c r="G59" s="141">
        <f t="shared" si="32"/>
        <v>0</v>
      </c>
      <c r="H59" s="141">
        <f t="shared" si="32"/>
        <v>0</v>
      </c>
      <c r="I59" s="141">
        <f t="shared" si="32"/>
        <v>755663.42500000005</v>
      </c>
      <c r="J59" s="287">
        <f t="shared" si="32"/>
        <v>906796.1100000001</v>
      </c>
      <c r="K59" s="287">
        <f t="shared" si="32"/>
        <v>906796.1100000001</v>
      </c>
      <c r="L59" s="139"/>
      <c r="M59" s="139"/>
      <c r="N59" s="142"/>
      <c r="O59" s="141">
        <f>SUM(O58:O58)</f>
        <v>0</v>
      </c>
      <c r="P59" s="141">
        <f>SUM(P58:P58)</f>
        <v>0</v>
      </c>
      <c r="Q59" s="292"/>
      <c r="R59" s="337">
        <f>SUM(R58:R58)</f>
        <v>0</v>
      </c>
      <c r="S59" s="337">
        <f>SUM(S58:S58)</f>
        <v>0</v>
      </c>
      <c r="T59" s="337">
        <f>SUM(T58:T58)</f>
        <v>0</v>
      </c>
      <c r="U59" s="337">
        <f>SUM(U58:U58)</f>
        <v>0</v>
      </c>
      <c r="V59" s="337">
        <f>SUM(V58:V58)</f>
        <v>0</v>
      </c>
    </row>
    <row r="60" spans="1:22" ht="19.5" customHeight="1">
      <c r="A60" s="54" t="s">
        <v>171</v>
      </c>
      <c r="B60" s="54"/>
      <c r="C60" s="56"/>
      <c r="D60" s="57"/>
      <c r="E60" s="50">
        <f>28388.8/1.2</f>
        <v>23657.333333333332</v>
      </c>
      <c r="F60" s="50">
        <f>-E60*$F$10</f>
        <v>0</v>
      </c>
      <c r="G60" s="50">
        <f>E60*$G$10</f>
        <v>0</v>
      </c>
      <c r="H60" s="50"/>
      <c r="I60" s="50">
        <f>+E60+F60-G60-H60</f>
        <v>23657.333333333332</v>
      </c>
      <c r="J60" s="50">
        <f>+I60+(I60*$I$4)</f>
        <v>28388.799999999999</v>
      </c>
      <c r="K60" s="50">
        <v>28388.799999999999</v>
      </c>
      <c r="L60" s="51"/>
      <c r="M60" s="293"/>
      <c r="N60" s="52">
        <f>-IF(L60=0,,IF(M60=0,($C$10-L60),M60-L60))</f>
        <v>0</v>
      </c>
      <c r="O60" s="50">
        <f>+J60-K60</f>
        <v>0</v>
      </c>
      <c r="P60" s="50">
        <f>+IF($C$10&lt;L60,0,O60)</f>
        <v>0</v>
      </c>
      <c r="Q60" s="53"/>
      <c r="R60" s="316">
        <f>IF(N60&gt;=0,0,(IF(-N60&lt;=60,O60,0)))</f>
        <v>0</v>
      </c>
      <c r="S60" s="316">
        <f>IF(N60&gt;=0,0,(IF(N60&gt;=-60,0,IF(-60&gt;=N60,IF(N60&gt;=-120,O60,0)))))</f>
        <v>0</v>
      </c>
      <c r="T60" s="316">
        <f>IF(N60&gt;=0,0,(IF(N60&gt;-60,0,IF(-60&gt;=N60,IF(N60&gt;=-120,0,IF(N60&gt;=-180,O60,0))))))</f>
        <v>0</v>
      </c>
      <c r="U60" s="316">
        <f>IF(N60&gt;=0,0,(IF(N60&gt;-60,0,IF(-60&gt;=N60,IF(N60&gt;-120,0,IF(N60&gt;=-180,0,IF(N60&gt;=-365,O60,0)))))))</f>
        <v>0</v>
      </c>
      <c r="V60" s="316">
        <f>IF(N60&gt;=0,0,IF(365&lt;-N60,O60,0))</f>
        <v>0</v>
      </c>
    </row>
    <row r="61" spans="1:22" s="290" customFormat="1" ht="19.5" customHeight="1">
      <c r="A61" s="138"/>
      <c r="B61" s="138"/>
      <c r="C61" s="286"/>
      <c r="D61" s="140"/>
      <c r="E61" s="141">
        <f t="shared" ref="E61:K61" si="33">SUM(E60:E60)</f>
        <v>23657.333333333332</v>
      </c>
      <c r="F61" s="141">
        <f t="shared" si="33"/>
        <v>0</v>
      </c>
      <c r="G61" s="141">
        <f t="shared" si="33"/>
        <v>0</v>
      </c>
      <c r="H61" s="141">
        <f t="shared" si="33"/>
        <v>0</v>
      </c>
      <c r="I61" s="141">
        <f t="shared" si="33"/>
        <v>23657.333333333332</v>
      </c>
      <c r="J61" s="287">
        <f t="shared" si="33"/>
        <v>28388.799999999999</v>
      </c>
      <c r="K61" s="287">
        <f t="shared" si="33"/>
        <v>28388.799999999999</v>
      </c>
      <c r="L61" s="139"/>
      <c r="M61" s="139"/>
      <c r="N61" s="142"/>
      <c r="O61" s="141">
        <f>SUM(O60:O60)</f>
        <v>0</v>
      </c>
      <c r="P61" s="141">
        <f>SUM(P60:P60)</f>
        <v>0</v>
      </c>
      <c r="Q61" s="292"/>
      <c r="R61" s="337">
        <f>SUM(R60:R60)</f>
        <v>0</v>
      </c>
      <c r="S61" s="337">
        <f>SUM(S60:S60)</f>
        <v>0</v>
      </c>
      <c r="T61" s="337">
        <f>SUM(T60:T60)</f>
        <v>0</v>
      </c>
      <c r="U61" s="337">
        <f>SUM(U60:U60)</f>
        <v>0</v>
      </c>
      <c r="V61" s="337">
        <f>SUM(V60:V60)</f>
        <v>0</v>
      </c>
    </row>
    <row r="62" spans="1:22" ht="19.5" customHeight="1">
      <c r="A62" s="54" t="s">
        <v>280</v>
      </c>
      <c r="B62" s="54"/>
      <c r="C62" s="56"/>
      <c r="D62" s="57"/>
      <c r="E62" s="50">
        <f>4993.75/1.2</f>
        <v>4161.4583333333339</v>
      </c>
      <c r="F62" s="50">
        <f>-E62*$F$10</f>
        <v>0</v>
      </c>
      <c r="G62" s="50">
        <f>E62*$G$10</f>
        <v>0</v>
      </c>
      <c r="H62" s="50"/>
      <c r="I62" s="50">
        <f>+E62+F62-G62-H62</f>
        <v>4161.4583333333339</v>
      </c>
      <c r="J62" s="50">
        <f>+I62+(I62*$I$4)</f>
        <v>4993.7500000000009</v>
      </c>
      <c r="K62" s="50">
        <v>4993.7500000000009</v>
      </c>
      <c r="L62" s="51"/>
      <c r="M62" s="293"/>
      <c r="N62" s="52">
        <f>-IF(L62=0,,IF(M62=0,($C$10-L62),M62-L62))</f>
        <v>0</v>
      </c>
      <c r="O62" s="50">
        <f>+J62-K62</f>
        <v>0</v>
      </c>
      <c r="P62" s="50">
        <f>+IF($C$10&lt;L62,0,O62)</f>
        <v>0</v>
      </c>
      <c r="Q62" s="53"/>
      <c r="R62" s="316">
        <f>IF(N62&gt;=0,0,(IF(-N62&lt;=60,O62,0)))</f>
        <v>0</v>
      </c>
      <c r="S62" s="316">
        <f>IF(N62&gt;=0,0,(IF(N62&gt;=-60,0,IF(-60&gt;=N62,IF(N62&gt;=-120,O62,0)))))</f>
        <v>0</v>
      </c>
      <c r="T62" s="316">
        <f>IF(N62&gt;=0,0,(IF(N62&gt;-60,0,IF(-60&gt;=N62,IF(N62&gt;=-120,0,IF(N62&gt;=-180,O62,0))))))</f>
        <v>0</v>
      </c>
      <c r="U62" s="316">
        <f>IF(N62&gt;=0,0,(IF(N62&gt;-60,0,IF(-60&gt;=N62,IF(N62&gt;-120,0,IF(N62&gt;=-180,0,IF(N62&gt;=-365,O62,0)))))))</f>
        <v>0</v>
      </c>
      <c r="V62" s="316">
        <f>IF(N62&gt;=0,0,IF(365&lt;-N62,O62,0))</f>
        <v>0</v>
      </c>
    </row>
    <row r="63" spans="1:22" s="290" customFormat="1" ht="19.5" customHeight="1">
      <c r="A63" s="138"/>
      <c r="B63" s="138"/>
      <c r="C63" s="286"/>
      <c r="D63" s="140"/>
      <c r="E63" s="141">
        <f t="shared" ref="E63:K63" si="34">SUM(E62:E62)</f>
        <v>4161.4583333333339</v>
      </c>
      <c r="F63" s="141">
        <f t="shared" si="34"/>
        <v>0</v>
      </c>
      <c r="G63" s="141">
        <f t="shared" si="34"/>
        <v>0</v>
      </c>
      <c r="H63" s="141">
        <f t="shared" si="34"/>
        <v>0</v>
      </c>
      <c r="I63" s="141">
        <f t="shared" si="34"/>
        <v>4161.4583333333339</v>
      </c>
      <c r="J63" s="287">
        <f t="shared" si="34"/>
        <v>4993.7500000000009</v>
      </c>
      <c r="K63" s="287">
        <f t="shared" si="34"/>
        <v>4993.7500000000009</v>
      </c>
      <c r="L63" s="139"/>
      <c r="M63" s="139"/>
      <c r="N63" s="142"/>
      <c r="O63" s="141">
        <f>SUM(O62:O62)</f>
        <v>0</v>
      </c>
      <c r="P63" s="141">
        <f>SUM(P62:P62)</f>
        <v>0</v>
      </c>
      <c r="Q63" s="292"/>
      <c r="R63" s="337">
        <f>SUM(R62:R62)</f>
        <v>0</v>
      </c>
      <c r="S63" s="337">
        <f>SUM(S62:S62)</f>
        <v>0</v>
      </c>
      <c r="T63" s="337">
        <f>SUM(T62:T62)</f>
        <v>0</v>
      </c>
      <c r="U63" s="337">
        <f>SUM(U62:U62)</f>
        <v>0</v>
      </c>
      <c r="V63" s="337">
        <f>SUM(V62:V62)</f>
        <v>0</v>
      </c>
    </row>
    <row r="64" spans="1:22" ht="19.5" customHeight="1">
      <c r="A64" s="54" t="s">
        <v>224</v>
      </c>
      <c r="B64" s="54"/>
      <c r="C64" s="56"/>
      <c r="D64" s="57"/>
      <c r="E64" s="50">
        <f>13331.1/1.2</f>
        <v>11109.25</v>
      </c>
      <c r="F64" s="50">
        <f>-E64*$F$10</f>
        <v>0</v>
      </c>
      <c r="G64" s="50">
        <f>E64*$G$10</f>
        <v>0</v>
      </c>
      <c r="H64" s="50"/>
      <c r="I64" s="50">
        <f>+E64+F64-G64-H64</f>
        <v>11109.25</v>
      </c>
      <c r="J64" s="50">
        <f>+I64+(I64*$I$4)</f>
        <v>13331.1</v>
      </c>
      <c r="K64" s="50">
        <v>13331.1</v>
      </c>
      <c r="L64" s="51"/>
      <c r="M64" s="293"/>
      <c r="N64" s="52">
        <f>-IF(L64=0,,IF(M64=0,($C$10-L64),M64-L64))</f>
        <v>0</v>
      </c>
      <c r="O64" s="50">
        <f>+J64-K64</f>
        <v>0</v>
      </c>
      <c r="P64" s="50">
        <f>+IF($C$10&lt;L64,0,O64)</f>
        <v>0</v>
      </c>
      <c r="Q64" s="53"/>
      <c r="R64" s="316">
        <f>IF(N64&gt;=0,0,(IF(-N64&lt;=60,O64,0)))</f>
        <v>0</v>
      </c>
      <c r="S64" s="316">
        <f>IF(N64&gt;=0,0,(IF(N64&gt;=-60,0,IF(-60&gt;=N64,IF(N64&gt;=-120,O64,0)))))</f>
        <v>0</v>
      </c>
      <c r="T64" s="316">
        <f>IF(N64&gt;=0,0,(IF(N64&gt;-60,0,IF(-60&gt;=N64,IF(N64&gt;=-120,0,IF(N64&gt;=-180,O64,0))))))</f>
        <v>0</v>
      </c>
      <c r="U64" s="316">
        <f>IF(N64&gt;=0,0,(IF(N64&gt;-60,0,IF(-60&gt;=N64,IF(N64&gt;-120,0,IF(N64&gt;=-180,0,IF(N64&gt;=-365,O64,0)))))))</f>
        <v>0</v>
      </c>
      <c r="V64" s="316">
        <f>IF(N64&gt;=0,0,IF(365&lt;-N64,O64,0))</f>
        <v>0</v>
      </c>
    </row>
    <row r="65" spans="1:22" s="290" customFormat="1" ht="19.5" customHeight="1">
      <c r="A65" s="138"/>
      <c r="B65" s="138"/>
      <c r="C65" s="286"/>
      <c r="D65" s="140"/>
      <c r="E65" s="141">
        <f t="shared" ref="E65:K65" si="35">SUM(E64:E64)</f>
        <v>11109.25</v>
      </c>
      <c r="F65" s="141">
        <f t="shared" si="35"/>
        <v>0</v>
      </c>
      <c r="G65" s="141">
        <f t="shared" si="35"/>
        <v>0</v>
      </c>
      <c r="H65" s="141">
        <f t="shared" si="35"/>
        <v>0</v>
      </c>
      <c r="I65" s="141">
        <f t="shared" si="35"/>
        <v>11109.25</v>
      </c>
      <c r="J65" s="287">
        <f t="shared" si="35"/>
        <v>13331.1</v>
      </c>
      <c r="K65" s="287">
        <f t="shared" si="35"/>
        <v>13331.1</v>
      </c>
      <c r="L65" s="139"/>
      <c r="M65" s="139"/>
      <c r="N65" s="142"/>
      <c r="O65" s="141">
        <f>SUM(O64:O64)</f>
        <v>0</v>
      </c>
      <c r="P65" s="141">
        <f>SUM(P64:P64)</f>
        <v>0</v>
      </c>
      <c r="Q65" s="292"/>
      <c r="R65" s="337">
        <f>SUM(R64:R64)</f>
        <v>0</v>
      </c>
      <c r="S65" s="337">
        <f>SUM(S64:S64)</f>
        <v>0</v>
      </c>
      <c r="T65" s="337">
        <f>SUM(T64:T64)</f>
        <v>0</v>
      </c>
      <c r="U65" s="337">
        <f>SUM(U64:U64)</f>
        <v>0</v>
      </c>
      <c r="V65" s="337">
        <f>SUM(V64:V64)</f>
        <v>0</v>
      </c>
    </row>
    <row r="66" spans="1:22" ht="19.5" customHeight="1">
      <c r="A66" s="54" t="s">
        <v>194</v>
      </c>
      <c r="B66" s="54"/>
      <c r="C66" s="56"/>
      <c r="D66" s="57"/>
      <c r="E66" s="50">
        <f>38657.65/1.2</f>
        <v>32214.708333333336</v>
      </c>
      <c r="F66" s="50">
        <f>-E66*$F$10</f>
        <v>0</v>
      </c>
      <c r="G66" s="50">
        <f>E66*$G$10</f>
        <v>0</v>
      </c>
      <c r="H66" s="50"/>
      <c r="I66" s="50">
        <f>+E66+F66-G66-H66</f>
        <v>32214.708333333336</v>
      </c>
      <c r="J66" s="50">
        <f>+I66+(I66*$I$4)</f>
        <v>38657.65</v>
      </c>
      <c r="K66" s="50">
        <v>38657.65</v>
      </c>
      <c r="L66" s="51"/>
      <c r="M66" s="51"/>
      <c r="N66" s="52">
        <f>-IF(L66=0,,IF(M66=0,($C$10-L66),M66-L66))</f>
        <v>0</v>
      </c>
      <c r="O66" s="50">
        <f>+J66-K66</f>
        <v>0</v>
      </c>
      <c r="P66" s="50">
        <f>+IF($C$10&lt;L66,0,O66)</f>
        <v>0</v>
      </c>
      <c r="Q66" s="53"/>
      <c r="R66" s="316">
        <f>IF(N66&gt;=0,0,(IF(-N66&lt;=60,O66,0)))</f>
        <v>0</v>
      </c>
      <c r="S66" s="316">
        <f>IF(N66&gt;=0,0,(IF(N66&gt;=-60,0,IF(-60&gt;=N66,IF(N66&gt;=-120,O66,0)))))</f>
        <v>0</v>
      </c>
      <c r="T66" s="316">
        <f>IF(N66&gt;=0,0,(IF(N66&gt;-60,0,IF(-60&gt;=N66,IF(N66&gt;=-120,0,IF(N66&gt;=-180,O66,0))))))</f>
        <v>0</v>
      </c>
      <c r="U66" s="316">
        <f>IF(N66&gt;=0,0,(IF(N66&gt;-60,0,IF(-60&gt;=N66,IF(N66&gt;-120,0,IF(N66&gt;=-180,0,IF(N66&gt;=-365,O66,0)))))))</f>
        <v>0</v>
      </c>
      <c r="V66" s="316">
        <f>IF(N66&gt;=0,0,IF(365&lt;-N66,O66,0))</f>
        <v>0</v>
      </c>
    </row>
    <row r="67" spans="1:22" s="290" customFormat="1" ht="19.5" customHeight="1">
      <c r="A67" s="138"/>
      <c r="B67" s="138"/>
      <c r="C67" s="286"/>
      <c r="D67" s="140"/>
      <c r="E67" s="141">
        <f t="shared" ref="E67:K67" si="36">SUM(E66:E66)</f>
        <v>32214.708333333336</v>
      </c>
      <c r="F67" s="141">
        <f t="shared" si="36"/>
        <v>0</v>
      </c>
      <c r="G67" s="141">
        <f t="shared" si="36"/>
        <v>0</v>
      </c>
      <c r="H67" s="141">
        <f t="shared" si="36"/>
        <v>0</v>
      </c>
      <c r="I67" s="141">
        <f t="shared" si="36"/>
        <v>32214.708333333336</v>
      </c>
      <c r="J67" s="287">
        <f t="shared" si="36"/>
        <v>38657.65</v>
      </c>
      <c r="K67" s="287">
        <f t="shared" si="36"/>
        <v>38657.65</v>
      </c>
      <c r="L67" s="139"/>
      <c r="M67" s="139"/>
      <c r="N67" s="142"/>
      <c r="O67" s="141">
        <f>SUM(O66:O66)</f>
        <v>0</v>
      </c>
      <c r="P67" s="141">
        <f>SUM(P66:P66)</f>
        <v>0</v>
      </c>
      <c r="Q67" s="292"/>
      <c r="R67" s="337">
        <f>SUM(R66:R66)</f>
        <v>0</v>
      </c>
      <c r="S67" s="337">
        <f>SUM(S66:S66)</f>
        <v>0</v>
      </c>
      <c r="T67" s="337">
        <f>SUM(T66:T66)</f>
        <v>0</v>
      </c>
      <c r="U67" s="337">
        <f>SUM(U66:U66)</f>
        <v>0</v>
      </c>
      <c r="V67" s="337">
        <f>SUM(V66:V66)</f>
        <v>0</v>
      </c>
    </row>
    <row r="68" spans="1:22" ht="19.5" customHeight="1">
      <c r="A68" s="54" t="s">
        <v>140</v>
      </c>
      <c r="B68" s="54"/>
      <c r="C68" s="56"/>
      <c r="D68" s="57"/>
      <c r="E68" s="50">
        <f>89437.74/1.2</f>
        <v>74531.450000000012</v>
      </c>
      <c r="F68" s="50">
        <f>-E68*$F$10</f>
        <v>0</v>
      </c>
      <c r="G68" s="50">
        <f>E68*$G$10</f>
        <v>0</v>
      </c>
      <c r="H68" s="50"/>
      <c r="I68" s="50">
        <f>+E68+F68-G68-H68</f>
        <v>74531.450000000012</v>
      </c>
      <c r="J68" s="50">
        <f>+I68+(I68*$I$4)</f>
        <v>89437.74000000002</v>
      </c>
      <c r="K68" s="50">
        <v>89437.74000000002</v>
      </c>
      <c r="L68" s="51"/>
      <c r="M68" s="51"/>
      <c r="N68" s="52">
        <f>-IF(L68=0,,IF(M68=0,($C$10-L68),M68-L68))</f>
        <v>0</v>
      </c>
      <c r="O68" s="50">
        <f>+J68-K68</f>
        <v>0</v>
      </c>
      <c r="P68" s="50">
        <f>+IF($C$10&lt;L68,0,O68)</f>
        <v>0</v>
      </c>
      <c r="Q68" s="53"/>
      <c r="R68" s="316">
        <f>IF(N68&gt;=0,0,(IF(-N68&lt;=60,O68,0)))</f>
        <v>0</v>
      </c>
      <c r="S68" s="316">
        <f>IF(N68&gt;=0,0,(IF(N68&gt;=-60,0,IF(-60&gt;=N68,IF(N68&gt;=-120,O68,0)))))</f>
        <v>0</v>
      </c>
      <c r="T68" s="316">
        <f>IF(N68&gt;=0,0,(IF(N68&gt;-60,0,IF(-60&gt;=N68,IF(N68&gt;=-120,0,IF(N68&gt;=-180,O68,0))))))</f>
        <v>0</v>
      </c>
      <c r="U68" s="316">
        <f>IF(N68&gt;=0,0,(IF(N68&gt;-60,0,IF(-60&gt;=N68,IF(N68&gt;-120,0,IF(N68&gt;=-180,0,IF(N68&gt;=-365,O68,0)))))))</f>
        <v>0</v>
      </c>
      <c r="V68" s="316">
        <f>IF(N68&gt;=0,0,IF(365&lt;-N68,O68,0))</f>
        <v>0</v>
      </c>
    </row>
    <row r="69" spans="1:22" s="290" customFormat="1" ht="19.5" customHeight="1">
      <c r="A69" s="138"/>
      <c r="B69" s="138"/>
      <c r="C69" s="286"/>
      <c r="D69" s="140"/>
      <c r="E69" s="141">
        <f t="shared" ref="E69:K69" si="37">SUM(E68:E68)</f>
        <v>74531.450000000012</v>
      </c>
      <c r="F69" s="141">
        <f t="shared" si="37"/>
        <v>0</v>
      </c>
      <c r="G69" s="141">
        <f t="shared" si="37"/>
        <v>0</v>
      </c>
      <c r="H69" s="141">
        <f t="shared" si="37"/>
        <v>0</v>
      </c>
      <c r="I69" s="141">
        <f t="shared" si="37"/>
        <v>74531.450000000012</v>
      </c>
      <c r="J69" s="287">
        <f t="shared" si="37"/>
        <v>89437.74000000002</v>
      </c>
      <c r="K69" s="287">
        <f t="shared" si="37"/>
        <v>89437.74000000002</v>
      </c>
      <c r="L69" s="139"/>
      <c r="M69" s="139"/>
      <c r="N69" s="142"/>
      <c r="O69" s="141">
        <f>SUM(O68:O68)</f>
        <v>0</v>
      </c>
      <c r="P69" s="141">
        <f>SUM(P68:P68)</f>
        <v>0</v>
      </c>
      <c r="Q69" s="292"/>
      <c r="R69" s="337">
        <f>SUM(R68:R68)</f>
        <v>0</v>
      </c>
      <c r="S69" s="337">
        <f>SUM(S68:S68)</f>
        <v>0</v>
      </c>
      <c r="T69" s="337">
        <f>SUM(T68:T68)</f>
        <v>0</v>
      </c>
      <c r="U69" s="337">
        <f>SUM(U68:U68)</f>
        <v>0</v>
      </c>
      <c r="V69" s="337">
        <f>SUM(V68:V68)</f>
        <v>0</v>
      </c>
    </row>
    <row r="70" spans="1:22" ht="19.5" customHeight="1">
      <c r="A70" s="54" t="s">
        <v>198</v>
      </c>
      <c r="B70" s="54"/>
      <c r="C70" s="56"/>
      <c r="D70" s="57"/>
      <c r="E70" s="50">
        <f>127139.66/1.2</f>
        <v>105949.71666666667</v>
      </c>
      <c r="F70" s="50">
        <f>-E70*$F$10</f>
        <v>0</v>
      </c>
      <c r="G70" s="50">
        <f>E70*$G$10</f>
        <v>0</v>
      </c>
      <c r="H70" s="50"/>
      <c r="I70" s="50">
        <f>+E70+F70-G70-H70</f>
        <v>105949.71666666667</v>
      </c>
      <c r="J70" s="50">
        <f>+I70+(I70*$I$4)</f>
        <v>127139.66</v>
      </c>
      <c r="K70" s="50">
        <v>127139.66</v>
      </c>
      <c r="L70" s="51"/>
      <c r="M70" s="51"/>
      <c r="N70" s="52">
        <f>-IF(L70=0,,IF(M70=0,($C$10-L70),M70-L70))</f>
        <v>0</v>
      </c>
      <c r="O70" s="50">
        <f>+J70-K70</f>
        <v>0</v>
      </c>
      <c r="P70" s="50">
        <f>+IF($C$10&lt;L70,0,O70)</f>
        <v>0</v>
      </c>
      <c r="Q70" s="53"/>
      <c r="R70" s="316">
        <f>IF(N70&gt;=0,0,(IF(-N70&lt;=60,O70,0)))</f>
        <v>0</v>
      </c>
      <c r="S70" s="316">
        <f>IF(N70&gt;=0,0,(IF(N70&gt;=-60,0,IF(-60&gt;=N70,IF(N70&gt;=-120,O70,0)))))</f>
        <v>0</v>
      </c>
      <c r="T70" s="316">
        <f>IF(N70&gt;=0,0,(IF(N70&gt;-60,0,IF(-60&gt;=N70,IF(N70&gt;=-120,0,IF(N70&gt;=-180,O70,0))))))</f>
        <v>0</v>
      </c>
      <c r="U70" s="316">
        <f>IF(N70&gt;=0,0,(IF(N70&gt;-60,0,IF(-60&gt;=N70,IF(N70&gt;-120,0,IF(N70&gt;=-180,0,IF(N70&gt;=-365,O70,0)))))))</f>
        <v>0</v>
      </c>
      <c r="V70" s="316">
        <f>IF(N70&gt;=0,0,IF(365&lt;-N70,O70,0))</f>
        <v>0</v>
      </c>
    </row>
    <row r="71" spans="1:22" s="290" customFormat="1" ht="19.5" customHeight="1">
      <c r="A71" s="138"/>
      <c r="B71" s="138"/>
      <c r="C71" s="286"/>
      <c r="D71" s="140"/>
      <c r="E71" s="141">
        <f t="shared" ref="E71:K71" si="38">SUM(E70:E70)</f>
        <v>105949.71666666667</v>
      </c>
      <c r="F71" s="141">
        <f t="shared" si="38"/>
        <v>0</v>
      </c>
      <c r="G71" s="141">
        <f t="shared" si="38"/>
        <v>0</v>
      </c>
      <c r="H71" s="141">
        <f t="shared" si="38"/>
        <v>0</v>
      </c>
      <c r="I71" s="141">
        <f t="shared" si="38"/>
        <v>105949.71666666667</v>
      </c>
      <c r="J71" s="287">
        <f t="shared" si="38"/>
        <v>127139.66</v>
      </c>
      <c r="K71" s="287">
        <f t="shared" si="38"/>
        <v>127139.66</v>
      </c>
      <c r="L71" s="139"/>
      <c r="M71" s="139"/>
      <c r="N71" s="142"/>
      <c r="O71" s="141">
        <f>SUM(O70:O70)</f>
        <v>0</v>
      </c>
      <c r="P71" s="141">
        <f>SUM(P70:P70)</f>
        <v>0</v>
      </c>
      <c r="Q71" s="292"/>
      <c r="R71" s="337">
        <f>SUM(R70:R70)</f>
        <v>0</v>
      </c>
      <c r="S71" s="337">
        <f>SUM(S70:S70)</f>
        <v>0</v>
      </c>
      <c r="T71" s="337">
        <f>SUM(T70:T70)</f>
        <v>0</v>
      </c>
      <c r="U71" s="337">
        <f>SUM(U70:U70)</f>
        <v>0</v>
      </c>
      <c r="V71" s="337">
        <f>SUM(V70:V70)</f>
        <v>0</v>
      </c>
    </row>
    <row r="72" spans="1:22" ht="19.5" customHeight="1">
      <c r="A72" s="54" t="s">
        <v>281</v>
      </c>
      <c r="B72" s="54"/>
      <c r="C72" s="56"/>
      <c r="D72" s="57"/>
      <c r="E72" s="50">
        <f>6152.8/1.2</f>
        <v>5127.3333333333339</v>
      </c>
      <c r="F72" s="50">
        <f>-E72*$F$10</f>
        <v>0</v>
      </c>
      <c r="G72" s="50">
        <f>E72*$G$10</f>
        <v>0</v>
      </c>
      <c r="H72" s="50"/>
      <c r="I72" s="50">
        <f>+E72+F72-G72-H72</f>
        <v>5127.3333333333339</v>
      </c>
      <c r="J72" s="50">
        <f>+I72+(I72*$I$4)</f>
        <v>6152.8000000000011</v>
      </c>
      <c r="K72" s="50">
        <v>6152.8000000000011</v>
      </c>
      <c r="L72" s="51"/>
      <c r="M72" s="51"/>
      <c r="N72" s="52">
        <f>-IF(L72=0,,IF(M72=0,($C$10-L72),M72-L72))</f>
        <v>0</v>
      </c>
      <c r="O72" s="50">
        <f>+J72-K72</f>
        <v>0</v>
      </c>
      <c r="P72" s="50">
        <f>+IF($C$10&lt;L72,0,O72)</f>
        <v>0</v>
      </c>
      <c r="Q72" s="53"/>
      <c r="R72" s="316">
        <f>IF(N72&gt;=0,0,(IF(-N72&lt;=60,O72,0)))</f>
        <v>0</v>
      </c>
      <c r="S72" s="316">
        <f>IF(N72&gt;=0,0,(IF(N72&gt;=-60,0,IF(-60&gt;=N72,IF(N72&gt;=-120,O72,0)))))</f>
        <v>0</v>
      </c>
      <c r="T72" s="316">
        <f>IF(N72&gt;=0,0,(IF(N72&gt;-60,0,IF(-60&gt;=N72,IF(N72&gt;=-120,0,IF(N72&gt;=-180,O72,0))))))</f>
        <v>0</v>
      </c>
      <c r="U72" s="316">
        <f>IF(N72&gt;=0,0,(IF(N72&gt;-60,0,IF(-60&gt;=N72,IF(N72&gt;-120,0,IF(N72&gt;=-180,0,IF(N72&gt;=-365,O72,0)))))))</f>
        <v>0</v>
      </c>
      <c r="V72" s="316">
        <f>IF(N72&gt;=0,0,IF(365&lt;-N72,O72,0))</f>
        <v>0</v>
      </c>
    </row>
    <row r="73" spans="1:22" s="290" customFormat="1" ht="19.5" customHeight="1">
      <c r="A73" s="138"/>
      <c r="B73" s="138"/>
      <c r="C73" s="286"/>
      <c r="D73" s="140"/>
      <c r="E73" s="141">
        <f t="shared" ref="E73:K73" si="39">SUM(E72:E72)</f>
        <v>5127.3333333333339</v>
      </c>
      <c r="F73" s="141">
        <f t="shared" si="39"/>
        <v>0</v>
      </c>
      <c r="G73" s="141">
        <f t="shared" si="39"/>
        <v>0</v>
      </c>
      <c r="H73" s="141">
        <f t="shared" si="39"/>
        <v>0</v>
      </c>
      <c r="I73" s="141">
        <f t="shared" si="39"/>
        <v>5127.3333333333339</v>
      </c>
      <c r="J73" s="287">
        <f t="shared" si="39"/>
        <v>6152.8000000000011</v>
      </c>
      <c r="K73" s="287">
        <f t="shared" si="39"/>
        <v>6152.8000000000011</v>
      </c>
      <c r="L73" s="139"/>
      <c r="M73" s="139"/>
      <c r="N73" s="142"/>
      <c r="O73" s="141">
        <f>SUM(O72:O72)</f>
        <v>0</v>
      </c>
      <c r="P73" s="141">
        <f>SUM(P72:P72)</f>
        <v>0</v>
      </c>
      <c r="Q73" s="292"/>
      <c r="R73" s="337">
        <f>SUM(R72:R72)</f>
        <v>0</v>
      </c>
      <c r="S73" s="337">
        <f>SUM(S72:S72)</f>
        <v>0</v>
      </c>
      <c r="T73" s="337">
        <f>SUM(T72:T72)</f>
        <v>0</v>
      </c>
      <c r="U73" s="337">
        <f>SUM(U72:U72)</f>
        <v>0</v>
      </c>
      <c r="V73" s="337">
        <f>SUM(V72:V72)</f>
        <v>0</v>
      </c>
    </row>
    <row r="74" spans="1:22" ht="19.5" customHeight="1">
      <c r="A74" s="54" t="s">
        <v>201</v>
      </c>
      <c r="B74" s="54"/>
      <c r="C74" s="56"/>
      <c r="D74" s="57"/>
      <c r="E74" s="50">
        <f>282553.47/1.2</f>
        <v>235461.22499999998</v>
      </c>
      <c r="F74" s="50">
        <f>-E74*$F$10</f>
        <v>0</v>
      </c>
      <c r="G74" s="50">
        <f>E74*$G$10</f>
        <v>0</v>
      </c>
      <c r="H74" s="50"/>
      <c r="I74" s="50">
        <f>+E74+F74-G74-H74</f>
        <v>235461.22499999998</v>
      </c>
      <c r="J74" s="50">
        <f>+I74+(I74*$I$4)</f>
        <v>282553.46999999997</v>
      </c>
      <c r="K74" s="50">
        <v>282553.46999999997</v>
      </c>
      <c r="L74" s="51"/>
      <c r="M74" s="51"/>
      <c r="N74" s="52">
        <f>-IF(L74=0,,IF(M74=0,($C$10-L74),M74-L74))</f>
        <v>0</v>
      </c>
      <c r="O74" s="50">
        <f>+J74-K74</f>
        <v>0</v>
      </c>
      <c r="P74" s="50">
        <f>+IF($C$10&lt;L74,0,O74)</f>
        <v>0</v>
      </c>
      <c r="Q74" s="53"/>
      <c r="R74" s="316">
        <f>IF(N74&gt;=0,0,(IF(-N74&lt;=60,O74,0)))</f>
        <v>0</v>
      </c>
      <c r="S74" s="316">
        <f>IF(N74&gt;=0,0,(IF(N74&gt;=-60,0,IF(-60&gt;=N74,IF(N74&gt;=-120,O74,0)))))</f>
        <v>0</v>
      </c>
      <c r="T74" s="316">
        <f>IF(N74&gt;=0,0,(IF(N74&gt;-60,0,IF(-60&gt;=N74,IF(N74&gt;=-120,0,IF(N74&gt;=-180,O74,0))))))</f>
        <v>0</v>
      </c>
      <c r="U74" s="316">
        <f>IF(N74&gt;=0,0,(IF(N74&gt;-60,0,IF(-60&gt;=N74,IF(N74&gt;-120,0,IF(N74&gt;=-180,0,IF(N74&gt;=-365,O74,0)))))))</f>
        <v>0</v>
      </c>
      <c r="V74" s="316">
        <f>IF(N74&gt;=0,0,IF(365&lt;-N74,O74,0))</f>
        <v>0</v>
      </c>
    </row>
    <row r="75" spans="1:22" s="290" customFormat="1" ht="19.5" customHeight="1">
      <c r="A75" s="138"/>
      <c r="B75" s="138"/>
      <c r="C75" s="286"/>
      <c r="D75" s="140"/>
      <c r="E75" s="141">
        <f t="shared" ref="E75:K75" si="40">SUM(E74:E74)</f>
        <v>235461.22499999998</v>
      </c>
      <c r="F75" s="141">
        <f t="shared" si="40"/>
        <v>0</v>
      </c>
      <c r="G75" s="141">
        <f t="shared" si="40"/>
        <v>0</v>
      </c>
      <c r="H75" s="141">
        <f t="shared" si="40"/>
        <v>0</v>
      </c>
      <c r="I75" s="141">
        <f t="shared" si="40"/>
        <v>235461.22499999998</v>
      </c>
      <c r="J75" s="287">
        <f t="shared" si="40"/>
        <v>282553.46999999997</v>
      </c>
      <c r="K75" s="287">
        <f t="shared" si="40"/>
        <v>282553.46999999997</v>
      </c>
      <c r="L75" s="139"/>
      <c r="M75" s="139"/>
      <c r="N75" s="142"/>
      <c r="O75" s="141">
        <f>SUM(O74:O74)</f>
        <v>0</v>
      </c>
      <c r="P75" s="141">
        <f>SUM(P74:P74)</f>
        <v>0</v>
      </c>
      <c r="Q75" s="292"/>
      <c r="R75" s="337">
        <f>SUM(R74:R74)</f>
        <v>0</v>
      </c>
      <c r="S75" s="337">
        <f>SUM(S74:S74)</f>
        <v>0</v>
      </c>
      <c r="T75" s="337">
        <f>SUM(T74:T74)</f>
        <v>0</v>
      </c>
      <c r="U75" s="337">
        <f>SUM(U74:U74)</f>
        <v>0</v>
      </c>
      <c r="V75" s="337">
        <f>SUM(V74:V74)</f>
        <v>0</v>
      </c>
    </row>
    <row r="76" spans="1:22" ht="19.5" customHeight="1">
      <c r="A76" s="54" t="s">
        <v>239</v>
      </c>
      <c r="B76" s="54"/>
      <c r="C76" s="56"/>
      <c r="D76" s="57"/>
      <c r="E76" s="50"/>
      <c r="F76" s="50">
        <f>-E76*$F$10</f>
        <v>0</v>
      </c>
      <c r="G76" s="50">
        <f>E76*$G$10</f>
        <v>0</v>
      </c>
      <c r="H76" s="50"/>
      <c r="I76" s="50">
        <f>+E76+F76-G76-H76</f>
        <v>0</v>
      </c>
      <c r="J76" s="50">
        <f>+I76+(I76*$I$4)</f>
        <v>0</v>
      </c>
      <c r="K76" s="50"/>
      <c r="L76" s="51"/>
      <c r="M76" s="51"/>
      <c r="N76" s="52">
        <f>-IF(L76=0,,IF(M76=0,($C$10-L76),M76-L76))</f>
        <v>0</v>
      </c>
      <c r="O76" s="50">
        <f>+J76-K76</f>
        <v>0</v>
      </c>
      <c r="P76" s="50">
        <f>+IF($C$10&lt;L76,0,O76)</f>
        <v>0</v>
      </c>
      <c r="Q76" s="53"/>
      <c r="R76" s="316">
        <f>IF(N76&gt;=0,0,(IF(-N76&lt;=60,O76,0)))</f>
        <v>0</v>
      </c>
      <c r="S76" s="316">
        <f>IF(N76&gt;=0,0,(IF(N76&gt;=-60,0,IF(-60&gt;=N76,IF(N76&gt;=-120,O76,0)))))</f>
        <v>0</v>
      </c>
      <c r="T76" s="316">
        <f>IF(N76&gt;=0,0,(IF(N76&gt;-60,0,IF(-60&gt;=N76,IF(N76&gt;=-120,0,IF(N76&gt;=-180,O76,0))))))</f>
        <v>0</v>
      </c>
      <c r="U76" s="316">
        <f>IF(N76&gt;=0,0,(IF(N76&gt;-60,0,IF(-60&gt;=N76,IF(N76&gt;-120,0,IF(N76&gt;=-180,0,IF(N76&gt;=-365,O76,0)))))))</f>
        <v>0</v>
      </c>
      <c r="V76" s="316">
        <f>IF(N76&gt;=0,0,IF(365&lt;-N76,O76,0))</f>
        <v>0</v>
      </c>
    </row>
    <row r="77" spans="1:22" s="290" customFormat="1" ht="19.5" customHeight="1">
      <c r="A77" s="138"/>
      <c r="B77" s="138"/>
      <c r="C77" s="286"/>
      <c r="D77" s="140"/>
      <c r="E77" s="141">
        <f t="shared" ref="E77:K77" si="41">SUM(E76:E76)</f>
        <v>0</v>
      </c>
      <c r="F77" s="141">
        <f t="shared" si="41"/>
        <v>0</v>
      </c>
      <c r="G77" s="141">
        <f t="shared" si="41"/>
        <v>0</v>
      </c>
      <c r="H77" s="141">
        <f t="shared" si="41"/>
        <v>0</v>
      </c>
      <c r="I77" s="141">
        <f t="shared" si="41"/>
        <v>0</v>
      </c>
      <c r="J77" s="287">
        <f t="shared" si="41"/>
        <v>0</v>
      </c>
      <c r="K77" s="287">
        <f t="shared" si="41"/>
        <v>0</v>
      </c>
      <c r="L77" s="139"/>
      <c r="M77" s="139"/>
      <c r="N77" s="142"/>
      <c r="O77" s="141">
        <f>SUM(O76:O76)</f>
        <v>0</v>
      </c>
      <c r="P77" s="141">
        <f>SUM(P76:P76)</f>
        <v>0</v>
      </c>
      <c r="Q77" s="292"/>
      <c r="R77" s="337">
        <f>SUM(R76:R76)</f>
        <v>0</v>
      </c>
      <c r="S77" s="337">
        <f>SUM(S76:S76)</f>
        <v>0</v>
      </c>
      <c r="T77" s="337">
        <f>SUM(T76:T76)</f>
        <v>0</v>
      </c>
      <c r="U77" s="337">
        <f>SUM(U76:U76)</f>
        <v>0</v>
      </c>
      <c r="V77" s="337">
        <f>SUM(V76:V76)</f>
        <v>0</v>
      </c>
    </row>
    <row r="78" spans="1:22" ht="19.5" customHeight="1">
      <c r="A78" s="54" t="s">
        <v>149</v>
      </c>
      <c r="B78" s="54"/>
      <c r="C78" s="56"/>
      <c r="D78" s="57"/>
      <c r="E78" s="50">
        <f>50738.62/1.2</f>
        <v>42282.183333333334</v>
      </c>
      <c r="F78" s="50">
        <f>-E78*$F$10</f>
        <v>0</v>
      </c>
      <c r="G78" s="50">
        <f>E78*$G$10</f>
        <v>0</v>
      </c>
      <c r="H78" s="50"/>
      <c r="I78" s="50">
        <f>+E78+F78-G78-H78</f>
        <v>42282.183333333334</v>
      </c>
      <c r="J78" s="50">
        <f>+I78+(I78*$I$4)</f>
        <v>50738.62</v>
      </c>
      <c r="K78" s="50">
        <v>50738.62</v>
      </c>
      <c r="L78" s="51"/>
      <c r="M78" s="51"/>
      <c r="N78" s="52">
        <f>-IF(L78=0,,IF(M78=0,($C$10-L78),M78-L78))</f>
        <v>0</v>
      </c>
      <c r="O78" s="50">
        <f>+J78-K78</f>
        <v>0</v>
      </c>
      <c r="P78" s="50">
        <f>+IF($C$10&lt;L78,0,O78)</f>
        <v>0</v>
      </c>
      <c r="Q78" s="53"/>
      <c r="R78" s="316">
        <f>IF(N78&gt;=0,0,(IF(-N78&lt;=60,O78,0)))</f>
        <v>0</v>
      </c>
      <c r="S78" s="316">
        <f>IF(N78&gt;=0,0,(IF(N78&gt;=-60,0,IF(-60&gt;=N78,IF(N78&gt;=-120,O78,0)))))</f>
        <v>0</v>
      </c>
      <c r="T78" s="316">
        <f>IF(N78&gt;=0,0,(IF(N78&gt;-60,0,IF(-60&gt;=N78,IF(N78&gt;=-120,0,IF(N78&gt;=-180,O78,0))))))</f>
        <v>0</v>
      </c>
      <c r="U78" s="316">
        <f>IF(N78&gt;=0,0,(IF(N78&gt;-60,0,IF(-60&gt;=N78,IF(N78&gt;-120,0,IF(N78&gt;=-180,0,IF(N78&gt;=-365,O78,0)))))))</f>
        <v>0</v>
      </c>
      <c r="V78" s="316">
        <f>IF(N78&gt;=0,0,IF(365&lt;-N78,O78,0))</f>
        <v>0</v>
      </c>
    </row>
    <row r="79" spans="1:22" s="290" customFormat="1" ht="19.5" customHeight="1">
      <c r="A79" s="138"/>
      <c r="B79" s="138"/>
      <c r="C79" s="286"/>
      <c r="D79" s="140"/>
      <c r="E79" s="141">
        <f t="shared" ref="E79:K79" si="42">SUM(E78:E78)</f>
        <v>42282.183333333334</v>
      </c>
      <c r="F79" s="141">
        <f t="shared" si="42"/>
        <v>0</v>
      </c>
      <c r="G79" s="141">
        <f t="shared" si="42"/>
        <v>0</v>
      </c>
      <c r="H79" s="141">
        <f t="shared" si="42"/>
        <v>0</v>
      </c>
      <c r="I79" s="141">
        <f t="shared" si="42"/>
        <v>42282.183333333334</v>
      </c>
      <c r="J79" s="287">
        <f t="shared" si="42"/>
        <v>50738.62</v>
      </c>
      <c r="K79" s="287">
        <f t="shared" si="42"/>
        <v>50738.62</v>
      </c>
      <c r="L79" s="139"/>
      <c r="M79" s="139"/>
      <c r="N79" s="142"/>
      <c r="O79" s="141">
        <f>SUM(O78:O78)</f>
        <v>0</v>
      </c>
      <c r="P79" s="141">
        <f>SUM(P78:P78)</f>
        <v>0</v>
      </c>
      <c r="Q79" s="292"/>
      <c r="R79" s="337">
        <f>SUM(R78:R78)</f>
        <v>0</v>
      </c>
      <c r="S79" s="337">
        <f>SUM(S78:S78)</f>
        <v>0</v>
      </c>
      <c r="T79" s="337">
        <f>SUM(T78:T78)</f>
        <v>0</v>
      </c>
      <c r="U79" s="337">
        <f>SUM(U78:U78)</f>
        <v>0</v>
      </c>
      <c r="V79" s="337">
        <f>SUM(V78:V78)</f>
        <v>0</v>
      </c>
    </row>
    <row r="80" spans="1:22" ht="19.5" customHeight="1">
      <c r="A80" s="54" t="s">
        <v>228</v>
      </c>
      <c r="B80" s="54"/>
      <c r="C80" s="56">
        <v>38290</v>
      </c>
      <c r="D80" s="57"/>
      <c r="E80" s="50">
        <v>127297.87500000001</v>
      </c>
      <c r="F80" s="50">
        <f>-E80*$F$10</f>
        <v>0</v>
      </c>
      <c r="G80" s="50">
        <f>E80*$G$10</f>
        <v>0</v>
      </c>
      <c r="H80" s="50"/>
      <c r="I80" s="50">
        <f>+E80+F80-G80-H80</f>
        <v>127297.87500000001</v>
      </c>
      <c r="J80" s="50">
        <f>+I80+(I80*$I$4)</f>
        <v>152757.45000000001</v>
      </c>
      <c r="K80" s="50"/>
      <c r="L80" s="51">
        <v>38383</v>
      </c>
      <c r="M80" s="51"/>
      <c r="N80" s="52">
        <f>-IF(L80=0,,IF(M80=0,($C$10-L80),M80-L80))</f>
        <v>-4711</v>
      </c>
      <c r="O80" s="50">
        <f>+J80-K80</f>
        <v>152757.45000000001</v>
      </c>
      <c r="P80" s="50">
        <f>+IF($C$10&lt;L80,0,O80)</f>
        <v>152757.45000000001</v>
      </c>
      <c r="Q80" s="53"/>
      <c r="R80" s="316">
        <f>IF(N80&gt;=0,0,(IF(-N80&lt;=60,O80,0)))</f>
        <v>0</v>
      </c>
      <c r="S80" s="316">
        <f>IF(N80&gt;=0,0,(IF(N80&gt;=-60,0,IF(-60&gt;=N80,IF(N80&gt;=-120,O80,0)))))</f>
        <v>0</v>
      </c>
      <c r="T80" s="316">
        <f>IF(N80&gt;=0,0,(IF(N80&gt;-60,0,IF(-60&gt;=N80,IF(N80&gt;=-120,0,IF(N80&gt;=-180,O80,0))))))</f>
        <v>0</v>
      </c>
      <c r="U80" s="316">
        <f>IF(N80&gt;=0,0,(IF(N80&gt;-60,0,IF(-60&gt;=N80,IF(N80&gt;-120,0,IF(N80&gt;=-180,0,IF(N80&gt;=-365,O80,0)))))))</f>
        <v>0</v>
      </c>
      <c r="V80" s="316">
        <f>IF(N80&gt;=0,0,IF(365&lt;-N80,O80,0))</f>
        <v>152757.45000000001</v>
      </c>
    </row>
    <row r="81" spans="1:22" ht="19.5" customHeight="1">
      <c r="A81" s="54" t="s">
        <v>228</v>
      </c>
      <c r="B81" s="54"/>
      <c r="C81" s="56">
        <v>38321</v>
      </c>
      <c r="D81" s="57"/>
      <c r="E81" s="50">
        <v>143853.84166666667</v>
      </c>
      <c r="F81" s="50">
        <f>-E81*$F$10</f>
        <v>0</v>
      </c>
      <c r="G81" s="50">
        <f>E81*$G$10</f>
        <v>0</v>
      </c>
      <c r="H81" s="50"/>
      <c r="I81" s="50">
        <f>+E81+F81-G81-H81</f>
        <v>143853.84166666667</v>
      </c>
      <c r="J81" s="50">
        <f>+I81+(I81*$I$4)</f>
        <v>172624.61000000002</v>
      </c>
      <c r="K81" s="50"/>
      <c r="L81" s="51">
        <v>38411</v>
      </c>
      <c r="M81" s="51"/>
      <c r="N81" s="52">
        <f>-IF(L81=0,,IF(M81=0,($C$10-L81),M81-L81))</f>
        <v>-4683</v>
      </c>
      <c r="O81" s="50">
        <f>+J81-K81</f>
        <v>172624.61000000002</v>
      </c>
      <c r="P81" s="50">
        <f>+IF($C$10&lt;L81,0,O81)</f>
        <v>172624.61000000002</v>
      </c>
      <c r="Q81" s="53"/>
      <c r="R81" s="316">
        <f>IF(N81&gt;=0,0,(IF(-N81&lt;=60,O81,0)))</f>
        <v>0</v>
      </c>
      <c r="S81" s="316">
        <f>IF(N81&gt;=0,0,(IF(N81&gt;=-60,0,IF(-60&gt;=N81,IF(N81&gt;=-120,O81,0)))))</f>
        <v>0</v>
      </c>
      <c r="T81" s="316">
        <f>IF(N81&gt;=0,0,(IF(N81&gt;-60,0,IF(-60&gt;=N81,IF(N81&gt;=-120,0,IF(N81&gt;=-180,O81,0))))))</f>
        <v>0</v>
      </c>
      <c r="U81" s="316">
        <f>IF(N81&gt;=0,0,(IF(N81&gt;-60,0,IF(-60&gt;=N81,IF(N81&gt;-120,0,IF(N81&gt;=-180,0,IF(N81&gt;=-365,O81,0)))))))</f>
        <v>0</v>
      </c>
      <c r="V81" s="316">
        <f>IF(N81&gt;=0,0,IF(365&lt;-N81,O81,0))</f>
        <v>172624.61000000002</v>
      </c>
    </row>
    <row r="82" spans="1:22" ht="19.5" customHeight="1">
      <c r="A82" s="54" t="s">
        <v>228</v>
      </c>
      <c r="B82" s="54"/>
      <c r="C82" s="56">
        <v>38352</v>
      </c>
      <c r="D82" s="57"/>
      <c r="E82" s="50">
        <v>223752.21666666665</v>
      </c>
      <c r="F82" s="50">
        <f>-E82*$F$10</f>
        <v>0</v>
      </c>
      <c r="G82" s="50">
        <f>E82*$G$10</f>
        <v>0</v>
      </c>
      <c r="H82" s="50"/>
      <c r="I82" s="50">
        <f>+E82+F82-G82-H82</f>
        <v>223752.21666666665</v>
      </c>
      <c r="J82" s="50">
        <f>+I82+(I82*$I$4)</f>
        <v>268502.65999999997</v>
      </c>
      <c r="K82" s="50"/>
      <c r="L82" s="51">
        <v>38442</v>
      </c>
      <c r="M82" s="51"/>
      <c r="N82" s="52">
        <f>-IF(L82=0,,IF(M82=0,($C$10-L82),M82-L82))</f>
        <v>-4652</v>
      </c>
      <c r="O82" s="50">
        <f>+J82-K82</f>
        <v>268502.65999999997</v>
      </c>
      <c r="P82" s="50">
        <f>+IF($C$10&lt;L82,0,O82)</f>
        <v>268502.65999999997</v>
      </c>
      <c r="Q82" s="53"/>
      <c r="R82" s="316">
        <f>IF(N82&gt;=0,0,(IF(-N82&lt;=60,O82,0)))</f>
        <v>0</v>
      </c>
      <c r="S82" s="316">
        <f>IF(N82&gt;=0,0,(IF(N82&gt;=-60,0,IF(-60&gt;=N82,IF(N82&gt;=-120,O82,0)))))</f>
        <v>0</v>
      </c>
      <c r="T82" s="316">
        <f>IF(N82&gt;=0,0,(IF(N82&gt;-60,0,IF(-60&gt;=N82,IF(N82&gt;=-120,0,IF(N82&gt;=-180,O82,0))))))</f>
        <v>0</v>
      </c>
      <c r="U82" s="316">
        <f>IF(N82&gt;=0,0,(IF(N82&gt;-60,0,IF(-60&gt;=N82,IF(N82&gt;-120,0,IF(N82&gt;=-180,0,IF(N82&gt;=-365,O82,0)))))))</f>
        <v>0</v>
      </c>
      <c r="V82" s="316">
        <f>IF(N82&gt;=0,0,IF(365&lt;-N82,O82,0))</f>
        <v>268502.65999999997</v>
      </c>
    </row>
    <row r="83" spans="1:22" s="290" customFormat="1" ht="13.5" customHeight="1">
      <c r="A83" s="138"/>
      <c r="B83" s="143"/>
      <c r="C83" s="286"/>
      <c r="D83" s="140"/>
      <c r="E83" s="141">
        <f>SUM(E80:E82)</f>
        <v>494903.93333333335</v>
      </c>
      <c r="F83" s="141">
        <f t="shared" ref="F83:K83" si="43">SUM(F80:F82)</f>
        <v>0</v>
      </c>
      <c r="G83" s="141">
        <f t="shared" si="43"/>
        <v>0</v>
      </c>
      <c r="H83" s="141">
        <f t="shared" si="43"/>
        <v>0</v>
      </c>
      <c r="I83" s="141">
        <f t="shared" si="43"/>
        <v>494903.93333333335</v>
      </c>
      <c r="J83" s="141">
        <f t="shared" si="43"/>
        <v>593884.72</v>
      </c>
      <c r="K83" s="141">
        <f t="shared" si="43"/>
        <v>0</v>
      </c>
      <c r="L83" s="139"/>
      <c r="M83" s="139"/>
      <c r="N83" s="142"/>
      <c r="O83" s="141">
        <f>SUM(O80:O82)</f>
        <v>593884.72</v>
      </c>
      <c r="P83" s="141">
        <f>SUM(P80:P82)</f>
        <v>593884.72</v>
      </c>
      <c r="Q83" s="292"/>
      <c r="R83" s="337">
        <f>SUM(R80:R82)</f>
        <v>0</v>
      </c>
      <c r="S83" s="337">
        <f>SUM(S80:S82)</f>
        <v>0</v>
      </c>
      <c r="T83" s="337">
        <f>SUM(T80:T82)</f>
        <v>0</v>
      </c>
      <c r="U83" s="337">
        <f>SUM(U80:U82)</f>
        <v>0</v>
      </c>
      <c r="V83" s="337">
        <f>SUM(V80:V82)</f>
        <v>593884.72</v>
      </c>
    </row>
    <row r="84" spans="1:22" ht="19.5" customHeight="1">
      <c r="A84" s="54" t="s">
        <v>166</v>
      </c>
      <c r="B84" s="54"/>
      <c r="C84" s="56"/>
      <c r="D84" s="57"/>
      <c r="E84" s="50">
        <f>294228.86/1.2</f>
        <v>245190.71666666667</v>
      </c>
      <c r="F84" s="50">
        <f>-E84*$F$10</f>
        <v>0</v>
      </c>
      <c r="G84" s="50">
        <f>E84*$G$10</f>
        <v>0</v>
      </c>
      <c r="H84" s="50"/>
      <c r="I84" s="50">
        <f>+E84+F84-G84-H84</f>
        <v>245190.71666666667</v>
      </c>
      <c r="J84" s="50">
        <f>+I84+(I84*$I$4)</f>
        <v>294228.86</v>
      </c>
      <c r="K84" s="50">
        <v>294228.86</v>
      </c>
      <c r="L84" s="51"/>
      <c r="M84" s="51"/>
      <c r="N84" s="52">
        <f>-IF(L84=0,,IF(M84=0,($C$10-L84),M84-L84))</f>
        <v>0</v>
      </c>
      <c r="O84" s="50">
        <f>+J84-K84</f>
        <v>0</v>
      </c>
      <c r="P84" s="50">
        <f>+IF($C$10&lt;L84,0,O84)</f>
        <v>0</v>
      </c>
      <c r="Q84" s="53"/>
      <c r="R84" s="316">
        <f>IF(N84&gt;=0,0,(IF(-N84&lt;=60,O84,0)))</f>
        <v>0</v>
      </c>
      <c r="S84" s="316">
        <f>IF(N84&gt;=0,0,(IF(N84&gt;=-60,0,IF(-60&gt;=N84,IF(N84&gt;=-120,O84,0)))))</f>
        <v>0</v>
      </c>
      <c r="T84" s="316">
        <f>IF(N84&gt;=0,0,(IF(N84&gt;-60,0,IF(-60&gt;=N84,IF(N84&gt;=-120,0,IF(N84&gt;=-180,O84,0))))))</f>
        <v>0</v>
      </c>
      <c r="U84" s="316">
        <f>IF(N84&gt;=0,0,(IF(N84&gt;-60,0,IF(-60&gt;=N84,IF(N84&gt;-120,0,IF(N84&gt;=-180,0,IF(N84&gt;=-365,O84,0)))))))</f>
        <v>0</v>
      </c>
      <c r="V84" s="316">
        <f>IF(N84&gt;=0,0,IF(365&lt;-N84,O84,0))</f>
        <v>0</v>
      </c>
    </row>
    <row r="85" spans="1:22" s="290" customFormat="1" ht="12.75" customHeight="1">
      <c r="A85" s="138"/>
      <c r="B85" s="138"/>
      <c r="C85" s="286"/>
      <c r="D85" s="140"/>
      <c r="E85" s="141">
        <f t="shared" ref="E85:K85" si="44">SUM(E84:E84)</f>
        <v>245190.71666666667</v>
      </c>
      <c r="F85" s="141">
        <f t="shared" si="44"/>
        <v>0</v>
      </c>
      <c r="G85" s="141">
        <f t="shared" si="44"/>
        <v>0</v>
      </c>
      <c r="H85" s="141">
        <f t="shared" si="44"/>
        <v>0</v>
      </c>
      <c r="I85" s="141">
        <f t="shared" si="44"/>
        <v>245190.71666666667</v>
      </c>
      <c r="J85" s="287">
        <f t="shared" si="44"/>
        <v>294228.86</v>
      </c>
      <c r="K85" s="287">
        <f t="shared" si="44"/>
        <v>294228.86</v>
      </c>
      <c r="L85" s="139"/>
      <c r="M85" s="139"/>
      <c r="N85" s="142"/>
      <c r="O85" s="141">
        <f>SUM(O84:O84)</f>
        <v>0</v>
      </c>
      <c r="P85" s="141">
        <f>SUM(P84:P84)</f>
        <v>0</v>
      </c>
      <c r="Q85" s="292"/>
      <c r="R85" s="337">
        <f>SUM(R84:R84)</f>
        <v>0</v>
      </c>
      <c r="S85" s="337">
        <f>SUM(S84:S84)</f>
        <v>0</v>
      </c>
      <c r="T85" s="337">
        <f>SUM(T84:T84)</f>
        <v>0</v>
      </c>
      <c r="U85" s="337">
        <f>SUM(U84:U84)</f>
        <v>0</v>
      </c>
      <c r="V85" s="337">
        <f>SUM(V84:V84)</f>
        <v>0</v>
      </c>
    </row>
    <row r="86" spans="1:22" ht="19.5" customHeight="1">
      <c r="A86" s="54" t="s">
        <v>190</v>
      </c>
      <c r="B86" s="54"/>
      <c r="C86" s="56"/>
      <c r="D86" s="57"/>
      <c r="E86" s="50">
        <f>75007.3/1.2</f>
        <v>62506.083333333336</v>
      </c>
      <c r="F86" s="50">
        <f>-E86*$F$10</f>
        <v>0</v>
      </c>
      <c r="G86" s="50">
        <f>E86*$G$10</f>
        <v>0</v>
      </c>
      <c r="H86" s="50"/>
      <c r="I86" s="50">
        <f>+E86+F86-G86-H86</f>
        <v>62506.083333333336</v>
      </c>
      <c r="J86" s="50">
        <f>+I86+(I86*$I$4)</f>
        <v>75007.3</v>
      </c>
      <c r="K86" s="50">
        <v>75007.3</v>
      </c>
      <c r="L86" s="51"/>
      <c r="M86" s="51"/>
      <c r="N86" s="52">
        <f>-IF(L86=0,,IF(M86=0,($C$10-L86),M86-L86))</f>
        <v>0</v>
      </c>
      <c r="O86" s="50">
        <f>+J86-K86</f>
        <v>0</v>
      </c>
      <c r="P86" s="50">
        <f>+IF($C$10&lt;L86,0,O86)</f>
        <v>0</v>
      </c>
      <c r="Q86" s="53"/>
      <c r="R86" s="316">
        <f>IF(N86&gt;=0,0,(IF(-N86&lt;=60,O86,0)))</f>
        <v>0</v>
      </c>
      <c r="S86" s="316">
        <f>IF(N86&gt;=0,0,(IF(N86&gt;=-60,0,IF(-60&gt;=N86,IF(N86&gt;=-120,O86,0)))))</f>
        <v>0</v>
      </c>
      <c r="T86" s="316">
        <f>IF(N86&gt;=0,0,(IF(N86&gt;-60,0,IF(-60&gt;=N86,IF(N86&gt;=-120,0,IF(N86&gt;=-180,O86,0))))))</f>
        <v>0</v>
      </c>
      <c r="U86" s="316">
        <f>IF(N86&gt;=0,0,(IF(N86&gt;-60,0,IF(-60&gt;=N86,IF(N86&gt;-120,0,IF(N86&gt;=-180,0,IF(N86&gt;=-365,O86,0)))))))</f>
        <v>0</v>
      </c>
      <c r="V86" s="316">
        <f>IF(N86&gt;=0,0,IF(365&lt;-N86,O86,0))</f>
        <v>0</v>
      </c>
    </row>
    <row r="87" spans="1:22" s="290" customFormat="1" ht="12.75" customHeight="1">
      <c r="A87" s="138"/>
      <c r="B87" s="138"/>
      <c r="C87" s="286"/>
      <c r="D87" s="140"/>
      <c r="E87" s="141">
        <f t="shared" ref="E87:K87" si="45">SUM(E86:E86)</f>
        <v>62506.083333333336</v>
      </c>
      <c r="F87" s="141">
        <f t="shared" si="45"/>
        <v>0</v>
      </c>
      <c r="G87" s="141">
        <f t="shared" si="45"/>
        <v>0</v>
      </c>
      <c r="H87" s="141">
        <f t="shared" si="45"/>
        <v>0</v>
      </c>
      <c r="I87" s="141">
        <f t="shared" si="45"/>
        <v>62506.083333333336</v>
      </c>
      <c r="J87" s="287">
        <f t="shared" si="45"/>
        <v>75007.3</v>
      </c>
      <c r="K87" s="287">
        <f t="shared" si="45"/>
        <v>75007.3</v>
      </c>
      <c r="L87" s="139"/>
      <c r="M87" s="139"/>
      <c r="N87" s="142"/>
      <c r="O87" s="141">
        <f>SUM(O86:O86)</f>
        <v>0</v>
      </c>
      <c r="P87" s="141">
        <f>SUM(P86:P86)</f>
        <v>0</v>
      </c>
      <c r="Q87" s="292"/>
      <c r="R87" s="337">
        <f>SUM(R86:R86)</f>
        <v>0</v>
      </c>
      <c r="S87" s="337">
        <f>SUM(S86:S86)</f>
        <v>0</v>
      </c>
      <c r="T87" s="337">
        <f>SUM(T86:T86)</f>
        <v>0</v>
      </c>
      <c r="U87" s="337">
        <f>SUM(U86:U86)</f>
        <v>0</v>
      </c>
      <c r="V87" s="337">
        <f>SUM(V86:V86)</f>
        <v>0</v>
      </c>
    </row>
    <row r="88" spans="1:22" ht="19.5" customHeight="1">
      <c r="A88" s="54" t="s">
        <v>231</v>
      </c>
      <c r="B88" s="54"/>
      <c r="C88" s="56"/>
      <c r="D88" s="57"/>
      <c r="E88" s="50"/>
      <c r="F88" s="50">
        <f>-E88*$F$10</f>
        <v>0</v>
      </c>
      <c r="G88" s="50">
        <f>E88*$G$10</f>
        <v>0</v>
      </c>
      <c r="H88" s="50"/>
      <c r="I88" s="50">
        <f>+E88+F88-G88-H88</f>
        <v>0</v>
      </c>
      <c r="J88" s="50">
        <f>+I88+(I88*$I$4)</f>
        <v>0</v>
      </c>
      <c r="K88" s="50"/>
      <c r="L88" s="51"/>
      <c r="M88" s="51"/>
      <c r="N88" s="52">
        <f>-IF(L88=0,,IF(M88=0,($C$10-L88),M88-L88))</f>
        <v>0</v>
      </c>
      <c r="O88" s="50">
        <f>+J88-K88</f>
        <v>0</v>
      </c>
      <c r="P88" s="50">
        <f>+IF($C$10&lt;L88,0,O88)</f>
        <v>0</v>
      </c>
      <c r="Q88" s="53"/>
      <c r="R88" s="316">
        <f>IF(N88&gt;=0,0,(IF(-N88&lt;=60,O88,0)))</f>
        <v>0</v>
      </c>
      <c r="S88" s="316">
        <f>IF(N88&gt;=0,0,(IF(N88&gt;=-60,0,IF(-60&gt;=N88,IF(N88&gt;=-120,O88,0)))))</f>
        <v>0</v>
      </c>
      <c r="T88" s="316">
        <f>IF(N88&gt;=0,0,(IF(N88&gt;-60,0,IF(-60&gt;=N88,IF(N88&gt;=-120,0,IF(N88&gt;=-180,O88,0))))))</f>
        <v>0</v>
      </c>
      <c r="U88" s="316">
        <f>IF(N88&gt;=0,0,(IF(N88&gt;-60,0,IF(-60&gt;=N88,IF(N88&gt;-120,0,IF(N88&gt;=-180,0,IF(N88&gt;=-365,O88,0)))))))</f>
        <v>0</v>
      </c>
      <c r="V88" s="316">
        <f>IF(N88&gt;=0,0,IF(365&lt;-N88,O88,0))</f>
        <v>0</v>
      </c>
    </row>
    <row r="89" spans="1:22" s="290" customFormat="1" ht="12.75" customHeight="1">
      <c r="A89" s="138"/>
      <c r="B89" s="138"/>
      <c r="C89" s="286"/>
      <c r="D89" s="140"/>
      <c r="E89" s="141">
        <f>+E88</f>
        <v>0</v>
      </c>
      <c r="F89" s="141">
        <f t="shared" ref="F89:K89" si="46">SUM(F88:F88)</f>
        <v>0</v>
      </c>
      <c r="G89" s="141">
        <f t="shared" si="46"/>
        <v>0</v>
      </c>
      <c r="H89" s="141">
        <f t="shared" si="46"/>
        <v>0</v>
      </c>
      <c r="I89" s="141">
        <f t="shared" si="46"/>
        <v>0</v>
      </c>
      <c r="J89" s="287">
        <f t="shared" si="46"/>
        <v>0</v>
      </c>
      <c r="K89" s="287">
        <f t="shared" si="46"/>
        <v>0</v>
      </c>
      <c r="L89" s="139"/>
      <c r="M89" s="139"/>
      <c r="N89" s="142"/>
      <c r="O89" s="141">
        <f>SUM(O88:O88)</f>
        <v>0</v>
      </c>
      <c r="P89" s="141">
        <f>SUM(P88:P88)</f>
        <v>0</v>
      </c>
      <c r="Q89" s="292"/>
      <c r="R89" s="337">
        <f>SUM(R88:R88)</f>
        <v>0</v>
      </c>
      <c r="S89" s="337">
        <f>SUM(S88:S88)</f>
        <v>0</v>
      </c>
      <c r="T89" s="337">
        <f>SUM(T88:T88)</f>
        <v>0</v>
      </c>
      <c r="U89" s="337">
        <f>SUM(U88:U88)</f>
        <v>0</v>
      </c>
      <c r="V89" s="337">
        <f>SUM(V88:V88)</f>
        <v>0</v>
      </c>
    </row>
    <row r="90" spans="1:22" ht="19.5" customHeight="1" thickBot="1">
      <c r="A90" s="54"/>
      <c r="B90" s="55"/>
      <c r="C90" s="56"/>
      <c r="D90" s="57"/>
      <c r="E90" s="50"/>
      <c r="F90" s="50"/>
      <c r="G90" s="50"/>
      <c r="H90" s="50"/>
      <c r="I90" s="50"/>
      <c r="J90" s="50"/>
      <c r="K90" s="50"/>
      <c r="L90" s="51"/>
      <c r="M90" s="51"/>
      <c r="N90" s="59"/>
      <c r="O90" s="50"/>
      <c r="P90" s="55">
        <f>+IF($C$10&lt;L90,0,O90)</f>
        <v>0</v>
      </c>
      <c r="Q90" s="53"/>
      <c r="R90" s="285"/>
      <c r="S90" s="285"/>
      <c r="T90" s="285"/>
      <c r="U90" s="285"/>
      <c r="V90" s="285"/>
    </row>
    <row r="91" spans="1:22" s="292" customFormat="1" ht="28.5" customHeight="1" thickBot="1">
      <c r="A91" s="297"/>
      <c r="B91" s="298" t="s">
        <v>58</v>
      </c>
      <c r="C91" s="298"/>
      <c r="D91" s="298"/>
      <c r="E91" s="299">
        <f>SUM(E12:E90)/2</f>
        <v>11181407.313333325</v>
      </c>
      <c r="F91" s="299">
        <f t="shared" ref="F91:K91" si="47">SUM(F12:F90)/2</f>
        <v>0</v>
      </c>
      <c r="G91" s="299">
        <f t="shared" si="47"/>
        <v>0</v>
      </c>
      <c r="H91" s="299">
        <f t="shared" si="47"/>
        <v>0</v>
      </c>
      <c r="I91" s="299">
        <f t="shared" si="47"/>
        <v>11181407.313333325</v>
      </c>
      <c r="J91" s="299">
        <f t="shared" si="47"/>
        <v>13417688.776000001</v>
      </c>
      <c r="K91" s="299">
        <f t="shared" si="47"/>
        <v>12823803.770000001</v>
      </c>
      <c r="L91" s="300"/>
      <c r="M91" s="300"/>
      <c r="N91" s="300"/>
      <c r="O91" s="299">
        <f>SUM(O12:O90)/2</f>
        <v>593885.00600000005</v>
      </c>
      <c r="P91" s="299">
        <f>SUM(P12:P90)/2</f>
        <v>593885.00600000005</v>
      </c>
      <c r="R91" s="301">
        <f>SUM(R12:R90)/2</f>
        <v>0</v>
      </c>
      <c r="S91" s="301">
        <f>SUM(S12:S90)/2</f>
        <v>0</v>
      </c>
      <c r="T91" s="301">
        <f>SUM(T12:T90)/2</f>
        <v>0</v>
      </c>
      <c r="U91" s="301">
        <f>SUM(U12:U90)/2</f>
        <v>0</v>
      </c>
      <c r="V91" s="301">
        <f>SUM(V12:V90)/2</f>
        <v>593885.00600000005</v>
      </c>
    </row>
    <row r="92" spans="1:22" ht="21" customHeight="1">
      <c r="A92" s="66"/>
      <c r="B92" s="67"/>
      <c r="C92" s="67"/>
      <c r="D92" s="68" t="s">
        <v>59</v>
      </c>
      <c r="E92" s="69">
        <f>+E91/$M$7</f>
        <v>0.94398502872613566</v>
      </c>
      <c r="F92" s="67"/>
      <c r="G92" s="67"/>
      <c r="H92" s="67"/>
      <c r="I92" s="67"/>
      <c r="J92" s="68" t="s">
        <v>60</v>
      </c>
      <c r="K92" s="69">
        <f>+K91/J91</f>
        <v>0.95573865097674116</v>
      </c>
      <c r="L92" s="67"/>
      <c r="M92" s="67"/>
      <c r="N92" s="67"/>
      <c r="O92" s="67"/>
      <c r="P92" s="70"/>
      <c r="Q92" s="53"/>
      <c r="R92" s="53"/>
      <c r="S92" s="53"/>
      <c r="T92" s="53"/>
      <c r="U92" s="53"/>
      <c r="V92" s="53"/>
    </row>
    <row r="93" spans="1:22" ht="21" customHeight="1" thickBot="1">
      <c r="A93" s="71"/>
      <c r="B93" s="72"/>
      <c r="C93" s="72"/>
      <c r="D93" s="73" t="s">
        <v>61</v>
      </c>
      <c r="E93" s="74">
        <f>+$M$7-$E$91</f>
        <v>663491.67666667514</v>
      </c>
      <c r="F93" s="75">
        <f>+E93/M7</f>
        <v>5.6014971273864372E-2</v>
      </c>
      <c r="G93" s="72"/>
      <c r="H93" s="72"/>
      <c r="I93" s="72"/>
      <c r="J93" s="303"/>
      <c r="K93" s="72"/>
      <c r="L93" s="72"/>
      <c r="M93" s="72"/>
      <c r="N93" s="72"/>
      <c r="O93" s="72"/>
      <c r="P93" s="76"/>
      <c r="Q93" s="53"/>
      <c r="R93" s="53"/>
      <c r="S93" s="53"/>
      <c r="T93" s="53"/>
      <c r="U93" s="53"/>
      <c r="V93" s="53"/>
    </row>
    <row r="94" spans="1:22">
      <c r="A94" s="53"/>
      <c r="B94" s="66"/>
      <c r="C94" s="67"/>
      <c r="D94" s="67"/>
      <c r="E94" s="67"/>
      <c r="F94" s="67"/>
      <c r="G94" s="67"/>
      <c r="H94" s="67"/>
      <c r="I94" s="67"/>
      <c r="J94" s="67"/>
      <c r="K94" s="67"/>
      <c r="L94" s="67"/>
      <c r="M94" s="67"/>
      <c r="N94" s="70"/>
      <c r="O94" s="53"/>
      <c r="P94" s="53"/>
      <c r="Q94" s="53"/>
      <c r="R94" s="53"/>
      <c r="S94" s="53"/>
      <c r="T94" s="53"/>
      <c r="U94" s="53"/>
      <c r="V94" s="53"/>
    </row>
    <row r="95" spans="1:22" ht="21">
      <c r="A95" s="53"/>
      <c r="B95" s="275"/>
      <c r="C95" s="182" t="s">
        <v>62</v>
      </c>
      <c r="D95" s="182"/>
      <c r="E95" s="182"/>
      <c r="F95" s="182"/>
      <c r="G95" s="182"/>
      <c r="H95" s="182" t="s">
        <v>282</v>
      </c>
      <c r="I95" s="145"/>
      <c r="J95" s="145"/>
      <c r="K95" s="145"/>
      <c r="L95" s="145"/>
      <c r="M95" s="145"/>
      <c r="N95" s="146"/>
      <c r="O95" s="53"/>
      <c r="P95" s="53"/>
      <c r="Q95" s="53"/>
      <c r="R95" s="53"/>
      <c r="S95" s="53"/>
      <c r="T95" s="53"/>
      <c r="U95" s="53"/>
      <c r="V95" s="53"/>
    </row>
    <row r="96" spans="1:22" ht="17.25" thickBot="1">
      <c r="A96" s="53"/>
      <c r="B96" s="275"/>
      <c r="C96" s="145"/>
      <c r="D96" s="145"/>
      <c r="E96" s="145"/>
      <c r="F96" s="145"/>
      <c r="G96" s="147"/>
      <c r="H96" s="145"/>
      <c r="I96" s="145"/>
      <c r="J96" s="145"/>
      <c r="K96" s="145"/>
      <c r="L96" s="145"/>
      <c r="M96" s="145"/>
      <c r="N96" s="146"/>
      <c r="O96" s="53"/>
      <c r="P96" s="53"/>
      <c r="Q96" s="53"/>
      <c r="R96" s="53"/>
      <c r="S96" s="53"/>
      <c r="T96" s="53"/>
      <c r="U96" s="53"/>
      <c r="V96" s="53"/>
    </row>
    <row r="97" spans="1:22" ht="18" customHeight="1" thickBot="1">
      <c r="A97" s="53"/>
      <c r="B97" s="275"/>
      <c r="C97" s="379" t="s">
        <v>63</v>
      </c>
      <c r="D97" s="380"/>
      <c r="E97" s="381"/>
      <c r="F97" s="148" t="s">
        <v>64</v>
      </c>
      <c r="G97" s="149">
        <f>+M7</f>
        <v>11844898.99</v>
      </c>
      <c r="H97" s="150"/>
      <c r="I97" s="151"/>
      <c r="J97" s="150"/>
      <c r="K97" s="150"/>
      <c r="L97" s="150"/>
      <c r="M97" s="150"/>
      <c r="N97" s="152"/>
      <c r="O97" s="53"/>
      <c r="P97" s="53"/>
      <c r="Q97" s="53"/>
      <c r="R97" s="53"/>
      <c r="S97" s="53"/>
      <c r="T97" s="53"/>
      <c r="U97" s="53"/>
      <c r="V97" s="53"/>
    </row>
    <row r="98" spans="1:22" ht="17.25" thickBot="1">
      <c r="A98" s="53"/>
      <c r="B98" s="275"/>
      <c r="C98" s="148"/>
      <c r="D98" s="148"/>
      <c r="E98" s="148"/>
      <c r="F98" s="148"/>
      <c r="G98" s="150"/>
      <c r="H98" s="150"/>
      <c r="I98" s="150"/>
      <c r="J98" s="150"/>
      <c r="K98" s="150"/>
      <c r="L98" s="150"/>
      <c r="M98" s="150"/>
      <c r="N98" s="152"/>
      <c r="O98" s="53"/>
      <c r="P98" s="53"/>
      <c r="Q98" s="53"/>
      <c r="R98" s="53"/>
      <c r="S98" s="53"/>
      <c r="T98" s="53"/>
      <c r="U98" s="53"/>
      <c r="V98" s="53"/>
    </row>
    <row r="99" spans="1:22" ht="18" customHeight="1" thickBot="1">
      <c r="A99" s="53"/>
      <c r="B99" s="275"/>
      <c r="C99" s="382" t="s">
        <v>65</v>
      </c>
      <c r="D99" s="383"/>
      <c r="E99" s="384"/>
      <c r="F99" s="148" t="s">
        <v>64</v>
      </c>
      <c r="G99" s="154">
        <f>+E91</f>
        <v>11181407.313333325</v>
      </c>
      <c r="H99" s="150"/>
      <c r="I99" s="150"/>
      <c r="J99" s="91">
        <f>G99/G97</f>
        <v>0.94398502872613566</v>
      </c>
      <c r="K99" s="155" t="s">
        <v>66</v>
      </c>
      <c r="L99" s="156"/>
      <c r="M99" s="156"/>
      <c r="N99" s="152"/>
      <c r="O99" s="53"/>
      <c r="P99" s="53"/>
      <c r="Q99" s="53"/>
      <c r="R99" s="53"/>
      <c r="S99" s="53"/>
      <c r="T99" s="53"/>
      <c r="U99" s="53"/>
      <c r="V99" s="53"/>
    </row>
    <row r="100" spans="1:22" ht="17.25" thickBot="1">
      <c r="B100" s="276"/>
      <c r="C100" s="148"/>
      <c r="D100" s="148"/>
      <c r="E100" s="148"/>
      <c r="F100" s="148"/>
      <c r="G100" s="150"/>
      <c r="H100" s="150"/>
      <c r="I100" s="150"/>
      <c r="J100" s="150"/>
      <c r="K100" s="157"/>
      <c r="L100" s="150"/>
      <c r="M100" s="150"/>
      <c r="N100" s="152"/>
    </row>
    <row r="101" spans="1:22" ht="18" customHeight="1" thickBot="1">
      <c r="B101" s="276"/>
      <c r="C101" s="376" t="s">
        <v>91</v>
      </c>
      <c r="D101" s="377"/>
      <c r="E101" s="378"/>
      <c r="F101" s="148" t="s">
        <v>68</v>
      </c>
      <c r="G101" s="96">
        <f>+K91</f>
        <v>12823803.770000001</v>
      </c>
      <c r="H101" s="150"/>
      <c r="I101" s="150"/>
      <c r="J101" s="97">
        <f>+G101/J91</f>
        <v>0.95573865097674116</v>
      </c>
      <c r="K101" s="277" t="s">
        <v>69</v>
      </c>
      <c r="L101" s="158"/>
      <c r="M101" s="158"/>
      <c r="N101" s="152"/>
    </row>
    <row r="102" spans="1:22" ht="17.25" thickBot="1">
      <c r="B102" s="276"/>
      <c r="C102" s="148"/>
      <c r="D102" s="148"/>
      <c r="E102" s="148"/>
      <c r="F102" s="148"/>
      <c r="G102" s="150"/>
      <c r="H102" s="150"/>
      <c r="I102" s="150"/>
      <c r="J102" s="150"/>
      <c r="K102" s="157"/>
      <c r="L102" s="150"/>
      <c r="M102" s="150"/>
      <c r="N102" s="152"/>
    </row>
    <row r="103" spans="1:22" ht="18" customHeight="1" thickBot="1">
      <c r="B103" s="276"/>
      <c r="C103" s="376" t="s">
        <v>70</v>
      </c>
      <c r="D103" s="377"/>
      <c r="E103" s="378"/>
      <c r="F103" s="148" t="s">
        <v>68</v>
      </c>
      <c r="G103" s="100">
        <f>+O91</f>
        <v>593885.00600000005</v>
      </c>
      <c r="H103" s="150"/>
      <c r="I103" s="150"/>
      <c r="J103" s="101">
        <f>+G103/J91</f>
        <v>4.4261349023258942E-2</v>
      </c>
      <c r="K103" s="277" t="s">
        <v>69</v>
      </c>
      <c r="L103" s="159"/>
      <c r="M103" s="159"/>
      <c r="N103" s="152"/>
    </row>
    <row r="104" spans="1:22" ht="17.25" thickBot="1">
      <c r="B104" s="276"/>
      <c r="C104" s="148"/>
      <c r="D104" s="148"/>
      <c r="E104" s="148"/>
      <c r="F104" s="148"/>
      <c r="G104" s="150"/>
      <c r="H104" s="150"/>
      <c r="I104" s="150"/>
      <c r="J104" s="150"/>
      <c r="K104" s="157"/>
      <c r="L104" s="150"/>
      <c r="M104" s="150"/>
      <c r="N104" s="152"/>
    </row>
    <row r="105" spans="1:22" ht="18" customHeight="1" thickBot="1">
      <c r="B105" s="276"/>
      <c r="C105" s="376" t="s">
        <v>92</v>
      </c>
      <c r="D105" s="377"/>
      <c r="E105" s="378"/>
      <c r="F105" s="148" t="s">
        <v>68</v>
      </c>
      <c r="G105" s="104">
        <f>+P91</f>
        <v>593885.00600000005</v>
      </c>
      <c r="H105" s="150"/>
      <c r="I105" s="150"/>
      <c r="J105" s="105">
        <f>+G105/J91</f>
        <v>4.4261349023258942E-2</v>
      </c>
      <c r="K105" s="277" t="s">
        <v>69</v>
      </c>
      <c r="L105" s="158"/>
      <c r="M105" s="158"/>
      <c r="N105" s="152"/>
    </row>
    <row r="106" spans="1:22" ht="5.25" customHeight="1" thickBot="1">
      <c r="B106" s="160"/>
      <c r="C106" s="161"/>
      <c r="D106" s="161"/>
      <c r="E106" s="161"/>
      <c r="F106" s="161"/>
      <c r="G106" s="161"/>
      <c r="H106" s="161"/>
      <c r="I106" s="161"/>
      <c r="J106" s="161"/>
      <c r="K106" s="161"/>
      <c r="L106" s="161"/>
      <c r="M106" s="161"/>
      <c r="N106" s="162"/>
    </row>
  </sheetData>
  <mergeCells count="18">
    <mergeCell ref="O10:P10"/>
    <mergeCell ref="C97:E97"/>
    <mergeCell ref="C1:E2"/>
    <mergeCell ref="F1:F2"/>
    <mergeCell ref="G1:J1"/>
    <mergeCell ref="M1:N1"/>
    <mergeCell ref="M2:N2"/>
    <mergeCell ref="C3:E4"/>
    <mergeCell ref="M3:N3"/>
    <mergeCell ref="M4:N4"/>
    <mergeCell ref="C99:E99"/>
    <mergeCell ref="C101:E101"/>
    <mergeCell ref="C103:E103"/>
    <mergeCell ref="C105:E105"/>
    <mergeCell ref="M5:N5"/>
    <mergeCell ref="M6:N6"/>
    <mergeCell ref="M7:N7"/>
    <mergeCell ref="M8:N8"/>
  </mergeCells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X98"/>
  <sheetViews>
    <sheetView workbookViewId="0"/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4" ht="21" customHeight="1">
      <c r="A1" s="270" t="s">
        <v>11</v>
      </c>
      <c r="B1" s="165"/>
      <c r="C1" s="390" t="s">
        <v>108</v>
      </c>
      <c r="D1" s="390"/>
      <c r="E1" s="390"/>
      <c r="F1" s="392"/>
      <c r="G1" s="394" t="s">
        <v>12</v>
      </c>
      <c r="H1" s="395"/>
      <c r="I1" s="395"/>
      <c r="J1" s="396"/>
      <c r="K1" s="112" t="s">
        <v>13</v>
      </c>
      <c r="L1" s="113"/>
      <c r="M1" s="397">
        <v>18088461.370000001</v>
      </c>
      <c r="N1" s="397"/>
      <c r="O1" s="114" t="s">
        <v>14</v>
      </c>
      <c r="P1" s="115"/>
    </row>
    <row r="2" spans="1:24" ht="21">
      <c r="A2" s="271"/>
      <c r="B2" s="121"/>
      <c r="C2" s="391"/>
      <c r="D2" s="391"/>
      <c r="E2" s="391"/>
      <c r="F2" s="393"/>
      <c r="G2" s="166" t="s">
        <v>15</v>
      </c>
      <c r="H2" s="167"/>
      <c r="I2" s="168">
        <v>90</v>
      </c>
      <c r="J2" s="169"/>
      <c r="K2" s="116" t="s">
        <v>16</v>
      </c>
      <c r="L2" s="117"/>
      <c r="M2" s="398"/>
      <c r="N2" s="398"/>
      <c r="O2" s="117"/>
      <c r="P2" s="118"/>
    </row>
    <row r="3" spans="1:24" ht="21" customHeight="1">
      <c r="A3" s="271" t="s">
        <v>17</v>
      </c>
      <c r="B3" s="121"/>
      <c r="C3" s="391"/>
      <c r="D3" s="391"/>
      <c r="E3" s="391"/>
      <c r="F3" s="119"/>
      <c r="G3" s="166" t="s">
        <v>19</v>
      </c>
      <c r="H3" s="167"/>
      <c r="I3" s="170" t="s">
        <v>20</v>
      </c>
      <c r="J3" s="171"/>
      <c r="K3" s="116" t="s">
        <v>109</v>
      </c>
      <c r="L3" s="117"/>
      <c r="M3" s="398"/>
      <c r="N3" s="398"/>
      <c r="O3" s="117"/>
      <c r="P3" s="118"/>
    </row>
    <row r="4" spans="1:24">
      <c r="A4" s="271"/>
      <c r="B4" s="121"/>
      <c r="C4" s="391"/>
      <c r="D4" s="391"/>
      <c r="E4" s="391"/>
      <c r="F4" s="120"/>
      <c r="G4" s="166" t="s">
        <v>22</v>
      </c>
      <c r="H4" s="167"/>
      <c r="I4" s="172">
        <v>0.2</v>
      </c>
      <c r="J4" s="171"/>
      <c r="K4" s="116"/>
      <c r="L4" s="117"/>
      <c r="M4" s="398"/>
      <c r="N4" s="398"/>
      <c r="O4" s="117"/>
      <c r="P4" s="118"/>
    </row>
    <row r="5" spans="1:24">
      <c r="A5" s="271" t="s">
        <v>24</v>
      </c>
      <c r="B5" s="121"/>
      <c r="C5" s="121"/>
      <c r="D5" s="122"/>
      <c r="E5" s="123"/>
      <c r="F5" s="124"/>
      <c r="G5" s="166" t="s">
        <v>25</v>
      </c>
      <c r="H5" s="167"/>
      <c r="I5" s="170"/>
      <c r="J5" s="171" t="s">
        <v>26</v>
      </c>
      <c r="K5" s="116"/>
      <c r="L5" s="117"/>
      <c r="M5" s="398"/>
      <c r="N5" s="398"/>
      <c r="O5" s="117"/>
      <c r="P5" s="118"/>
    </row>
    <row r="6" spans="1:24">
      <c r="A6" s="271" t="s">
        <v>86</v>
      </c>
      <c r="B6" s="121"/>
      <c r="C6" s="121"/>
      <c r="D6" s="174"/>
      <c r="E6" s="125"/>
      <c r="F6" s="126"/>
      <c r="G6" s="166"/>
      <c r="H6" s="170" t="s">
        <v>28</v>
      </c>
      <c r="I6" s="173">
        <v>0</v>
      </c>
      <c r="J6" s="171" t="s">
        <v>89</v>
      </c>
      <c r="K6" s="116" t="s">
        <v>110</v>
      </c>
      <c r="L6" s="117"/>
      <c r="M6" s="398"/>
      <c r="N6" s="398"/>
      <c r="O6" s="117"/>
      <c r="P6" s="118"/>
    </row>
    <row r="7" spans="1:24">
      <c r="A7" s="271" t="s">
        <v>87</v>
      </c>
      <c r="B7" s="121"/>
      <c r="C7" s="121"/>
      <c r="D7" s="174"/>
      <c r="E7" s="125"/>
      <c r="F7" s="126"/>
      <c r="G7" s="166"/>
      <c r="H7" s="170" t="s">
        <v>30</v>
      </c>
      <c r="I7" s="173">
        <v>0</v>
      </c>
      <c r="J7" s="171" t="s">
        <v>89</v>
      </c>
      <c r="K7" s="127" t="s">
        <v>31</v>
      </c>
      <c r="L7" s="128"/>
      <c r="M7" s="399">
        <f>SUM(M1:M6)</f>
        <v>18088461.370000001</v>
      </c>
      <c r="N7" s="399"/>
      <c r="O7" s="117"/>
      <c r="P7" s="118"/>
    </row>
    <row r="8" spans="1:24">
      <c r="A8" s="129" t="s">
        <v>88</v>
      </c>
      <c r="B8" s="130"/>
      <c r="C8" s="130"/>
      <c r="D8" s="175" t="s">
        <v>206</v>
      </c>
      <c r="E8" s="131"/>
      <c r="F8" s="132"/>
      <c r="G8" s="176"/>
      <c r="H8" s="177" t="s">
        <v>32</v>
      </c>
      <c r="I8" s="178">
        <v>0</v>
      </c>
      <c r="J8" s="179" t="s">
        <v>89</v>
      </c>
      <c r="K8" s="133" t="s">
        <v>33</v>
      </c>
      <c r="L8" s="134"/>
      <c r="M8" s="400">
        <f>+M7*(1+$I$4)</f>
        <v>21706153.644000001</v>
      </c>
      <c r="N8" s="400"/>
      <c r="O8" s="135"/>
      <c r="P8" s="136"/>
    </row>
    <row r="10" spans="1:24" ht="21" customHeight="1">
      <c r="B10" s="5" t="s">
        <v>34</v>
      </c>
      <c r="C10" s="137">
        <v>43094</v>
      </c>
      <c r="E10" s="44"/>
      <c r="F10" s="45">
        <v>0</v>
      </c>
      <c r="G10" s="46"/>
      <c r="I10" s="183">
        <f>+M1-J10</f>
        <v>-639940.40500001237</v>
      </c>
      <c r="J10" s="5">
        <v>18728401.775000013</v>
      </c>
      <c r="K10" s="5">
        <v>-12738.75</v>
      </c>
      <c r="L10" s="5">
        <v>21721442.530000009</v>
      </c>
      <c r="M10" s="183">
        <f>+M8-L10</f>
        <v>-15288.886000007391</v>
      </c>
      <c r="O10" s="385" t="s">
        <v>35</v>
      </c>
      <c r="P10" s="386"/>
    </row>
    <row r="11" spans="1:24" ht="60">
      <c r="A11" s="180" t="s">
        <v>112</v>
      </c>
      <c r="B11" s="181" t="s">
        <v>37</v>
      </c>
      <c r="C11" s="181" t="s">
        <v>38</v>
      </c>
      <c r="D11" s="180" t="s">
        <v>39</v>
      </c>
      <c r="E11" s="181" t="s">
        <v>40</v>
      </c>
      <c r="F11" s="181" t="s">
        <v>41</v>
      </c>
      <c r="G11" s="181" t="s">
        <v>42</v>
      </c>
      <c r="H11" s="181" t="s">
        <v>43</v>
      </c>
      <c r="I11" s="181" t="s">
        <v>44</v>
      </c>
      <c r="J11" s="181" t="s">
        <v>45</v>
      </c>
      <c r="K11" s="181" t="s">
        <v>46</v>
      </c>
      <c r="L11" s="181" t="s">
        <v>47</v>
      </c>
      <c r="M11" s="181" t="s">
        <v>48</v>
      </c>
      <c r="N11" s="181" t="s">
        <v>49</v>
      </c>
      <c r="O11" s="181" t="s">
        <v>50</v>
      </c>
      <c r="P11" s="181" t="s">
        <v>51</v>
      </c>
      <c r="R11" s="278" t="s">
        <v>52</v>
      </c>
      <c r="S11" s="278" t="s">
        <v>53</v>
      </c>
      <c r="T11" s="278" t="s">
        <v>54</v>
      </c>
      <c r="U11" s="278" t="s">
        <v>55</v>
      </c>
      <c r="V11" s="278" t="s">
        <v>56</v>
      </c>
    </row>
    <row r="12" spans="1:24" ht="19.5" customHeight="1">
      <c r="A12" s="54" t="s">
        <v>207</v>
      </c>
      <c r="B12" s="55"/>
      <c r="C12" s="284"/>
      <c r="D12" s="57"/>
      <c r="E12" s="50">
        <f>877731.6/1.2</f>
        <v>731443</v>
      </c>
      <c r="F12" s="50">
        <v>0</v>
      </c>
      <c r="G12" s="50">
        <v>0</v>
      </c>
      <c r="H12" s="50"/>
      <c r="I12" s="50">
        <f>+E12+F12-G12-H12</f>
        <v>731443</v>
      </c>
      <c r="J12" s="50">
        <f>+I12+(I12*$I$4)</f>
        <v>877731.6</v>
      </c>
      <c r="K12" s="50">
        <v>877731.6</v>
      </c>
      <c r="L12" s="51"/>
      <c r="M12" s="51"/>
      <c r="N12" s="52">
        <f>-IF(L12=0,,IF(M12=0,($C$10-L12),M12-L12))</f>
        <v>0</v>
      </c>
      <c r="O12" s="50">
        <f>+J12-K12</f>
        <v>0</v>
      </c>
      <c r="P12" s="50">
        <f>+IF($C$10&lt;L12,0,O12)</f>
        <v>0</v>
      </c>
      <c r="Q12" s="53"/>
      <c r="R12" s="316">
        <f>IF(N12&gt;=0,0,(IF(-N12&lt;=60,O12,0)))</f>
        <v>0</v>
      </c>
      <c r="S12" s="316">
        <f>IF(N12&gt;=0,0,(IF(N12&gt;=-60,0,IF(-60&gt;=N12,IF(N12&gt;=-120,O12,0)))))</f>
        <v>0</v>
      </c>
      <c r="T12" s="316">
        <f>IF(N12&gt;=0,0,(IF(N12&gt;-60,0,IF(-60&gt;=N12,IF(N12&gt;=-120,0,IF(N12&gt;=-180,O12,0))))))</f>
        <v>0</v>
      </c>
      <c r="U12" s="316">
        <f>IF(N12&gt;=0,0,(IF(N12&gt;-60,0,IF(-60&gt;=N12,IF(N12&gt;-120,0,IF(N12&gt;=-180,0,IF(N12&gt;=-365,O12,0)))))))</f>
        <v>0</v>
      </c>
      <c r="V12" s="316">
        <f>IF(N12&gt;=0,0,IF(365&lt;-N12,O12,0))</f>
        <v>0</v>
      </c>
      <c r="X12" s="5" t="s">
        <v>208</v>
      </c>
    </row>
    <row r="13" spans="1:24" s="290" customFormat="1" ht="19.5" customHeight="1">
      <c r="A13" s="138"/>
      <c r="B13" s="143"/>
      <c r="C13" s="286"/>
      <c r="D13" s="140"/>
      <c r="E13" s="141">
        <f t="shared" ref="E13:K13" si="0">SUM(E12:E12)</f>
        <v>731443</v>
      </c>
      <c r="F13" s="141">
        <f t="shared" si="0"/>
        <v>0</v>
      </c>
      <c r="G13" s="141">
        <f t="shared" si="0"/>
        <v>0</v>
      </c>
      <c r="H13" s="141">
        <f t="shared" si="0"/>
        <v>0</v>
      </c>
      <c r="I13" s="141">
        <f t="shared" si="0"/>
        <v>731443</v>
      </c>
      <c r="J13" s="287">
        <f t="shared" si="0"/>
        <v>877731.6</v>
      </c>
      <c r="K13" s="287">
        <f t="shared" si="0"/>
        <v>877731.6</v>
      </c>
      <c r="L13" s="139"/>
      <c r="M13" s="139"/>
      <c r="N13" s="142"/>
      <c r="O13" s="141">
        <f>SUM(O12:O12)</f>
        <v>0</v>
      </c>
      <c r="P13" s="141">
        <f>SUM(P12:P12)</f>
        <v>0</v>
      </c>
      <c r="Q13" s="288"/>
      <c r="R13" s="289">
        <f>SUM(R12:R12)</f>
        <v>0</v>
      </c>
      <c r="S13" s="289">
        <f>SUM(S12:S12)</f>
        <v>0</v>
      </c>
      <c r="T13" s="289">
        <f>SUM(T12:T12)</f>
        <v>0</v>
      </c>
      <c r="U13" s="289">
        <f>SUM(U12:U12)</f>
        <v>0</v>
      </c>
      <c r="V13" s="289">
        <f>SUM(V12:V12)</f>
        <v>0</v>
      </c>
    </row>
    <row r="14" spans="1:24" ht="19.5" customHeight="1">
      <c r="A14" s="54" t="s">
        <v>209</v>
      </c>
      <c r="B14" s="55"/>
      <c r="C14" s="291"/>
      <c r="D14" s="57"/>
      <c r="E14" s="50">
        <f>758497.61/1.2</f>
        <v>632081.34166666667</v>
      </c>
      <c r="F14" s="50">
        <f>-E14*$F$10</f>
        <v>0</v>
      </c>
      <c r="G14" s="50">
        <f>E14*$G$10</f>
        <v>0</v>
      </c>
      <c r="H14" s="50"/>
      <c r="I14" s="50">
        <f>+E14+F14-G14-H14</f>
        <v>632081.34166666667</v>
      </c>
      <c r="J14" s="50">
        <f>+I14+(I14*$I$4)</f>
        <v>758497.61</v>
      </c>
      <c r="K14" s="50">
        <v>758497.61</v>
      </c>
      <c r="L14" s="51"/>
      <c r="M14" s="51"/>
      <c r="N14" s="52">
        <f>-IF(L14=0,,IF(M14=0,($C$10-L14),M14-L14))</f>
        <v>0</v>
      </c>
      <c r="O14" s="50">
        <f>+J14-K14</f>
        <v>0</v>
      </c>
      <c r="P14" s="50">
        <f>+IF($C$10&lt;L14,0,O14)</f>
        <v>0</v>
      </c>
      <c r="Q14" s="53"/>
      <c r="R14" s="316">
        <f>IF(N14&gt;=0,0,(IF(-N14&lt;=60,O14,0)))</f>
        <v>0</v>
      </c>
      <c r="S14" s="316">
        <f>IF(N14&gt;=0,0,(IF(N14&gt;=-60,0,IF(-60&gt;=N14,IF(N14&gt;=-120,O14,0)))))</f>
        <v>0</v>
      </c>
      <c r="T14" s="316">
        <f>IF(N14&gt;=0,0,(IF(N14&gt;-60,0,IF(-60&gt;=N14,IF(N14&gt;=-120,0,IF(N14&gt;=-180,O14,0))))))</f>
        <v>0</v>
      </c>
      <c r="U14" s="316">
        <f>IF(N14&gt;=0,0,(IF(N14&gt;-60,0,IF(-60&gt;=N14,IF(N14&gt;-120,0,IF(N14&gt;=-180,0,IF(N14&gt;=-365,O14,0)))))))</f>
        <v>0</v>
      </c>
      <c r="V14" s="316">
        <f>IF(N14&gt;=0,0,IF(365&lt;-N14,O14,0))</f>
        <v>0</v>
      </c>
    </row>
    <row r="15" spans="1:24" s="290" customFormat="1" ht="19.5" customHeight="1">
      <c r="A15" s="138"/>
      <c r="B15" s="143"/>
      <c r="C15" s="286"/>
      <c r="D15" s="140"/>
      <c r="E15" s="141">
        <f t="shared" ref="E15:K15" si="1">SUM(E14:E14)</f>
        <v>632081.34166666667</v>
      </c>
      <c r="F15" s="141">
        <f t="shared" si="1"/>
        <v>0</v>
      </c>
      <c r="G15" s="141">
        <f t="shared" si="1"/>
        <v>0</v>
      </c>
      <c r="H15" s="141">
        <f t="shared" si="1"/>
        <v>0</v>
      </c>
      <c r="I15" s="141">
        <f t="shared" si="1"/>
        <v>632081.34166666667</v>
      </c>
      <c r="J15" s="287">
        <f t="shared" si="1"/>
        <v>758497.61</v>
      </c>
      <c r="K15" s="287">
        <f t="shared" si="1"/>
        <v>758497.61</v>
      </c>
      <c r="L15" s="139"/>
      <c r="M15" s="139"/>
      <c r="N15" s="142"/>
      <c r="O15" s="141">
        <f>SUM(O14:O14)</f>
        <v>0</v>
      </c>
      <c r="P15" s="141">
        <f>SUM(P14:P14)</f>
        <v>0</v>
      </c>
      <c r="Q15" s="288"/>
      <c r="R15" s="289">
        <f>SUM(R14:R14)</f>
        <v>0</v>
      </c>
      <c r="S15" s="289">
        <f>SUM(S14:S14)</f>
        <v>0</v>
      </c>
      <c r="T15" s="289">
        <f>SUM(T14:T14)</f>
        <v>0</v>
      </c>
      <c r="U15" s="289">
        <f>SUM(U14:U14)</f>
        <v>0</v>
      </c>
      <c r="V15" s="289">
        <f>SUM(V14:V14)</f>
        <v>0</v>
      </c>
    </row>
    <row r="16" spans="1:24" ht="19.5" customHeight="1">
      <c r="A16" s="54" t="s">
        <v>210</v>
      </c>
      <c r="B16" s="55"/>
      <c r="C16" s="291"/>
      <c r="D16" s="57"/>
      <c r="E16" s="50">
        <f>371378.46/1.2</f>
        <v>309482.05000000005</v>
      </c>
      <c r="F16" s="50">
        <f>-E16*$F$10</f>
        <v>0</v>
      </c>
      <c r="G16" s="50">
        <f>E16*$G$10</f>
        <v>0</v>
      </c>
      <c r="H16" s="50"/>
      <c r="I16" s="50">
        <f>+E16+F16-G16-H16</f>
        <v>309482.05000000005</v>
      </c>
      <c r="J16" s="50">
        <f>+I16+(I16*$I$4)</f>
        <v>371378.46000000008</v>
      </c>
      <c r="K16" s="50">
        <v>371378.46000000008</v>
      </c>
      <c r="L16" s="51"/>
      <c r="M16" s="51"/>
      <c r="N16" s="52">
        <f>-IF(L16=0,,IF(M16=0,($C$10-L16),M16-L16))</f>
        <v>0</v>
      </c>
      <c r="O16" s="50">
        <f>+J16-K16</f>
        <v>0</v>
      </c>
      <c r="P16" s="50">
        <f>+IF($C$10&lt;L16,0,O16)</f>
        <v>0</v>
      </c>
      <c r="Q16" s="53"/>
      <c r="R16" s="316">
        <f>IF(N16&gt;=0,0,(IF(-N16&lt;=60,O16,0)))</f>
        <v>0</v>
      </c>
      <c r="S16" s="316">
        <f>IF(N16&gt;=0,0,(IF(N16&gt;=-60,0,IF(-60&gt;=N16,IF(N16&gt;=-120,O16,0)))))</f>
        <v>0</v>
      </c>
      <c r="T16" s="316">
        <f>IF(N16&gt;=0,0,(IF(N16&gt;-60,0,IF(-60&gt;=N16,IF(N16&gt;=-120,0,IF(N16&gt;=-180,O16,0))))))</f>
        <v>0</v>
      </c>
      <c r="U16" s="316">
        <f>IF(N16&gt;=0,0,(IF(N16&gt;-60,0,IF(-60&gt;=N16,IF(N16&gt;-120,0,IF(N16&gt;=-180,0,IF(N16&gt;=-365,O16,0)))))))</f>
        <v>0</v>
      </c>
      <c r="V16" s="316">
        <f>IF(N16&gt;=0,0,IF(365&lt;-N16,O16,0))</f>
        <v>0</v>
      </c>
    </row>
    <row r="17" spans="1:22" s="290" customFormat="1" ht="15">
      <c r="A17" s="138"/>
      <c r="B17" s="143"/>
      <c r="C17" s="286"/>
      <c r="D17" s="140"/>
      <c r="E17" s="141">
        <f t="shared" ref="E17:K17" si="2">SUM(E16:E16)</f>
        <v>309482.05000000005</v>
      </c>
      <c r="F17" s="141">
        <f t="shared" si="2"/>
        <v>0</v>
      </c>
      <c r="G17" s="141">
        <f t="shared" si="2"/>
        <v>0</v>
      </c>
      <c r="H17" s="141">
        <f t="shared" si="2"/>
        <v>0</v>
      </c>
      <c r="I17" s="141">
        <f t="shared" si="2"/>
        <v>309482.05000000005</v>
      </c>
      <c r="J17" s="287">
        <f t="shared" si="2"/>
        <v>371378.46000000008</v>
      </c>
      <c r="K17" s="287">
        <f t="shared" si="2"/>
        <v>371378.46000000008</v>
      </c>
      <c r="L17" s="139"/>
      <c r="M17" s="139"/>
      <c r="N17" s="142"/>
      <c r="O17" s="141">
        <f>SUM(O16:O16)</f>
        <v>0</v>
      </c>
      <c r="P17" s="141">
        <f>SUM(P16:P16)</f>
        <v>0</v>
      </c>
      <c r="Q17" s="288"/>
      <c r="R17" s="289">
        <f>SUM(R16:R16)</f>
        <v>0</v>
      </c>
      <c r="S17" s="289">
        <f>SUM(S16:S16)</f>
        <v>0</v>
      </c>
      <c r="T17" s="289">
        <f>SUM(T16:T16)</f>
        <v>0</v>
      </c>
      <c r="U17" s="289">
        <f>SUM(U16:U16)</f>
        <v>0</v>
      </c>
      <c r="V17" s="289">
        <f>SUM(V16:V16)</f>
        <v>0</v>
      </c>
    </row>
    <row r="18" spans="1:22">
      <c r="A18" s="54" t="s">
        <v>211</v>
      </c>
      <c r="B18" s="55"/>
      <c r="C18" s="56"/>
      <c r="D18" s="57"/>
      <c r="E18" s="50">
        <f>4292896.33/1.2</f>
        <v>3577413.6083333334</v>
      </c>
      <c r="F18" s="50">
        <f>-E18*$F$10</f>
        <v>0</v>
      </c>
      <c r="G18" s="50">
        <f>E18*$G$10</f>
        <v>0</v>
      </c>
      <c r="H18" s="50"/>
      <c r="I18" s="50">
        <f>+E18+F18-G18-H18</f>
        <v>3577413.6083333334</v>
      </c>
      <c r="J18" s="50">
        <f>+I18+(I18*$I$4)</f>
        <v>4292896.33</v>
      </c>
      <c r="K18" s="50">
        <v>4292896.33</v>
      </c>
      <c r="L18" s="51"/>
      <c r="M18" s="51"/>
      <c r="N18" s="52">
        <f>-IF(L18=0,,IF(M18=0,($C$10-L18),M18-L18))</f>
        <v>0</v>
      </c>
      <c r="O18" s="50">
        <f>+J18-K18</f>
        <v>0</v>
      </c>
      <c r="P18" s="50">
        <f>+IF($C$10&lt;L18,0,O18)</f>
        <v>0</v>
      </c>
      <c r="Q18" s="53"/>
      <c r="R18" s="316">
        <f>IF(N18&gt;=0,0,(IF(-N18&lt;=60,O18,0)))</f>
        <v>0</v>
      </c>
      <c r="S18" s="316">
        <f>IF(N18&gt;=0,0,(IF(N18&gt;=-60,0,IF(-60&gt;=N18,IF(N18&gt;=-120,O18,0)))))</f>
        <v>0</v>
      </c>
      <c r="T18" s="316">
        <f>IF(N18&gt;=0,0,(IF(N18&gt;-60,0,IF(-60&gt;=N18,IF(N18&gt;=-120,0,IF(N18&gt;=-180,O18,0))))))</f>
        <v>0</v>
      </c>
      <c r="U18" s="316">
        <f>IF(N18&gt;=0,0,(IF(N18&gt;-60,0,IF(-60&gt;=N18,IF(N18&gt;-120,0,IF(N18&gt;=-180,0,IF(N18&gt;=-365,O18,0)))))))</f>
        <v>0</v>
      </c>
      <c r="V18" s="316">
        <f>IF(N18&gt;=0,0,IF(365&lt;-N18,O18,0))</f>
        <v>0</v>
      </c>
    </row>
    <row r="19" spans="1:22" s="290" customFormat="1" ht="15">
      <c r="A19" s="138"/>
      <c r="B19" s="138"/>
      <c r="C19" s="286"/>
      <c r="D19" s="140"/>
      <c r="E19" s="141">
        <f t="shared" ref="E19:K19" si="3">SUM(E18:E18)</f>
        <v>3577413.6083333334</v>
      </c>
      <c r="F19" s="141">
        <f t="shared" si="3"/>
        <v>0</v>
      </c>
      <c r="G19" s="141">
        <f t="shared" si="3"/>
        <v>0</v>
      </c>
      <c r="H19" s="141">
        <f t="shared" si="3"/>
        <v>0</v>
      </c>
      <c r="I19" s="141">
        <f t="shared" si="3"/>
        <v>3577413.6083333334</v>
      </c>
      <c r="J19" s="287">
        <f t="shared" si="3"/>
        <v>4292896.33</v>
      </c>
      <c r="K19" s="287">
        <f t="shared" si="3"/>
        <v>4292896.33</v>
      </c>
      <c r="L19" s="139"/>
      <c r="M19" s="139"/>
      <c r="N19" s="142"/>
      <c r="O19" s="141">
        <f>SUM(O18:O18)</f>
        <v>0</v>
      </c>
      <c r="P19" s="141">
        <f>SUM(P18:P18)</f>
        <v>0</v>
      </c>
      <c r="Q19" s="292"/>
      <c r="R19" s="337">
        <f>SUM(R18:R18)</f>
        <v>0</v>
      </c>
      <c r="S19" s="337">
        <f>SUM(S18:S18)</f>
        <v>0</v>
      </c>
      <c r="T19" s="337">
        <f>SUM(T18:T18)</f>
        <v>0</v>
      </c>
      <c r="U19" s="337">
        <f>SUM(U18:U18)</f>
        <v>0</v>
      </c>
      <c r="V19" s="337">
        <f>SUM(V18:V18)</f>
        <v>0</v>
      </c>
    </row>
    <row r="20" spans="1:22">
      <c r="A20" s="54" t="s">
        <v>212</v>
      </c>
      <c r="B20" s="55"/>
      <c r="C20" s="56"/>
      <c r="D20" s="57"/>
      <c r="E20" s="50">
        <f>207244.17/1.2</f>
        <v>172703.47500000001</v>
      </c>
      <c r="F20" s="50">
        <f>-E20*$F$10</f>
        <v>0</v>
      </c>
      <c r="G20" s="50">
        <f>E20*$G$10</f>
        <v>0</v>
      </c>
      <c r="H20" s="50"/>
      <c r="I20" s="50">
        <f>+E20+F20-G20-H20</f>
        <v>172703.47500000001</v>
      </c>
      <c r="J20" s="50">
        <f>+I20+(I20*$I$4)</f>
        <v>207244.17</v>
      </c>
      <c r="K20" s="50">
        <v>207244.17</v>
      </c>
      <c r="L20" s="51"/>
      <c r="M20" s="51"/>
      <c r="N20" s="52">
        <f>-IF(L20=0,,IF(M20=0,($C$10-L20),M20-L20))</f>
        <v>0</v>
      </c>
      <c r="O20" s="50">
        <f>+J20-K20</f>
        <v>0</v>
      </c>
      <c r="P20" s="50">
        <f>+IF($C$10&lt;L20,0,O20)</f>
        <v>0</v>
      </c>
      <c r="Q20" s="53"/>
      <c r="R20" s="316">
        <f>IF(N20&gt;=0,0,(IF(-N20&lt;=60,O20,0)))</f>
        <v>0</v>
      </c>
      <c r="S20" s="316">
        <f>IF(N20&gt;=0,0,(IF(N20&gt;=-60,0,IF(-60&gt;=N20,IF(N20&gt;=-120,O20,0)))))</f>
        <v>0</v>
      </c>
      <c r="T20" s="316">
        <f>IF(N20&gt;=0,0,(IF(N20&gt;-60,0,IF(-60&gt;=N20,IF(N20&gt;=-120,0,IF(N20&gt;=-180,O20,0))))))</f>
        <v>0</v>
      </c>
      <c r="U20" s="316">
        <f>IF(N20&gt;=0,0,(IF(N20&gt;-60,0,IF(-60&gt;=N20,IF(N20&gt;-120,0,IF(N20&gt;=-180,0,IF(N20&gt;=-365,O20,0)))))))</f>
        <v>0</v>
      </c>
      <c r="V20" s="316">
        <f>IF(N20&gt;=0,0,IF(365&lt;-N20,O20,0))</f>
        <v>0</v>
      </c>
    </row>
    <row r="21" spans="1:22" s="290" customFormat="1" ht="15">
      <c r="A21" s="138"/>
      <c r="B21" s="138"/>
      <c r="C21" s="286"/>
      <c r="D21" s="140"/>
      <c r="E21" s="141">
        <f t="shared" ref="E21:K21" si="4">SUM(E20:E20)</f>
        <v>172703.47500000001</v>
      </c>
      <c r="F21" s="141">
        <f t="shared" si="4"/>
        <v>0</v>
      </c>
      <c r="G21" s="141">
        <f t="shared" si="4"/>
        <v>0</v>
      </c>
      <c r="H21" s="141">
        <f t="shared" si="4"/>
        <v>0</v>
      </c>
      <c r="I21" s="141">
        <f t="shared" si="4"/>
        <v>172703.47500000001</v>
      </c>
      <c r="J21" s="287">
        <f t="shared" si="4"/>
        <v>207244.17</v>
      </c>
      <c r="K21" s="287">
        <f t="shared" si="4"/>
        <v>207244.17</v>
      </c>
      <c r="L21" s="139"/>
      <c r="M21" s="139"/>
      <c r="N21" s="142"/>
      <c r="O21" s="141">
        <f>SUM(O20:O20)</f>
        <v>0</v>
      </c>
      <c r="P21" s="141">
        <f>SUM(P20:P20)</f>
        <v>0</v>
      </c>
      <c r="Q21" s="292"/>
      <c r="R21" s="337">
        <f>SUM(R20:R20)</f>
        <v>0</v>
      </c>
      <c r="S21" s="337">
        <f>SUM(S20:S20)</f>
        <v>0</v>
      </c>
      <c r="T21" s="337">
        <f>SUM(T20:T20)</f>
        <v>0</v>
      </c>
      <c r="U21" s="337">
        <f>SUM(U20:U20)</f>
        <v>0</v>
      </c>
      <c r="V21" s="337">
        <f>SUM(V20:V20)</f>
        <v>0</v>
      </c>
    </row>
    <row r="22" spans="1:22">
      <c r="A22" s="54" t="s">
        <v>213</v>
      </c>
      <c r="B22" s="54"/>
      <c r="C22" s="56"/>
      <c r="D22" s="57"/>
      <c r="E22" s="50">
        <f>60002.39/1.2</f>
        <v>50001.991666666669</v>
      </c>
      <c r="F22" s="50">
        <f>-E22*$F$10</f>
        <v>0</v>
      </c>
      <c r="G22" s="50">
        <f>E22*$G$10</f>
        <v>0</v>
      </c>
      <c r="H22" s="50"/>
      <c r="I22" s="50">
        <f>+E22+F22-G22-H22</f>
        <v>50001.991666666669</v>
      </c>
      <c r="J22" s="50">
        <f>+I22+(I22*$I$4)</f>
        <v>60002.39</v>
      </c>
      <c r="K22" s="50">
        <v>60002.39</v>
      </c>
      <c r="L22" s="51"/>
      <c r="M22" s="51"/>
      <c r="N22" s="52">
        <f>-IF(L22=0,,IF(M22=0,($C$10-L22),M22-L22))</f>
        <v>0</v>
      </c>
      <c r="O22" s="50">
        <f>+J22-K22</f>
        <v>0</v>
      </c>
      <c r="P22" s="50">
        <f>+IF($C$10&lt;L22,0,O22)</f>
        <v>0</v>
      </c>
      <c r="Q22" s="53"/>
      <c r="R22" s="316">
        <f>IF(N22&gt;=0,0,(IF(-N22&lt;=60,O22,0)))</f>
        <v>0</v>
      </c>
      <c r="S22" s="316">
        <f>IF(N22&gt;=0,0,(IF(N22&gt;=-60,0,IF(-60&gt;=N22,IF(N22&gt;=-120,O22,0)))))</f>
        <v>0</v>
      </c>
      <c r="T22" s="316">
        <f>IF(N22&gt;=0,0,(IF(N22&gt;-60,0,IF(-60&gt;=N22,IF(N22&gt;=-120,0,IF(N22&gt;=-180,O22,0))))))</f>
        <v>0</v>
      </c>
      <c r="U22" s="316">
        <f>IF(N22&gt;=0,0,(IF(N22&gt;-60,0,IF(-60&gt;=N22,IF(N22&gt;-120,0,IF(N22&gt;=-180,0,IF(N22&gt;=-365,O22,0)))))))</f>
        <v>0</v>
      </c>
      <c r="V22" s="316">
        <f>IF(N22&gt;=0,0,IF(365&lt;-N22,O22,0))</f>
        <v>0</v>
      </c>
    </row>
    <row r="23" spans="1:22" s="290" customFormat="1" ht="15">
      <c r="A23" s="138"/>
      <c r="B23" s="143"/>
      <c r="C23" s="286"/>
      <c r="D23" s="140"/>
      <c r="E23" s="141">
        <f t="shared" ref="E23:K23" si="5">SUM(E22:E22)</f>
        <v>50001.991666666669</v>
      </c>
      <c r="F23" s="141">
        <f t="shared" si="5"/>
        <v>0</v>
      </c>
      <c r="G23" s="141">
        <f t="shared" si="5"/>
        <v>0</v>
      </c>
      <c r="H23" s="141">
        <f t="shared" si="5"/>
        <v>0</v>
      </c>
      <c r="I23" s="141">
        <f t="shared" si="5"/>
        <v>50001.991666666669</v>
      </c>
      <c r="J23" s="287">
        <f t="shared" si="5"/>
        <v>60002.39</v>
      </c>
      <c r="K23" s="287">
        <f t="shared" si="5"/>
        <v>60002.39</v>
      </c>
      <c r="L23" s="139"/>
      <c r="M23" s="139"/>
      <c r="N23" s="142"/>
      <c r="O23" s="141">
        <f>SUM(O22)</f>
        <v>0</v>
      </c>
      <c r="P23" s="141">
        <f>SUM(P22)</f>
        <v>0</v>
      </c>
      <c r="Q23" s="292"/>
      <c r="R23" s="337">
        <f>SUM(R22)</f>
        <v>0</v>
      </c>
      <c r="S23" s="337">
        <f>SUM(S22)</f>
        <v>0</v>
      </c>
      <c r="T23" s="337">
        <f>SUM(T22)</f>
        <v>0</v>
      </c>
      <c r="U23" s="337">
        <f>SUM(U22)</f>
        <v>0</v>
      </c>
      <c r="V23" s="337">
        <f>SUM(V22)</f>
        <v>0</v>
      </c>
    </row>
    <row r="24" spans="1:22">
      <c r="A24" s="54" t="s">
        <v>214</v>
      </c>
      <c r="B24" s="54"/>
      <c r="C24" s="56"/>
      <c r="D24" s="57"/>
      <c r="E24" s="50">
        <f>3569238.79/1.2</f>
        <v>2974365.6583333337</v>
      </c>
      <c r="F24" s="50">
        <f>-E24*$F$10</f>
        <v>0</v>
      </c>
      <c r="G24" s="50">
        <f>E24*$G$10</f>
        <v>0</v>
      </c>
      <c r="H24" s="50"/>
      <c r="I24" s="50">
        <f>+E24+F24-G24-H24</f>
        <v>2974365.6583333337</v>
      </c>
      <c r="J24" s="50">
        <f>+I24+(I24*$I$4)</f>
        <v>3569238.7900000005</v>
      </c>
      <c r="K24" s="50">
        <v>3569238.7900000005</v>
      </c>
      <c r="L24" s="51"/>
      <c r="M24" s="51"/>
      <c r="N24" s="52">
        <f>-IF(L24=0,,IF(M24=0,($C$10-L24),M24-L24))</f>
        <v>0</v>
      </c>
      <c r="O24" s="50">
        <f>+J24-K24</f>
        <v>0</v>
      </c>
      <c r="P24" s="50">
        <f>+IF($C$10&lt;L24,0,O24)</f>
        <v>0</v>
      </c>
      <c r="Q24" s="53"/>
      <c r="R24" s="316">
        <f>IF(N24&gt;=0,0,(IF(-N24&lt;=60,O24,0)))</f>
        <v>0</v>
      </c>
      <c r="S24" s="316">
        <f>IF(N24&gt;=0,0,(IF(N24&gt;=-60,0,IF(-60&gt;=N24,IF(N24&gt;=-120,O24,0)))))</f>
        <v>0</v>
      </c>
      <c r="T24" s="316">
        <f>IF(N24&gt;=0,0,(IF(N24&gt;-60,0,IF(-60&gt;=N24,IF(N24&gt;=-120,0,IF(N24&gt;=-180,O24,0))))))</f>
        <v>0</v>
      </c>
      <c r="U24" s="316">
        <f>IF(N24&gt;=0,0,(IF(N24&gt;-60,0,IF(-60&gt;=N24,IF(N24&gt;-120,0,IF(N24&gt;=-180,0,IF(N24&gt;=-365,O24,0)))))))</f>
        <v>0</v>
      </c>
      <c r="V24" s="316">
        <f>IF(N24&gt;=0,0,IF(365&lt;-N24,O24,0))</f>
        <v>0</v>
      </c>
    </row>
    <row r="25" spans="1:22" s="290" customFormat="1" ht="15">
      <c r="A25" s="138"/>
      <c r="B25" s="138"/>
      <c r="C25" s="286"/>
      <c r="D25" s="140"/>
      <c r="E25" s="141">
        <f t="shared" ref="E25:K25" si="6">SUM(E24:E24)</f>
        <v>2974365.6583333337</v>
      </c>
      <c r="F25" s="141">
        <f t="shared" si="6"/>
        <v>0</v>
      </c>
      <c r="G25" s="141">
        <f t="shared" si="6"/>
        <v>0</v>
      </c>
      <c r="H25" s="141">
        <f t="shared" si="6"/>
        <v>0</v>
      </c>
      <c r="I25" s="141">
        <f t="shared" si="6"/>
        <v>2974365.6583333337</v>
      </c>
      <c r="J25" s="287">
        <f t="shared" si="6"/>
        <v>3569238.7900000005</v>
      </c>
      <c r="K25" s="287">
        <f t="shared" si="6"/>
        <v>3569238.7900000005</v>
      </c>
      <c r="L25" s="139"/>
      <c r="M25" s="139"/>
      <c r="N25" s="142"/>
      <c r="O25" s="141">
        <f>SUM(O24:O24)</f>
        <v>0</v>
      </c>
      <c r="P25" s="141">
        <f>SUM(P24:P24)</f>
        <v>0</v>
      </c>
      <c r="Q25" s="292"/>
      <c r="R25" s="337">
        <f>SUM(R24:R24)</f>
        <v>0</v>
      </c>
      <c r="S25" s="337">
        <f>SUM(S24:S24)</f>
        <v>0</v>
      </c>
      <c r="T25" s="337">
        <f>SUM(T24:T24)</f>
        <v>0</v>
      </c>
      <c r="U25" s="337">
        <f>SUM(U24:U24)</f>
        <v>0</v>
      </c>
      <c r="V25" s="337">
        <f>SUM(V24:V24)</f>
        <v>0</v>
      </c>
    </row>
    <row r="26" spans="1:22">
      <c r="A26" s="54" t="s">
        <v>121</v>
      </c>
      <c r="B26" s="54"/>
      <c r="C26" s="56"/>
      <c r="D26" s="57"/>
      <c r="E26" s="50">
        <f>153511.36/1.2</f>
        <v>127926.13333333333</v>
      </c>
      <c r="F26" s="50">
        <f>-E26*$F$10</f>
        <v>0</v>
      </c>
      <c r="G26" s="50">
        <f>E26*$G$10</f>
        <v>0</v>
      </c>
      <c r="H26" s="50"/>
      <c r="I26" s="50">
        <f>+E26+F26-G26-H26</f>
        <v>127926.13333333333</v>
      </c>
      <c r="J26" s="50">
        <f>+I26+(I26*$I$4)</f>
        <v>153511.35999999999</v>
      </c>
      <c r="K26" s="50">
        <v>153511.35999999999</v>
      </c>
      <c r="L26" s="51"/>
      <c r="M26" s="51"/>
      <c r="N26" s="52">
        <f>-IF(L26=0,,IF(M26=0,($C$10-L26),M26-L26))</f>
        <v>0</v>
      </c>
      <c r="O26" s="50">
        <f>+J26-K26</f>
        <v>0</v>
      </c>
      <c r="P26" s="50">
        <f>+IF($C$10&lt;L26,0,O26)</f>
        <v>0</v>
      </c>
      <c r="Q26" s="53"/>
      <c r="R26" s="316">
        <f>IF(N26&gt;=0,0,(IF(-N26&lt;=60,O26,0)))</f>
        <v>0</v>
      </c>
      <c r="S26" s="316">
        <f>IF(N26&gt;=0,0,(IF(N26&gt;=-60,0,IF(-60&gt;=N26,IF(N26&gt;=-120,O26,0)))))</f>
        <v>0</v>
      </c>
      <c r="T26" s="316">
        <f>IF(N26&gt;=0,0,(IF(N26&gt;-60,0,IF(-60&gt;=N26,IF(N26&gt;=-120,0,IF(N26&gt;=-180,O26,0))))))</f>
        <v>0</v>
      </c>
      <c r="U26" s="316">
        <f>IF(N26&gt;=0,0,(IF(N26&gt;-60,0,IF(-60&gt;=N26,IF(N26&gt;-120,0,IF(N26&gt;=-180,0,IF(N26&gt;=-365,O26,0)))))))</f>
        <v>0</v>
      </c>
      <c r="V26" s="316">
        <f>IF(N26&gt;=0,0,IF(365&lt;-N26,O26,0))</f>
        <v>0</v>
      </c>
    </row>
    <row r="27" spans="1:22" s="290" customFormat="1" ht="15">
      <c r="A27" s="138"/>
      <c r="B27" s="143"/>
      <c r="C27" s="286"/>
      <c r="D27" s="140"/>
      <c r="E27" s="141">
        <f t="shared" ref="E27:K27" si="7">SUM(E26:E26)</f>
        <v>127926.13333333333</v>
      </c>
      <c r="F27" s="141">
        <f t="shared" si="7"/>
        <v>0</v>
      </c>
      <c r="G27" s="141">
        <f t="shared" si="7"/>
        <v>0</v>
      </c>
      <c r="H27" s="141">
        <f t="shared" si="7"/>
        <v>0</v>
      </c>
      <c r="I27" s="141">
        <f t="shared" si="7"/>
        <v>127926.13333333333</v>
      </c>
      <c r="J27" s="287">
        <f t="shared" si="7"/>
        <v>153511.35999999999</v>
      </c>
      <c r="K27" s="287">
        <f t="shared" si="7"/>
        <v>153511.35999999999</v>
      </c>
      <c r="L27" s="139"/>
      <c r="M27" s="139"/>
      <c r="N27" s="142"/>
      <c r="O27" s="141">
        <f>SUM(O26)</f>
        <v>0</v>
      </c>
      <c r="P27" s="141">
        <f>SUM(P26)</f>
        <v>0</v>
      </c>
      <c r="Q27" s="292"/>
      <c r="R27" s="337">
        <f>SUM(R26)</f>
        <v>0</v>
      </c>
      <c r="S27" s="337">
        <f>SUM(S26)</f>
        <v>0</v>
      </c>
      <c r="T27" s="337">
        <f>SUM(T26)</f>
        <v>0</v>
      </c>
      <c r="U27" s="337">
        <f>SUM(U26)</f>
        <v>0</v>
      </c>
      <c r="V27" s="337">
        <f>SUM(V26)</f>
        <v>0</v>
      </c>
    </row>
    <row r="28" spans="1:22">
      <c r="A28" s="54" t="s">
        <v>215</v>
      </c>
      <c r="B28" s="54"/>
      <c r="C28" s="56"/>
      <c r="D28" s="57"/>
      <c r="E28" s="50">
        <f>230369.67/1.2</f>
        <v>191974.72500000001</v>
      </c>
      <c r="F28" s="50">
        <f>-E28*$F$10</f>
        <v>0</v>
      </c>
      <c r="G28" s="50">
        <f>E28*$G$10</f>
        <v>0</v>
      </c>
      <c r="H28" s="50"/>
      <c r="I28" s="50">
        <f>+E28+F28-G28-H28</f>
        <v>191974.72500000001</v>
      </c>
      <c r="J28" s="50">
        <f>+I28+(I28*$I$4)</f>
        <v>230369.67</v>
      </c>
      <c r="K28" s="50">
        <v>230369.67</v>
      </c>
      <c r="L28" s="51"/>
      <c r="M28" s="51"/>
      <c r="N28" s="52">
        <f>-IF(L28=0,,IF(M28=0,($C$10-L28),M28-L28))</f>
        <v>0</v>
      </c>
      <c r="O28" s="50">
        <f>+J28-K28</f>
        <v>0</v>
      </c>
      <c r="P28" s="50">
        <f>+IF($C$10&lt;L28,0,O28)</f>
        <v>0</v>
      </c>
      <c r="Q28" s="53"/>
      <c r="R28" s="316">
        <f>IF(N28&gt;=0,0,(IF(-N28&lt;=60,O28,0)))</f>
        <v>0</v>
      </c>
      <c r="S28" s="316">
        <f>IF(N28&gt;=0,0,(IF(N28&gt;=-60,0,IF(-60&gt;=N28,IF(N28&gt;=-120,O28,0)))))</f>
        <v>0</v>
      </c>
      <c r="T28" s="316">
        <f>IF(N28&gt;=0,0,(IF(N28&gt;-60,0,IF(-60&gt;=N28,IF(N28&gt;=-120,0,IF(N28&gt;=-180,O28,0))))))</f>
        <v>0</v>
      </c>
      <c r="U28" s="316">
        <f>IF(N28&gt;=0,0,(IF(N28&gt;-60,0,IF(-60&gt;=N28,IF(N28&gt;-120,0,IF(N28&gt;=-180,0,IF(N28&gt;=-365,O28,0)))))))</f>
        <v>0</v>
      </c>
      <c r="V28" s="316">
        <f>IF(N28&gt;=0,0,IF(365&lt;-N28,O28,0))</f>
        <v>0</v>
      </c>
    </row>
    <row r="29" spans="1:22" s="290" customFormat="1" ht="15">
      <c r="A29" s="138"/>
      <c r="B29" s="143"/>
      <c r="C29" s="286"/>
      <c r="D29" s="140"/>
      <c r="E29" s="141">
        <f t="shared" ref="E29:K29" si="8">SUM(E28:E28)</f>
        <v>191974.72500000001</v>
      </c>
      <c r="F29" s="141">
        <f t="shared" si="8"/>
        <v>0</v>
      </c>
      <c r="G29" s="141">
        <f t="shared" si="8"/>
        <v>0</v>
      </c>
      <c r="H29" s="141">
        <f t="shared" si="8"/>
        <v>0</v>
      </c>
      <c r="I29" s="141">
        <f t="shared" si="8"/>
        <v>191974.72500000001</v>
      </c>
      <c r="J29" s="287">
        <f t="shared" si="8"/>
        <v>230369.67</v>
      </c>
      <c r="K29" s="287">
        <f t="shared" si="8"/>
        <v>230369.67</v>
      </c>
      <c r="L29" s="139"/>
      <c r="M29" s="139"/>
      <c r="N29" s="142"/>
      <c r="O29" s="141">
        <f>SUM(O28:O28)</f>
        <v>0</v>
      </c>
      <c r="P29" s="141">
        <f>SUM(P28:P28)</f>
        <v>0</v>
      </c>
      <c r="Q29" s="292"/>
      <c r="R29" s="337">
        <f>SUM(R28:R28)</f>
        <v>0</v>
      </c>
      <c r="S29" s="337">
        <f>SUM(S28:S28)</f>
        <v>0</v>
      </c>
      <c r="T29" s="337">
        <f>SUM(T28:T28)</f>
        <v>0</v>
      </c>
      <c r="U29" s="337">
        <f>SUM(U28:U28)</f>
        <v>0</v>
      </c>
      <c r="V29" s="337">
        <f>SUM(V28:V28)</f>
        <v>0</v>
      </c>
    </row>
    <row r="30" spans="1:22">
      <c r="A30" s="54" t="s">
        <v>216</v>
      </c>
      <c r="B30" s="54"/>
      <c r="C30" s="56"/>
      <c r="D30" s="57"/>
      <c r="E30" s="50">
        <f>735.22/1.2</f>
        <v>612.68333333333339</v>
      </c>
      <c r="F30" s="50">
        <f>-E30*$F$10</f>
        <v>0</v>
      </c>
      <c r="G30" s="50">
        <f>E30*$G$10</f>
        <v>0</v>
      </c>
      <c r="H30" s="50"/>
      <c r="I30" s="50">
        <f>+E30+F30-G30-H30</f>
        <v>612.68333333333339</v>
      </c>
      <c r="J30" s="50">
        <f>+I30+(I30*$I$4)</f>
        <v>735.22</v>
      </c>
      <c r="K30" s="50">
        <v>735.22</v>
      </c>
      <c r="L30" s="51"/>
      <c r="M30" s="51"/>
      <c r="N30" s="52">
        <f>-IF(L30=0,,IF(M30=0,($C$10-L30),M30-L30))</f>
        <v>0</v>
      </c>
      <c r="O30" s="50">
        <f>+J30-K30</f>
        <v>0</v>
      </c>
      <c r="P30" s="50">
        <f>+IF($C$10&lt;L30,0,O30)</f>
        <v>0</v>
      </c>
      <c r="Q30" s="53"/>
      <c r="R30" s="316">
        <f>IF(N30&gt;=0,0,(IF(-N30&lt;=60,O30,0)))</f>
        <v>0</v>
      </c>
      <c r="S30" s="316">
        <f>IF(N30&gt;=0,0,(IF(N30&gt;=-60,0,IF(-60&gt;=N30,IF(N30&gt;=-120,O30,0)))))</f>
        <v>0</v>
      </c>
      <c r="T30" s="316">
        <f>IF(N30&gt;=0,0,(IF(N30&gt;-60,0,IF(-60&gt;=N30,IF(N30&gt;=-120,0,IF(N30&gt;=-180,O30,0))))))</f>
        <v>0</v>
      </c>
      <c r="U30" s="316">
        <f>IF(N30&gt;=0,0,(IF(N30&gt;-60,0,IF(-60&gt;=N30,IF(N30&gt;-120,0,IF(N30&gt;=-180,0,IF(N30&gt;=-365,O30,0)))))))</f>
        <v>0</v>
      </c>
      <c r="V30" s="316">
        <f>IF(N30&gt;=0,0,IF(365&lt;-N30,O30,0))</f>
        <v>0</v>
      </c>
    </row>
    <row r="31" spans="1:22" s="290" customFormat="1" ht="15">
      <c r="A31" s="138"/>
      <c r="B31" s="143"/>
      <c r="C31" s="286"/>
      <c r="D31" s="140"/>
      <c r="E31" s="141">
        <f t="shared" ref="E31:K31" si="9">SUM(E30:E30)</f>
        <v>612.68333333333339</v>
      </c>
      <c r="F31" s="141">
        <f t="shared" si="9"/>
        <v>0</v>
      </c>
      <c r="G31" s="141">
        <f t="shared" si="9"/>
        <v>0</v>
      </c>
      <c r="H31" s="141">
        <f t="shared" si="9"/>
        <v>0</v>
      </c>
      <c r="I31" s="141">
        <f t="shared" si="9"/>
        <v>612.68333333333339</v>
      </c>
      <c r="J31" s="287">
        <f t="shared" si="9"/>
        <v>735.22</v>
      </c>
      <c r="K31" s="287">
        <f t="shared" si="9"/>
        <v>735.22</v>
      </c>
      <c r="L31" s="139"/>
      <c r="M31" s="139"/>
      <c r="N31" s="142"/>
      <c r="O31" s="141">
        <f>SUM(O30:O30)</f>
        <v>0</v>
      </c>
      <c r="P31" s="141">
        <f>SUM(P30:P30)</f>
        <v>0</v>
      </c>
      <c r="Q31" s="292"/>
      <c r="R31" s="337">
        <f>SUM(R30:R30)</f>
        <v>0</v>
      </c>
      <c r="S31" s="337">
        <f>SUM(S30:S30)</f>
        <v>0</v>
      </c>
      <c r="T31" s="337">
        <f>SUM(T30:T30)</f>
        <v>0</v>
      </c>
      <c r="U31" s="337">
        <f>SUM(U30:U30)</f>
        <v>0</v>
      </c>
      <c r="V31" s="337">
        <f>SUM(V30:V30)</f>
        <v>0</v>
      </c>
    </row>
    <row r="32" spans="1:22">
      <c r="A32" s="54" t="s">
        <v>217</v>
      </c>
      <c r="B32" s="54"/>
      <c r="C32" s="56"/>
      <c r="D32" s="57"/>
      <c r="E32" s="50">
        <f>64954.55/1.2</f>
        <v>54128.791666666672</v>
      </c>
      <c r="F32" s="50">
        <f>-E32*$F$10</f>
        <v>0</v>
      </c>
      <c r="G32" s="50">
        <f>E32*$G$10</f>
        <v>0</v>
      </c>
      <c r="H32" s="50"/>
      <c r="I32" s="50">
        <f>+E32+F32-G32-H32</f>
        <v>54128.791666666672</v>
      </c>
      <c r="J32" s="50">
        <f>+I32+(I32*$I$4)</f>
        <v>64954.55</v>
      </c>
      <c r="K32" s="50">
        <v>64954.55</v>
      </c>
      <c r="L32" s="51"/>
      <c r="M32" s="51"/>
      <c r="N32" s="52">
        <f>-IF(L32=0,,IF(M32=0,($C$10-L32),M32-L32))</f>
        <v>0</v>
      </c>
      <c r="O32" s="50">
        <f>+J32-K32</f>
        <v>0</v>
      </c>
      <c r="P32" s="50">
        <f>+IF($C$10&lt;L32,0,O32)</f>
        <v>0</v>
      </c>
      <c r="Q32" s="53"/>
      <c r="R32" s="316">
        <f>IF(N32&gt;=0,0,(IF(-N32&lt;=60,O32,0)))</f>
        <v>0</v>
      </c>
      <c r="S32" s="316">
        <f>IF(N32&gt;=0,0,(IF(N32&gt;=-60,0,IF(-60&gt;=N32,IF(N32&gt;=-120,O32,0)))))</f>
        <v>0</v>
      </c>
      <c r="T32" s="316">
        <f>IF(N32&gt;=0,0,(IF(N32&gt;-60,0,IF(-60&gt;=N32,IF(N32&gt;=-120,0,IF(N32&gt;=-180,O32,0))))))</f>
        <v>0</v>
      </c>
      <c r="U32" s="316">
        <f>IF(N32&gt;=0,0,(IF(N32&gt;-60,0,IF(-60&gt;=N32,IF(N32&gt;-120,0,IF(N32&gt;=-180,0,IF(N32&gt;=-365,O32,0)))))))</f>
        <v>0</v>
      </c>
      <c r="V32" s="316">
        <f>IF(N32&gt;=0,0,IF(365&lt;-N32,O32,0))</f>
        <v>0</v>
      </c>
    </row>
    <row r="33" spans="1:22" s="290" customFormat="1" ht="15">
      <c r="A33" s="138"/>
      <c r="B33" s="143"/>
      <c r="C33" s="286"/>
      <c r="D33" s="140"/>
      <c r="E33" s="141">
        <f t="shared" ref="E33:K33" si="10">SUM(E32:E32)</f>
        <v>54128.791666666672</v>
      </c>
      <c r="F33" s="141">
        <f t="shared" si="10"/>
        <v>0</v>
      </c>
      <c r="G33" s="141">
        <f t="shared" si="10"/>
        <v>0</v>
      </c>
      <c r="H33" s="141">
        <f t="shared" si="10"/>
        <v>0</v>
      </c>
      <c r="I33" s="141">
        <f t="shared" si="10"/>
        <v>54128.791666666672</v>
      </c>
      <c r="J33" s="287">
        <f t="shared" si="10"/>
        <v>64954.55</v>
      </c>
      <c r="K33" s="287">
        <f t="shared" si="10"/>
        <v>64954.55</v>
      </c>
      <c r="L33" s="139"/>
      <c r="M33" s="139"/>
      <c r="N33" s="142"/>
      <c r="O33" s="141">
        <f>SUM(O32:O32)</f>
        <v>0</v>
      </c>
      <c r="P33" s="141">
        <f>SUM(P32:P32)</f>
        <v>0</v>
      </c>
      <c r="Q33" s="292"/>
      <c r="R33" s="337">
        <f>SUM(R32:R32)</f>
        <v>0</v>
      </c>
      <c r="S33" s="337">
        <f>SUM(S32:S32)</f>
        <v>0</v>
      </c>
      <c r="T33" s="337">
        <f>SUM(T32:T32)</f>
        <v>0</v>
      </c>
      <c r="U33" s="337">
        <f>SUM(U32:U32)</f>
        <v>0</v>
      </c>
      <c r="V33" s="337">
        <f>SUM(V32:V32)</f>
        <v>0</v>
      </c>
    </row>
    <row r="34" spans="1:22">
      <c r="A34" s="54" t="s">
        <v>218</v>
      </c>
      <c r="B34" s="54"/>
      <c r="C34" s="56"/>
      <c r="D34" s="57"/>
      <c r="E34" s="50">
        <f>238972.44/1.2</f>
        <v>199143.7</v>
      </c>
      <c r="F34" s="50">
        <f>-E34*$F$10</f>
        <v>0</v>
      </c>
      <c r="G34" s="50">
        <f>E34*$G$10</f>
        <v>0</v>
      </c>
      <c r="H34" s="50"/>
      <c r="I34" s="50">
        <f>+E34+F34-G34-H34</f>
        <v>199143.7</v>
      </c>
      <c r="J34" s="50">
        <f>+I34+(I34*$I$4)</f>
        <v>238972.44</v>
      </c>
      <c r="K34" s="50">
        <v>238972.44</v>
      </c>
      <c r="L34" s="51"/>
      <c r="M34" s="293"/>
      <c r="N34" s="52">
        <f>-IF(L34=0,,IF(M34=0,($C$10-L34),M34-L34))</f>
        <v>0</v>
      </c>
      <c r="O34" s="50">
        <f>+J34-K34</f>
        <v>0</v>
      </c>
      <c r="P34" s="50">
        <f>+IF($C$10&lt;L34,0,O34)</f>
        <v>0</v>
      </c>
      <c r="Q34" s="53"/>
      <c r="R34" s="316">
        <f>IF(N34&gt;=0,0,(IF(-N34&lt;=60,O34,0)))</f>
        <v>0</v>
      </c>
      <c r="S34" s="316">
        <f>IF(N34&gt;=0,0,(IF(N34&gt;=-60,0,IF(-60&gt;=N34,IF(N34&gt;=-120,O34,0)))))</f>
        <v>0</v>
      </c>
      <c r="T34" s="316">
        <f>IF(N34&gt;=0,0,(IF(N34&gt;-60,0,IF(-60&gt;=N34,IF(N34&gt;=-120,0,IF(N34&gt;=-180,O34,0))))))</f>
        <v>0</v>
      </c>
      <c r="U34" s="316">
        <f>IF(N34&gt;=0,0,(IF(N34&gt;-60,0,IF(-60&gt;=N34,IF(N34&gt;-120,0,IF(N34&gt;=-180,0,IF(N34&gt;=-365,O34,0)))))))</f>
        <v>0</v>
      </c>
      <c r="V34" s="316">
        <f>IF(N34&gt;=0,0,IF(365&lt;-N34,O34,0))</f>
        <v>0</v>
      </c>
    </row>
    <row r="35" spans="1:22" s="290" customFormat="1" ht="15">
      <c r="A35" s="138"/>
      <c r="B35" s="138"/>
      <c r="C35" s="286"/>
      <c r="D35" s="140"/>
      <c r="E35" s="141">
        <f t="shared" ref="E35:K35" si="11">SUM(E34:E34)</f>
        <v>199143.7</v>
      </c>
      <c r="F35" s="141">
        <f t="shared" si="11"/>
        <v>0</v>
      </c>
      <c r="G35" s="141">
        <f t="shared" si="11"/>
        <v>0</v>
      </c>
      <c r="H35" s="141">
        <f t="shared" si="11"/>
        <v>0</v>
      </c>
      <c r="I35" s="141">
        <f t="shared" si="11"/>
        <v>199143.7</v>
      </c>
      <c r="J35" s="287">
        <f t="shared" si="11"/>
        <v>238972.44</v>
      </c>
      <c r="K35" s="287">
        <f t="shared" si="11"/>
        <v>238972.44</v>
      </c>
      <c r="L35" s="139"/>
      <c r="M35" s="294"/>
      <c r="N35" s="142"/>
      <c r="O35" s="141">
        <f>SUM(O34:O34)</f>
        <v>0</v>
      </c>
      <c r="P35" s="141">
        <f>SUM(P34:P34)</f>
        <v>0</v>
      </c>
      <c r="Q35" s="292"/>
      <c r="R35" s="337">
        <f>SUM(R34:R34)</f>
        <v>0</v>
      </c>
      <c r="S35" s="337">
        <f>SUM(S34:S34)</f>
        <v>0</v>
      </c>
      <c r="T35" s="337">
        <f>SUM(T34:T34)</f>
        <v>0</v>
      </c>
      <c r="U35" s="337">
        <f>SUM(U34:U34)</f>
        <v>0</v>
      </c>
      <c r="V35" s="337">
        <f>SUM(V34:V34)</f>
        <v>0</v>
      </c>
    </row>
    <row r="36" spans="1:22">
      <c r="A36" s="54" t="s">
        <v>219</v>
      </c>
      <c r="B36" s="54"/>
      <c r="C36" s="56"/>
      <c r="D36" s="57"/>
      <c r="E36" s="50">
        <f>2431.5/1.2</f>
        <v>2026.25</v>
      </c>
      <c r="F36" s="50">
        <f>-E36*$F$10</f>
        <v>0</v>
      </c>
      <c r="G36" s="50">
        <f>E36*$G$10</f>
        <v>0</v>
      </c>
      <c r="H36" s="50"/>
      <c r="I36" s="50">
        <f>+E36+F36-G36-H36</f>
        <v>2026.25</v>
      </c>
      <c r="J36" s="50">
        <f>+I36+(I36*$I$4)</f>
        <v>2431.5</v>
      </c>
      <c r="K36" s="50">
        <v>2431.5</v>
      </c>
      <c r="L36" s="51"/>
      <c r="M36" s="293"/>
      <c r="N36" s="52">
        <f>-IF(L36=0,,IF(M36=0,($C$10-L36),M36-L36))</f>
        <v>0</v>
      </c>
      <c r="O36" s="50">
        <f>+J36-K36</f>
        <v>0</v>
      </c>
      <c r="P36" s="50">
        <f>+IF($C$10&lt;L36,0,O36)</f>
        <v>0</v>
      </c>
      <c r="Q36" s="53"/>
      <c r="R36" s="316">
        <f>IF(N36&gt;=0,0,(IF(-N36&lt;=60,O36,0)))</f>
        <v>0</v>
      </c>
      <c r="S36" s="316">
        <f>IF(N36&gt;=0,0,(IF(N36&gt;=-60,0,IF(-60&gt;=N36,IF(N36&gt;=-120,O36,0)))))</f>
        <v>0</v>
      </c>
      <c r="T36" s="316">
        <f>IF(N36&gt;=0,0,(IF(N36&gt;-60,0,IF(-60&gt;=N36,IF(N36&gt;=-120,0,IF(N36&gt;=-180,O36,0))))))</f>
        <v>0</v>
      </c>
      <c r="U36" s="316">
        <f>IF(N36&gt;=0,0,(IF(N36&gt;-60,0,IF(-60&gt;=N36,IF(N36&gt;-120,0,IF(N36&gt;=-180,0,IF(N36&gt;=-365,O36,0)))))))</f>
        <v>0</v>
      </c>
      <c r="V36" s="316">
        <f>IF(N36&gt;=0,0,IF(365&lt;-N36,O36,0))</f>
        <v>0</v>
      </c>
    </row>
    <row r="37" spans="1:22" s="290" customFormat="1" ht="15">
      <c r="A37" s="138"/>
      <c r="B37" s="138"/>
      <c r="C37" s="286"/>
      <c r="D37" s="140"/>
      <c r="E37" s="141">
        <f t="shared" ref="E37:K37" si="12">SUM(E36:E36)</f>
        <v>2026.25</v>
      </c>
      <c r="F37" s="141">
        <f t="shared" si="12"/>
        <v>0</v>
      </c>
      <c r="G37" s="141">
        <f t="shared" si="12"/>
        <v>0</v>
      </c>
      <c r="H37" s="141">
        <f t="shared" si="12"/>
        <v>0</v>
      </c>
      <c r="I37" s="141">
        <f t="shared" si="12"/>
        <v>2026.25</v>
      </c>
      <c r="J37" s="287">
        <f t="shared" si="12"/>
        <v>2431.5</v>
      </c>
      <c r="K37" s="287">
        <f t="shared" si="12"/>
        <v>2431.5</v>
      </c>
      <c r="L37" s="139"/>
      <c r="M37" s="294"/>
      <c r="N37" s="142"/>
      <c r="O37" s="141">
        <f>SUM(O36:O36)</f>
        <v>0</v>
      </c>
      <c r="P37" s="141">
        <f>SUM(P36:P36)</f>
        <v>0</v>
      </c>
      <c r="Q37" s="292"/>
      <c r="R37" s="337">
        <f>SUM(R36:R36)</f>
        <v>0</v>
      </c>
      <c r="S37" s="337">
        <f>SUM(S36:S36)</f>
        <v>0</v>
      </c>
      <c r="T37" s="337">
        <f>SUM(T36:T36)</f>
        <v>0</v>
      </c>
      <c r="U37" s="337">
        <f>SUM(U36:U36)</f>
        <v>0</v>
      </c>
      <c r="V37" s="337">
        <f>SUM(V36:V36)</f>
        <v>0</v>
      </c>
    </row>
    <row r="38" spans="1:22">
      <c r="A38" s="54" t="s">
        <v>220</v>
      </c>
      <c r="B38" s="54"/>
      <c r="C38" s="56"/>
      <c r="D38" s="57"/>
      <c r="E38" s="50">
        <f>18414.05/1.2</f>
        <v>15345.041666666666</v>
      </c>
      <c r="F38" s="50">
        <f>-E38*$F$10</f>
        <v>0</v>
      </c>
      <c r="G38" s="50">
        <f>E38*$G$10</f>
        <v>0</v>
      </c>
      <c r="H38" s="50"/>
      <c r="I38" s="50">
        <f>+E38+F38-G38-H38</f>
        <v>15345.041666666666</v>
      </c>
      <c r="J38" s="50">
        <f>+I38+(I38*$I$4)</f>
        <v>18414.05</v>
      </c>
      <c r="K38" s="50">
        <v>18414.05</v>
      </c>
      <c r="L38" s="51"/>
      <c r="M38" s="293"/>
      <c r="N38" s="52">
        <f>-IF(L38=0,,IF(M38=0,($C$10-L38),M38-L38))</f>
        <v>0</v>
      </c>
      <c r="O38" s="50">
        <f>+J38-K38</f>
        <v>0</v>
      </c>
      <c r="P38" s="50">
        <f>+IF($C$10&lt;L38,0,O38)</f>
        <v>0</v>
      </c>
      <c r="Q38" s="53"/>
      <c r="R38" s="316">
        <f>IF(N38&gt;=0,0,(IF(-N38&lt;=60,O38,0)))</f>
        <v>0</v>
      </c>
      <c r="S38" s="316">
        <f>IF(N38&gt;=0,0,(IF(N38&gt;=-60,0,IF(-60&gt;=N38,IF(N38&gt;=-120,O38,0)))))</f>
        <v>0</v>
      </c>
      <c r="T38" s="316">
        <f>IF(N38&gt;=0,0,(IF(N38&gt;-60,0,IF(-60&gt;=N38,IF(N38&gt;=-120,0,IF(N38&gt;=-180,O38,0))))))</f>
        <v>0</v>
      </c>
      <c r="U38" s="316">
        <f>IF(N38&gt;=0,0,(IF(N38&gt;-60,0,IF(-60&gt;=N38,IF(N38&gt;-120,0,IF(N38&gt;=-180,0,IF(N38&gt;=-365,O38,0)))))))</f>
        <v>0</v>
      </c>
      <c r="V38" s="316">
        <f>IF(N38&gt;=0,0,IF(365&lt;-N38,O38,0))</f>
        <v>0</v>
      </c>
    </row>
    <row r="39" spans="1:22" s="290" customFormat="1" ht="15">
      <c r="A39" s="138"/>
      <c r="B39" s="138"/>
      <c r="C39" s="286"/>
      <c r="D39" s="140"/>
      <c r="E39" s="141">
        <f t="shared" ref="E39:K39" si="13">SUM(E38:E38)</f>
        <v>15345.041666666666</v>
      </c>
      <c r="F39" s="141">
        <f t="shared" si="13"/>
        <v>0</v>
      </c>
      <c r="G39" s="141">
        <f t="shared" si="13"/>
        <v>0</v>
      </c>
      <c r="H39" s="141">
        <f t="shared" si="13"/>
        <v>0</v>
      </c>
      <c r="I39" s="141">
        <f t="shared" si="13"/>
        <v>15345.041666666666</v>
      </c>
      <c r="J39" s="287">
        <f t="shared" si="13"/>
        <v>18414.05</v>
      </c>
      <c r="K39" s="287">
        <f t="shared" si="13"/>
        <v>18414.05</v>
      </c>
      <c r="L39" s="139"/>
      <c r="M39" s="294"/>
      <c r="N39" s="142"/>
      <c r="O39" s="141">
        <f>SUM(O38:O38)</f>
        <v>0</v>
      </c>
      <c r="P39" s="141">
        <f>SUM(P38:P38)</f>
        <v>0</v>
      </c>
      <c r="Q39" s="292"/>
      <c r="R39" s="337">
        <f>SUM(R38:R38)</f>
        <v>0</v>
      </c>
      <c r="S39" s="337">
        <f>SUM(S38:S38)</f>
        <v>0</v>
      </c>
      <c r="T39" s="337">
        <f>SUM(T38:T38)</f>
        <v>0</v>
      </c>
      <c r="U39" s="337">
        <f>SUM(U38:U38)</f>
        <v>0</v>
      </c>
      <c r="V39" s="337">
        <f>SUM(V38:V38)</f>
        <v>0</v>
      </c>
    </row>
    <row r="40" spans="1:22">
      <c r="A40" s="54" t="s">
        <v>124</v>
      </c>
      <c r="B40" s="54"/>
      <c r="C40" s="56"/>
      <c r="D40" s="57"/>
      <c r="E40" s="50">
        <f>472475.11/1.2</f>
        <v>393729.25833333336</v>
      </c>
      <c r="F40" s="50">
        <f>-E40*$F$10</f>
        <v>0</v>
      </c>
      <c r="G40" s="50">
        <f>E40*$G$10</f>
        <v>0</v>
      </c>
      <c r="H40" s="50"/>
      <c r="I40" s="50">
        <f>+E40+F40-G40-H40</f>
        <v>393729.25833333336</v>
      </c>
      <c r="J40" s="50">
        <f>+I40+(I40*$I$4)</f>
        <v>472475.11000000004</v>
      </c>
      <c r="K40" s="50">
        <v>472475.11000000004</v>
      </c>
      <c r="L40" s="51"/>
      <c r="M40" s="293"/>
      <c r="N40" s="52">
        <f>-IF(L40=0,,IF(M40=0,($C$10-L40),M40-L40))</f>
        <v>0</v>
      </c>
      <c r="O40" s="50">
        <f>+J40-K40</f>
        <v>0</v>
      </c>
      <c r="P40" s="50">
        <f>+IF($C$10&lt;L40,0,O40)</f>
        <v>0</v>
      </c>
      <c r="Q40" s="53"/>
      <c r="R40" s="316">
        <f>IF(N40&gt;=0,0,(IF(-N40&lt;=60,O40,0)))</f>
        <v>0</v>
      </c>
      <c r="S40" s="316">
        <f>IF(N40&gt;=0,0,(IF(N40&gt;=-60,0,IF(-60&gt;=N40,IF(N40&gt;=-120,O40,0)))))</f>
        <v>0</v>
      </c>
      <c r="T40" s="316">
        <f>IF(N40&gt;=0,0,(IF(N40&gt;-60,0,IF(-60&gt;=N40,IF(N40&gt;=-120,0,IF(N40&gt;=-180,O40,0))))))</f>
        <v>0</v>
      </c>
      <c r="U40" s="316">
        <f>IF(N40&gt;=0,0,(IF(N40&gt;-60,0,IF(-60&gt;=N40,IF(N40&gt;-120,0,IF(N40&gt;=-180,0,IF(N40&gt;=-365,O40,0)))))))</f>
        <v>0</v>
      </c>
      <c r="V40" s="316">
        <f>IF(N40&gt;=0,0,IF(365&lt;-N40,O40,0))</f>
        <v>0</v>
      </c>
    </row>
    <row r="41" spans="1:22" s="290" customFormat="1" ht="15">
      <c r="A41" s="138"/>
      <c r="B41" s="138"/>
      <c r="C41" s="286"/>
      <c r="D41" s="140"/>
      <c r="E41" s="141">
        <f t="shared" ref="E41:K41" si="14">SUM(E40:E40)</f>
        <v>393729.25833333336</v>
      </c>
      <c r="F41" s="141">
        <f t="shared" si="14"/>
        <v>0</v>
      </c>
      <c r="G41" s="141">
        <f t="shared" si="14"/>
        <v>0</v>
      </c>
      <c r="H41" s="141">
        <f t="shared" si="14"/>
        <v>0</v>
      </c>
      <c r="I41" s="141">
        <f t="shared" si="14"/>
        <v>393729.25833333336</v>
      </c>
      <c r="J41" s="287">
        <f t="shared" si="14"/>
        <v>472475.11000000004</v>
      </c>
      <c r="K41" s="287">
        <f t="shared" si="14"/>
        <v>472475.11000000004</v>
      </c>
      <c r="L41" s="139"/>
      <c r="M41" s="294"/>
      <c r="N41" s="142"/>
      <c r="O41" s="141">
        <f>SUM(O40:O40)</f>
        <v>0</v>
      </c>
      <c r="P41" s="141">
        <f>SUM(P40:P40)</f>
        <v>0</v>
      </c>
      <c r="Q41" s="292"/>
      <c r="R41" s="337">
        <f>SUM(R40:R40)</f>
        <v>0</v>
      </c>
      <c r="S41" s="337">
        <f>SUM(S40:S40)</f>
        <v>0</v>
      </c>
      <c r="T41" s="337">
        <f>SUM(T40:T40)</f>
        <v>0</v>
      </c>
      <c r="U41" s="337">
        <f>SUM(U40:U40)</f>
        <v>0</v>
      </c>
      <c r="V41" s="337">
        <f>SUM(V40:V40)</f>
        <v>0</v>
      </c>
    </row>
    <row r="42" spans="1:22">
      <c r="A42" s="54" t="s">
        <v>127</v>
      </c>
      <c r="B42" s="54"/>
      <c r="C42" s="56"/>
      <c r="D42" s="57"/>
      <c r="E42" s="50">
        <f>7298324.01/1.2</f>
        <v>6081936.6749999998</v>
      </c>
      <c r="F42" s="50">
        <f>-E42*$F$10</f>
        <v>0</v>
      </c>
      <c r="G42" s="50">
        <f>E42*$G$10</f>
        <v>0</v>
      </c>
      <c r="H42" s="50"/>
      <c r="I42" s="50">
        <f>+E42+F42-G42-H42</f>
        <v>6081936.6749999998</v>
      </c>
      <c r="J42" s="50">
        <f>+I42+(I42*$I$4)</f>
        <v>7298324.0099999998</v>
      </c>
      <c r="K42" s="50">
        <v>7298324.0099999998</v>
      </c>
      <c r="L42" s="51"/>
      <c r="M42" s="51"/>
      <c r="N42" s="52">
        <f>-IF(L42=0,,IF(M42=0,($C$10-L42),M42-L42))</f>
        <v>0</v>
      </c>
      <c r="O42" s="50">
        <f>+J42-K42</f>
        <v>0</v>
      </c>
      <c r="P42" s="50">
        <f>+IF($C$10&lt;L42,0,O42)</f>
        <v>0</v>
      </c>
      <c r="Q42" s="53"/>
      <c r="R42" s="316">
        <f>IF(N42&gt;=0,0,(IF(-N42&lt;=60,O42,0)))</f>
        <v>0</v>
      </c>
      <c r="S42" s="316">
        <f>IF(N42&gt;=0,0,(IF(N42&gt;=-60,0,IF(-60&gt;=N42,IF(N42&gt;=-120,O42,0)))))</f>
        <v>0</v>
      </c>
      <c r="T42" s="316">
        <f>IF(N42&gt;=0,0,(IF(N42&gt;-60,0,IF(-60&gt;=N42,IF(N42&gt;=-120,0,IF(N42&gt;=-180,O42,0))))))</f>
        <v>0</v>
      </c>
      <c r="U42" s="316">
        <f>IF(N42&gt;=0,0,(IF(N42&gt;-60,0,IF(-60&gt;=N42,IF(N42&gt;-120,0,IF(N42&gt;=-180,0,IF(N42&gt;=-365,O42,0)))))))</f>
        <v>0</v>
      </c>
      <c r="V42" s="316">
        <f>IF(N42&gt;=0,0,IF(365&lt;-N42,O42,0))</f>
        <v>0</v>
      </c>
    </row>
    <row r="43" spans="1:22" s="290" customFormat="1" ht="15">
      <c r="A43" s="138"/>
      <c r="B43" s="143"/>
      <c r="C43" s="286"/>
      <c r="D43" s="140"/>
      <c r="E43" s="141">
        <f t="shared" ref="E43:K43" si="15">SUM(E42:E42)</f>
        <v>6081936.6749999998</v>
      </c>
      <c r="F43" s="141">
        <f t="shared" si="15"/>
        <v>0</v>
      </c>
      <c r="G43" s="141">
        <f t="shared" si="15"/>
        <v>0</v>
      </c>
      <c r="H43" s="141">
        <f t="shared" si="15"/>
        <v>0</v>
      </c>
      <c r="I43" s="141">
        <f t="shared" si="15"/>
        <v>6081936.6749999998</v>
      </c>
      <c r="J43" s="287">
        <f t="shared" si="15"/>
        <v>7298324.0099999998</v>
      </c>
      <c r="K43" s="287">
        <f t="shared" si="15"/>
        <v>7298324.0099999998</v>
      </c>
      <c r="L43" s="139"/>
      <c r="M43" s="139"/>
      <c r="N43" s="142"/>
      <c r="O43" s="141">
        <f>SUM(O42:O42)</f>
        <v>0</v>
      </c>
      <c r="P43" s="141">
        <f>SUM(P42:P42)</f>
        <v>0</v>
      </c>
      <c r="Q43" s="292"/>
      <c r="R43" s="337">
        <f>SUM(R42:R42)</f>
        <v>0</v>
      </c>
      <c r="S43" s="337">
        <f>SUM(S42:S42)</f>
        <v>0</v>
      </c>
      <c r="T43" s="337">
        <f>SUM(T42:T42)</f>
        <v>0</v>
      </c>
      <c r="U43" s="337">
        <f>SUM(U42:U42)</f>
        <v>0</v>
      </c>
      <c r="V43" s="337">
        <f>SUM(V42:V42)</f>
        <v>0</v>
      </c>
    </row>
    <row r="44" spans="1:22">
      <c r="A44" s="54" t="s">
        <v>221</v>
      </c>
      <c r="B44" s="54"/>
      <c r="C44" s="56"/>
      <c r="D44" s="57"/>
      <c r="E44" s="50">
        <f>316253.7/1.2</f>
        <v>263544.75</v>
      </c>
      <c r="F44" s="50">
        <f>-E44*$F$10</f>
        <v>0</v>
      </c>
      <c r="G44" s="50">
        <f>E44*$G$10</f>
        <v>0</v>
      </c>
      <c r="H44" s="50"/>
      <c r="I44" s="50">
        <f>+E44+F44-G44-H44</f>
        <v>263544.75</v>
      </c>
      <c r="J44" s="50">
        <f>+I44+(I44*$I$4)</f>
        <v>316253.7</v>
      </c>
      <c r="K44" s="50">
        <v>316253.7</v>
      </c>
      <c r="L44" s="51"/>
      <c r="M44" s="51"/>
      <c r="N44" s="52">
        <f>-IF(L44=0,,IF(M44=0,($C$10-L44),M44-L44))</f>
        <v>0</v>
      </c>
      <c r="O44" s="50">
        <f>+J44-K44</f>
        <v>0</v>
      </c>
      <c r="P44" s="50">
        <f>+IF($C$10&lt;L44,0,O44)</f>
        <v>0</v>
      </c>
      <c r="Q44" s="53"/>
      <c r="R44" s="316">
        <f>IF(N44&gt;=0,0,(IF(-N44&lt;=60,O44,0)))</f>
        <v>0</v>
      </c>
      <c r="S44" s="316">
        <f>IF(N44&gt;=0,0,(IF(N44&gt;=-60,0,IF(-60&gt;=N44,IF(N44&gt;=-120,O44,0)))))</f>
        <v>0</v>
      </c>
      <c r="T44" s="316">
        <f>IF(N44&gt;=0,0,(IF(N44&gt;-60,0,IF(-60&gt;=N44,IF(N44&gt;=-120,0,IF(N44&gt;=-180,O44,0))))))</f>
        <v>0</v>
      </c>
      <c r="U44" s="316">
        <f>IF(N44&gt;=0,0,(IF(N44&gt;-60,0,IF(-60&gt;=N44,IF(N44&gt;-120,0,IF(N44&gt;=-180,0,IF(N44&gt;=-365,O44,0)))))))</f>
        <v>0</v>
      </c>
      <c r="V44" s="316">
        <f>IF(N44&gt;=0,0,IF(365&lt;-N44,O44,0))</f>
        <v>0</v>
      </c>
    </row>
    <row r="45" spans="1:22" s="290" customFormat="1" ht="15">
      <c r="A45" s="138"/>
      <c r="B45" s="138"/>
      <c r="C45" s="286"/>
      <c r="D45" s="140"/>
      <c r="E45" s="141">
        <f t="shared" ref="E45:K45" si="16">SUM(E44:E44)</f>
        <v>263544.75</v>
      </c>
      <c r="F45" s="141">
        <f t="shared" si="16"/>
        <v>0</v>
      </c>
      <c r="G45" s="141">
        <f t="shared" si="16"/>
        <v>0</v>
      </c>
      <c r="H45" s="141">
        <f t="shared" si="16"/>
        <v>0</v>
      </c>
      <c r="I45" s="141">
        <f t="shared" si="16"/>
        <v>263544.75</v>
      </c>
      <c r="J45" s="287">
        <f t="shared" si="16"/>
        <v>316253.7</v>
      </c>
      <c r="K45" s="287">
        <f t="shared" si="16"/>
        <v>316253.7</v>
      </c>
      <c r="L45" s="139"/>
      <c r="M45" s="139"/>
      <c r="N45" s="142"/>
      <c r="O45" s="141">
        <f>SUM(O44:O44)</f>
        <v>0</v>
      </c>
      <c r="P45" s="141">
        <f>SUM(P44:P44)</f>
        <v>0</v>
      </c>
      <c r="Q45" s="292"/>
      <c r="R45" s="337">
        <f>SUM(R44:R44)</f>
        <v>0</v>
      </c>
      <c r="S45" s="337">
        <f>SUM(S44:S44)</f>
        <v>0</v>
      </c>
      <c r="T45" s="337">
        <f>SUM(T44:T44)</f>
        <v>0</v>
      </c>
      <c r="U45" s="337">
        <f>SUM(U44:U44)</f>
        <v>0</v>
      </c>
      <c r="V45" s="337">
        <f>SUM(V44:V44)</f>
        <v>0</v>
      </c>
    </row>
    <row r="46" spans="1:22">
      <c r="A46" s="54" t="s">
        <v>131</v>
      </c>
      <c r="B46" s="54"/>
      <c r="C46" s="56"/>
      <c r="D46" s="57"/>
      <c r="E46" s="50">
        <f>62190.05/1.2</f>
        <v>51825.041666666672</v>
      </c>
      <c r="F46" s="50">
        <f>-E46*$F$10</f>
        <v>0</v>
      </c>
      <c r="G46" s="50">
        <f>E46*$G$10</f>
        <v>0</v>
      </c>
      <c r="H46" s="50"/>
      <c r="I46" s="50">
        <f>+E46+F46-G46-H46</f>
        <v>51825.041666666672</v>
      </c>
      <c r="J46" s="50">
        <f>+I46+(I46*$I$4)</f>
        <v>62190.05</v>
      </c>
      <c r="K46" s="50">
        <v>62190.05</v>
      </c>
      <c r="L46" s="51"/>
      <c r="M46" s="293"/>
      <c r="N46" s="52">
        <f>-IF(L46=0,,IF(M46=0,($C$10-L46),M46-L46))</f>
        <v>0</v>
      </c>
      <c r="O46" s="50">
        <f>+J46-K46</f>
        <v>0</v>
      </c>
      <c r="P46" s="50">
        <f>+IF($C$10&lt;L46,0,O46)</f>
        <v>0</v>
      </c>
      <c r="Q46" s="53"/>
      <c r="R46" s="316">
        <f>IF(N46&gt;=0,0,(IF(-N46&lt;=60,O46,0)))</f>
        <v>0</v>
      </c>
      <c r="S46" s="316">
        <f>IF(N46&gt;=0,0,(IF(N46&gt;=-60,0,IF(-60&gt;=N46,IF(N46&gt;=-120,O46,0)))))</f>
        <v>0</v>
      </c>
      <c r="T46" s="316">
        <f>IF(N46&gt;=0,0,(IF(N46&gt;-60,0,IF(-60&gt;=N46,IF(N46&gt;=-120,0,IF(N46&gt;=-180,O46,0))))))</f>
        <v>0</v>
      </c>
      <c r="U46" s="316">
        <f>IF(N46&gt;=0,0,(IF(N46&gt;-60,0,IF(-60&gt;=N46,IF(N46&gt;-120,0,IF(N46&gt;=-180,0,IF(N46&gt;=-365,O46,0)))))))</f>
        <v>0</v>
      </c>
      <c r="V46" s="316">
        <f>IF(N46&gt;=0,0,IF(365&lt;-N46,O46,0))</f>
        <v>0</v>
      </c>
    </row>
    <row r="47" spans="1:22" s="290" customFormat="1" ht="15">
      <c r="A47" s="138"/>
      <c r="B47" s="138"/>
      <c r="C47" s="286"/>
      <c r="D47" s="140"/>
      <c r="E47" s="141">
        <f t="shared" ref="E47:K47" si="17">SUM(E46:E46)</f>
        <v>51825.041666666672</v>
      </c>
      <c r="F47" s="141">
        <f t="shared" si="17"/>
        <v>0</v>
      </c>
      <c r="G47" s="141">
        <f t="shared" si="17"/>
        <v>0</v>
      </c>
      <c r="H47" s="141">
        <f t="shared" si="17"/>
        <v>0</v>
      </c>
      <c r="I47" s="141">
        <f t="shared" si="17"/>
        <v>51825.041666666672</v>
      </c>
      <c r="J47" s="287">
        <f t="shared" si="17"/>
        <v>62190.05</v>
      </c>
      <c r="K47" s="287">
        <f t="shared" si="17"/>
        <v>62190.05</v>
      </c>
      <c r="L47" s="139"/>
      <c r="M47" s="139"/>
      <c r="N47" s="142"/>
      <c r="O47" s="141">
        <f>SUM(O46:O46)</f>
        <v>0</v>
      </c>
      <c r="P47" s="141">
        <f>SUM(P46:P46)</f>
        <v>0</v>
      </c>
      <c r="Q47" s="292"/>
      <c r="R47" s="337">
        <f>SUM(R46:R46)</f>
        <v>0</v>
      </c>
      <c r="S47" s="337">
        <f>SUM(S46:S46)</f>
        <v>0</v>
      </c>
      <c r="T47" s="337">
        <f>SUM(T46:T46)</f>
        <v>0</v>
      </c>
      <c r="U47" s="337">
        <f>SUM(U46:U46)</f>
        <v>0</v>
      </c>
      <c r="V47" s="337">
        <f>SUM(V46:V46)</f>
        <v>0</v>
      </c>
    </row>
    <row r="48" spans="1:22">
      <c r="A48" s="54" t="s">
        <v>170</v>
      </c>
      <c r="B48" s="54"/>
      <c r="C48" s="56"/>
      <c r="D48" s="57"/>
      <c r="E48" s="50">
        <f>222270.38/1.2</f>
        <v>185225.31666666668</v>
      </c>
      <c r="F48" s="50">
        <f>-E48*$F$10</f>
        <v>0</v>
      </c>
      <c r="G48" s="50">
        <f>E48*$G$10</f>
        <v>0</v>
      </c>
      <c r="H48" s="50"/>
      <c r="I48" s="50">
        <f>+E48+F48-G48-H48</f>
        <v>185225.31666666668</v>
      </c>
      <c r="J48" s="50">
        <f>+I48+(I48*$I$4)</f>
        <v>222270.38</v>
      </c>
      <c r="K48" s="50">
        <v>222270.38</v>
      </c>
      <c r="L48" s="51"/>
      <c r="M48" s="293"/>
      <c r="N48" s="52">
        <f>-IF(L48=0,,IF(M48=0,($C$10-L48),M48-L48))</f>
        <v>0</v>
      </c>
      <c r="O48" s="50">
        <f>+J48-K48</f>
        <v>0</v>
      </c>
      <c r="P48" s="50">
        <f>+IF($C$10&lt;L48,0,O48)</f>
        <v>0</v>
      </c>
      <c r="Q48" s="53"/>
      <c r="R48" s="316">
        <f>IF(N48&gt;=0,0,(IF(-N48&lt;=60,O48,0)))</f>
        <v>0</v>
      </c>
      <c r="S48" s="316">
        <f>IF(N48&gt;=0,0,(IF(N48&gt;=-60,0,IF(-60&gt;=N48,IF(N48&gt;=-120,O48,0)))))</f>
        <v>0</v>
      </c>
      <c r="T48" s="316">
        <f>IF(N48&gt;=0,0,(IF(N48&gt;-60,0,IF(-60&gt;=N48,IF(N48&gt;=-120,0,IF(N48&gt;=-180,O48,0))))))</f>
        <v>0</v>
      </c>
      <c r="U48" s="316">
        <f>IF(N48&gt;=0,0,(IF(N48&gt;-60,0,IF(-60&gt;=N48,IF(N48&gt;-120,0,IF(N48&gt;=-180,0,IF(N48&gt;=-365,O48,0)))))))</f>
        <v>0</v>
      </c>
      <c r="V48" s="316">
        <f>IF(N48&gt;=0,0,IF(365&lt;-N48,O48,0))</f>
        <v>0</v>
      </c>
    </row>
    <row r="49" spans="1:22" s="290" customFormat="1" ht="15">
      <c r="A49" s="138"/>
      <c r="B49" s="138"/>
      <c r="C49" s="286"/>
      <c r="D49" s="140"/>
      <c r="E49" s="141">
        <f t="shared" ref="E49:K49" si="18">SUM(E48:E48)</f>
        <v>185225.31666666668</v>
      </c>
      <c r="F49" s="141">
        <f t="shared" si="18"/>
        <v>0</v>
      </c>
      <c r="G49" s="141">
        <f t="shared" si="18"/>
        <v>0</v>
      </c>
      <c r="H49" s="141">
        <f t="shared" si="18"/>
        <v>0</v>
      </c>
      <c r="I49" s="141">
        <f t="shared" si="18"/>
        <v>185225.31666666668</v>
      </c>
      <c r="J49" s="287">
        <f t="shared" si="18"/>
        <v>222270.38</v>
      </c>
      <c r="K49" s="287">
        <f t="shared" si="18"/>
        <v>222270.38</v>
      </c>
      <c r="L49" s="139"/>
      <c r="M49" s="139"/>
      <c r="N49" s="142"/>
      <c r="O49" s="141">
        <f>SUM(O48:O48)</f>
        <v>0</v>
      </c>
      <c r="P49" s="141">
        <f>SUM(P48:P48)</f>
        <v>0</v>
      </c>
      <c r="Q49" s="292"/>
      <c r="R49" s="337">
        <f>SUM(R48:R48)</f>
        <v>0</v>
      </c>
      <c r="S49" s="337">
        <f>SUM(S48:S48)</f>
        <v>0</v>
      </c>
      <c r="T49" s="337">
        <f>SUM(T48:T48)</f>
        <v>0</v>
      </c>
      <c r="U49" s="337">
        <f>SUM(U48:U48)</f>
        <v>0</v>
      </c>
      <c r="V49" s="337">
        <f>SUM(V48:V48)</f>
        <v>0</v>
      </c>
    </row>
    <row r="50" spans="1:22">
      <c r="A50" s="54" t="s">
        <v>222</v>
      </c>
      <c r="B50" s="54"/>
      <c r="C50" s="56"/>
      <c r="D50" s="57"/>
      <c r="E50" s="50">
        <f>15272.69/1.2</f>
        <v>12727.241666666667</v>
      </c>
      <c r="F50" s="50">
        <f>-E50*$F$10</f>
        <v>0</v>
      </c>
      <c r="G50" s="50">
        <f>E50*$G$10</f>
        <v>0</v>
      </c>
      <c r="H50" s="50"/>
      <c r="I50" s="50">
        <f>+E50+F50-G50-H50</f>
        <v>12727.241666666667</v>
      </c>
      <c r="J50" s="50">
        <f>+I50+(I50*$I$4)</f>
        <v>15272.69</v>
      </c>
      <c r="K50" s="50">
        <v>15272.69</v>
      </c>
      <c r="L50" s="51"/>
      <c r="M50" s="51"/>
      <c r="N50" s="52">
        <f>-IF(L50=0,,IF(M50=0,($C$10-L50),M50-L50))</f>
        <v>0</v>
      </c>
      <c r="O50" s="50">
        <f>+J50-K50</f>
        <v>0</v>
      </c>
      <c r="P50" s="50">
        <f>+IF($C$10&lt;L50,0,O50)</f>
        <v>0</v>
      </c>
      <c r="Q50" s="53"/>
      <c r="R50" s="316">
        <f>IF(N50&gt;=0,0,(IF(-N50&lt;=60,O50,0)))</f>
        <v>0</v>
      </c>
      <c r="S50" s="316">
        <f>IF(N50&gt;=0,0,(IF(N50&gt;=-60,0,IF(-60&gt;=N50,IF(N50&gt;=-120,O50,0)))))</f>
        <v>0</v>
      </c>
      <c r="T50" s="316">
        <f>IF(N50&gt;=0,0,(IF(N50&gt;-60,0,IF(-60&gt;=N50,IF(N50&gt;=-120,0,IF(N50&gt;=-180,O50,0))))))</f>
        <v>0</v>
      </c>
      <c r="U50" s="316">
        <f>IF(N50&gt;=0,0,(IF(N50&gt;-60,0,IF(-60&gt;=N50,IF(N50&gt;-120,0,IF(N50&gt;=-180,0,IF(N50&gt;=-365,O50,0)))))))</f>
        <v>0</v>
      </c>
      <c r="V50" s="316">
        <f>IF(N50&gt;=0,0,IF(365&lt;-N50,O50,0))</f>
        <v>0</v>
      </c>
    </row>
    <row r="51" spans="1:22" s="290" customFormat="1" ht="15">
      <c r="A51" s="138"/>
      <c r="B51" s="138"/>
      <c r="C51" s="286"/>
      <c r="D51" s="140"/>
      <c r="E51" s="141">
        <f t="shared" ref="E51:K51" si="19">SUM(E50:E50)</f>
        <v>12727.241666666667</v>
      </c>
      <c r="F51" s="141">
        <f t="shared" si="19"/>
        <v>0</v>
      </c>
      <c r="G51" s="141">
        <f t="shared" si="19"/>
        <v>0</v>
      </c>
      <c r="H51" s="141">
        <f t="shared" si="19"/>
        <v>0</v>
      </c>
      <c r="I51" s="141">
        <f t="shared" si="19"/>
        <v>12727.241666666667</v>
      </c>
      <c r="J51" s="287">
        <f t="shared" si="19"/>
        <v>15272.69</v>
      </c>
      <c r="K51" s="287">
        <f t="shared" si="19"/>
        <v>15272.69</v>
      </c>
      <c r="L51" s="139"/>
      <c r="M51" s="139"/>
      <c r="N51" s="142"/>
      <c r="O51" s="141">
        <f>SUM(O50:O50)</f>
        <v>0</v>
      </c>
      <c r="P51" s="141">
        <f>SUM(P50:P50)</f>
        <v>0</v>
      </c>
      <c r="Q51" s="292"/>
      <c r="R51" s="337">
        <f>SUM(R50:R50)</f>
        <v>0</v>
      </c>
      <c r="S51" s="337">
        <f>SUM(S50:S50)</f>
        <v>0</v>
      </c>
      <c r="T51" s="337">
        <f>SUM(T50:T50)</f>
        <v>0</v>
      </c>
      <c r="U51" s="337">
        <f>SUM(U50:U50)</f>
        <v>0</v>
      </c>
      <c r="V51" s="337">
        <f>SUM(V50:V50)</f>
        <v>0</v>
      </c>
    </row>
    <row r="52" spans="1:22">
      <c r="A52" s="54" t="s">
        <v>223</v>
      </c>
      <c r="B52" s="54"/>
      <c r="C52" s="56"/>
      <c r="D52" s="57"/>
      <c r="E52" s="50">
        <f>270565.96/1.2</f>
        <v>225471.63333333336</v>
      </c>
      <c r="F52" s="50">
        <f>-E52*$F$10</f>
        <v>0</v>
      </c>
      <c r="G52" s="50">
        <f>E52*$G$10</f>
        <v>0</v>
      </c>
      <c r="H52" s="50"/>
      <c r="I52" s="50">
        <f>+E52+F52-G52-H52</f>
        <v>225471.63333333336</v>
      </c>
      <c r="J52" s="50">
        <f>+I52+(I52*$I$4)</f>
        <v>270565.96000000002</v>
      </c>
      <c r="K52" s="50">
        <v>270565.96000000002</v>
      </c>
      <c r="L52" s="51"/>
      <c r="M52" s="293"/>
      <c r="N52" s="52">
        <f>-IF(L52=0,,IF(M52=0,($C$10-L52),M52-L52))</f>
        <v>0</v>
      </c>
      <c r="O52" s="50">
        <f>+J52-K52</f>
        <v>0</v>
      </c>
      <c r="P52" s="50">
        <f>+IF($C$10&lt;L52,0,O52)</f>
        <v>0</v>
      </c>
      <c r="Q52" s="53"/>
      <c r="R52" s="316">
        <f>IF(N52&gt;=0,0,(IF(-N52&lt;=60,O52,0)))</f>
        <v>0</v>
      </c>
      <c r="S52" s="316">
        <f>IF(N52&gt;=0,0,(IF(N52&gt;=-60,0,IF(-60&gt;=N52,IF(N52&gt;=-120,O52,0)))))</f>
        <v>0</v>
      </c>
      <c r="T52" s="316">
        <f>IF(N52&gt;=0,0,(IF(N52&gt;-60,0,IF(-60&gt;=N52,IF(N52&gt;=-120,0,IF(N52&gt;=-180,O52,0))))))</f>
        <v>0</v>
      </c>
      <c r="U52" s="316">
        <f>IF(N52&gt;=0,0,(IF(N52&gt;-60,0,IF(-60&gt;=N52,IF(N52&gt;-120,0,IF(N52&gt;=-180,0,IF(N52&gt;=-365,O52,0)))))))</f>
        <v>0</v>
      </c>
      <c r="V52" s="316">
        <f>IF(N52&gt;=0,0,IF(365&lt;-N52,O52,0))</f>
        <v>0</v>
      </c>
    </row>
    <row r="53" spans="1:22" s="290" customFormat="1" ht="15">
      <c r="A53" s="138"/>
      <c r="B53" s="138"/>
      <c r="C53" s="286"/>
      <c r="D53" s="140"/>
      <c r="E53" s="141">
        <f t="shared" ref="E53:K53" si="20">SUM(E52:E52)</f>
        <v>225471.63333333336</v>
      </c>
      <c r="F53" s="141">
        <f t="shared" si="20"/>
        <v>0</v>
      </c>
      <c r="G53" s="141">
        <f t="shared" si="20"/>
        <v>0</v>
      </c>
      <c r="H53" s="141">
        <f t="shared" si="20"/>
        <v>0</v>
      </c>
      <c r="I53" s="141">
        <f t="shared" si="20"/>
        <v>225471.63333333336</v>
      </c>
      <c r="J53" s="287">
        <f t="shared" si="20"/>
        <v>270565.96000000002</v>
      </c>
      <c r="K53" s="287">
        <f t="shared" si="20"/>
        <v>270565.96000000002</v>
      </c>
      <c r="L53" s="139"/>
      <c r="M53" s="139"/>
      <c r="N53" s="142"/>
      <c r="O53" s="141">
        <f>SUM(O52:O52)</f>
        <v>0</v>
      </c>
      <c r="P53" s="141">
        <f>SUM(P52:P52)</f>
        <v>0</v>
      </c>
      <c r="Q53" s="292"/>
      <c r="R53" s="337">
        <f>SUM(R52:R52)</f>
        <v>0</v>
      </c>
      <c r="S53" s="337">
        <f>SUM(S52:S52)</f>
        <v>0</v>
      </c>
      <c r="T53" s="337">
        <f>SUM(T52:T52)</f>
        <v>0</v>
      </c>
      <c r="U53" s="337">
        <f>SUM(U52:U52)</f>
        <v>0</v>
      </c>
      <c r="V53" s="337">
        <f>SUM(V52:V52)</f>
        <v>0</v>
      </c>
    </row>
    <row r="54" spans="1:22">
      <c r="A54" s="54" t="s">
        <v>224</v>
      </c>
      <c r="B54" s="54"/>
      <c r="C54" s="56"/>
      <c r="D54" s="57"/>
      <c r="E54" s="50">
        <f>84006.72/1.2</f>
        <v>70005.600000000006</v>
      </c>
      <c r="F54" s="50">
        <f>-E54*$F$10</f>
        <v>0</v>
      </c>
      <c r="G54" s="50">
        <f>E54*$G$10</f>
        <v>0</v>
      </c>
      <c r="H54" s="50"/>
      <c r="I54" s="50">
        <f>+E54+F54-G54-H54</f>
        <v>70005.600000000006</v>
      </c>
      <c r="J54" s="50">
        <f>+I54+(I54*$I$4)</f>
        <v>84006.720000000001</v>
      </c>
      <c r="K54" s="50">
        <v>84006.720000000001</v>
      </c>
      <c r="L54" s="51"/>
      <c r="M54" s="51"/>
      <c r="N54" s="52">
        <f>-IF(L54=0,,IF(M54=0,($C$10-L54),M54-L54))</f>
        <v>0</v>
      </c>
      <c r="O54" s="50">
        <f>+J54-K54</f>
        <v>0</v>
      </c>
      <c r="P54" s="50">
        <f>+IF($C$10&lt;L54,0,O54)</f>
        <v>0</v>
      </c>
      <c r="Q54" s="53"/>
      <c r="R54" s="316">
        <f>IF(N54&gt;=0,0,(IF(-N54&lt;=60,O54,0)))</f>
        <v>0</v>
      </c>
      <c r="S54" s="316">
        <f>IF(N54&gt;=0,0,(IF(N54&gt;=-60,0,IF(-60&gt;=N54,IF(N54&gt;=-120,O54,0)))))</f>
        <v>0</v>
      </c>
      <c r="T54" s="316">
        <f>IF(N54&gt;=0,0,(IF(N54&gt;-60,0,IF(-60&gt;=N54,IF(N54&gt;=-120,0,IF(N54&gt;=-180,O54,0))))))</f>
        <v>0</v>
      </c>
      <c r="U54" s="316">
        <f>IF(N54&gt;=0,0,(IF(N54&gt;-60,0,IF(-60&gt;=N54,IF(N54&gt;-120,0,IF(N54&gt;=-180,0,IF(N54&gt;=-365,O54,0)))))))</f>
        <v>0</v>
      </c>
      <c r="V54" s="316">
        <f>IF(N54&gt;=0,0,IF(365&lt;-N54,O54,0))</f>
        <v>0</v>
      </c>
    </row>
    <row r="55" spans="1:22" s="290" customFormat="1" ht="15">
      <c r="A55" s="138"/>
      <c r="B55" s="138"/>
      <c r="C55" s="286"/>
      <c r="D55" s="140"/>
      <c r="E55" s="141">
        <f t="shared" ref="E55:K55" si="21">SUM(E54:E54)</f>
        <v>70005.600000000006</v>
      </c>
      <c r="F55" s="141">
        <f t="shared" si="21"/>
        <v>0</v>
      </c>
      <c r="G55" s="141">
        <f t="shared" si="21"/>
        <v>0</v>
      </c>
      <c r="H55" s="141">
        <f t="shared" si="21"/>
        <v>0</v>
      </c>
      <c r="I55" s="141">
        <f t="shared" si="21"/>
        <v>70005.600000000006</v>
      </c>
      <c r="J55" s="287">
        <f t="shared" si="21"/>
        <v>84006.720000000001</v>
      </c>
      <c r="K55" s="287">
        <f t="shared" si="21"/>
        <v>84006.720000000001</v>
      </c>
      <c r="L55" s="139"/>
      <c r="M55" s="139"/>
      <c r="N55" s="142"/>
      <c r="O55" s="141">
        <f>SUM(O54:O54)</f>
        <v>0</v>
      </c>
      <c r="P55" s="141">
        <f>SUM(P54:P54)</f>
        <v>0</v>
      </c>
      <c r="Q55" s="292"/>
      <c r="R55" s="337">
        <f>SUM(R54:R54)</f>
        <v>0</v>
      </c>
      <c r="S55" s="337">
        <f>SUM(S54:S54)</f>
        <v>0</v>
      </c>
      <c r="T55" s="337">
        <f>SUM(T54:T54)</f>
        <v>0</v>
      </c>
      <c r="U55" s="337">
        <f>SUM(U54:U54)</f>
        <v>0</v>
      </c>
      <c r="V55" s="337">
        <f>SUM(V54:V54)</f>
        <v>0</v>
      </c>
    </row>
    <row r="56" spans="1:22">
      <c r="A56" s="54" t="s">
        <v>171</v>
      </c>
      <c r="B56" s="54"/>
      <c r="C56" s="56"/>
      <c r="D56" s="57"/>
      <c r="E56" s="50">
        <f>35872.29/1.2</f>
        <v>29893.575000000001</v>
      </c>
      <c r="F56" s="50">
        <f>-E56*$F$10</f>
        <v>0</v>
      </c>
      <c r="G56" s="50">
        <f>E56*$G$10</f>
        <v>0</v>
      </c>
      <c r="H56" s="50"/>
      <c r="I56" s="50">
        <f>+E56+F56-G56-H56</f>
        <v>29893.575000000001</v>
      </c>
      <c r="J56" s="50">
        <f>+I56+(I56*$I$4)</f>
        <v>35872.29</v>
      </c>
      <c r="K56" s="50">
        <v>35872.29</v>
      </c>
      <c r="L56" s="51"/>
      <c r="M56" s="51"/>
      <c r="N56" s="52">
        <f>-IF(L56=0,,IF(M56=0,($C$10-L56),M56-L56))</f>
        <v>0</v>
      </c>
      <c r="O56" s="50">
        <f>+J56-K56</f>
        <v>0</v>
      </c>
      <c r="P56" s="50">
        <f>+IF($C$10&lt;L56,0,O56)</f>
        <v>0</v>
      </c>
      <c r="Q56" s="53"/>
      <c r="R56" s="316">
        <f>IF(N56&gt;=0,0,(IF(-N56&lt;=60,O56,0)))</f>
        <v>0</v>
      </c>
      <c r="S56" s="316">
        <f>IF(N56&gt;=0,0,(IF(N56&gt;=-60,0,IF(-60&gt;=N56,IF(N56&gt;=-120,O56,0)))))</f>
        <v>0</v>
      </c>
      <c r="T56" s="316">
        <f>IF(N56&gt;=0,0,(IF(N56&gt;-60,0,IF(-60&gt;=N56,IF(N56&gt;=-120,0,IF(N56&gt;=-180,O56,0))))))</f>
        <v>0</v>
      </c>
      <c r="U56" s="316">
        <f>IF(N56&gt;=0,0,(IF(N56&gt;-60,0,IF(-60&gt;=N56,IF(N56&gt;-120,0,IF(N56&gt;=-180,0,IF(N56&gt;=-365,O56,0)))))))</f>
        <v>0</v>
      </c>
      <c r="V56" s="316">
        <f>IF(N56&gt;=0,0,IF(365&lt;-N56,O56,0))</f>
        <v>0</v>
      </c>
    </row>
    <row r="57" spans="1:22" s="290" customFormat="1" ht="15">
      <c r="A57" s="138"/>
      <c r="B57" s="138"/>
      <c r="C57" s="286"/>
      <c r="D57" s="140"/>
      <c r="E57" s="141">
        <f t="shared" ref="E57:K57" si="22">SUM(E56:E56)</f>
        <v>29893.575000000001</v>
      </c>
      <c r="F57" s="141">
        <f t="shared" si="22"/>
        <v>0</v>
      </c>
      <c r="G57" s="141">
        <f t="shared" si="22"/>
        <v>0</v>
      </c>
      <c r="H57" s="141">
        <f t="shared" si="22"/>
        <v>0</v>
      </c>
      <c r="I57" s="141">
        <f t="shared" si="22"/>
        <v>29893.575000000001</v>
      </c>
      <c r="J57" s="287">
        <f t="shared" si="22"/>
        <v>35872.29</v>
      </c>
      <c r="K57" s="287">
        <f t="shared" si="22"/>
        <v>35872.29</v>
      </c>
      <c r="L57" s="139"/>
      <c r="M57" s="139"/>
      <c r="N57" s="142"/>
      <c r="O57" s="141">
        <f>SUM(O56:O56)</f>
        <v>0</v>
      </c>
      <c r="P57" s="141">
        <f>SUM(P56:P56)</f>
        <v>0</v>
      </c>
      <c r="Q57" s="292"/>
      <c r="R57" s="337">
        <f>SUM(R56:R56)</f>
        <v>0</v>
      </c>
      <c r="S57" s="337">
        <f>SUM(S56:S56)</f>
        <v>0</v>
      </c>
      <c r="T57" s="337">
        <f>SUM(T56:T56)</f>
        <v>0</v>
      </c>
      <c r="U57" s="337">
        <f>SUM(U56:U56)</f>
        <v>0</v>
      </c>
      <c r="V57" s="337">
        <f>SUM(V56:V56)</f>
        <v>0</v>
      </c>
    </row>
    <row r="58" spans="1:22">
      <c r="A58" s="54" t="s">
        <v>194</v>
      </c>
      <c r="B58" s="54"/>
      <c r="C58" s="56"/>
      <c r="D58" s="57"/>
      <c r="E58" s="50">
        <f>10263.79/1.2</f>
        <v>8553.1583333333347</v>
      </c>
      <c r="F58" s="50">
        <f>-E58*$F$10</f>
        <v>0</v>
      </c>
      <c r="G58" s="50">
        <f>E58*$G$10</f>
        <v>0</v>
      </c>
      <c r="H58" s="50"/>
      <c r="I58" s="50">
        <f>+E58+F58-G58-H58</f>
        <v>8553.1583333333347</v>
      </c>
      <c r="J58" s="50">
        <f>+I58+(I58*$I$4)</f>
        <v>10263.790000000001</v>
      </c>
      <c r="K58" s="50">
        <v>10263.790000000001</v>
      </c>
      <c r="L58" s="51"/>
      <c r="M58" s="51"/>
      <c r="N58" s="52">
        <f>-IF(L58=0,,IF(M58=0,($C$10-L58),M58-L58))</f>
        <v>0</v>
      </c>
      <c r="O58" s="50">
        <f>+J58-K58</f>
        <v>0</v>
      </c>
      <c r="P58" s="50">
        <f>+IF($C$10&lt;L58,0,O58)</f>
        <v>0</v>
      </c>
      <c r="Q58" s="53"/>
      <c r="R58" s="316">
        <f>IF(N58&gt;=0,0,(IF(-N58&lt;=60,O58,0)))</f>
        <v>0</v>
      </c>
      <c r="S58" s="316">
        <f>IF(N58&gt;=0,0,(IF(N58&gt;=-60,0,IF(-60&gt;=N58,IF(N58&gt;=-120,O58,0)))))</f>
        <v>0</v>
      </c>
      <c r="T58" s="316">
        <f>IF(N58&gt;=0,0,(IF(N58&gt;-60,0,IF(-60&gt;=N58,IF(N58&gt;=-120,0,IF(N58&gt;=-180,O58,0))))))</f>
        <v>0</v>
      </c>
      <c r="U58" s="316">
        <f>IF(N58&gt;=0,0,(IF(N58&gt;-60,0,IF(-60&gt;=N58,IF(N58&gt;-120,0,IF(N58&gt;=-180,0,IF(N58&gt;=-365,O58,0)))))))</f>
        <v>0</v>
      </c>
      <c r="V58" s="316">
        <f>IF(N58&gt;=0,0,IF(365&lt;-N58,O58,0))</f>
        <v>0</v>
      </c>
    </row>
    <row r="59" spans="1:22" s="290" customFormat="1" ht="15">
      <c r="A59" s="138"/>
      <c r="B59" s="138"/>
      <c r="C59" s="286"/>
      <c r="D59" s="140"/>
      <c r="E59" s="141">
        <f t="shared" ref="E59:K59" si="23">SUM(E58:E58)</f>
        <v>8553.1583333333347</v>
      </c>
      <c r="F59" s="141">
        <f t="shared" si="23"/>
        <v>0</v>
      </c>
      <c r="G59" s="141">
        <f t="shared" si="23"/>
        <v>0</v>
      </c>
      <c r="H59" s="141">
        <f t="shared" si="23"/>
        <v>0</v>
      </c>
      <c r="I59" s="141">
        <f t="shared" si="23"/>
        <v>8553.1583333333347</v>
      </c>
      <c r="J59" s="287">
        <f t="shared" si="23"/>
        <v>10263.790000000001</v>
      </c>
      <c r="K59" s="287">
        <f t="shared" si="23"/>
        <v>10263.790000000001</v>
      </c>
      <c r="L59" s="139"/>
      <c r="M59" s="139"/>
      <c r="N59" s="142"/>
      <c r="O59" s="141">
        <f>SUM(O58:O58)</f>
        <v>0</v>
      </c>
      <c r="P59" s="141">
        <f>SUM(P58:P58)</f>
        <v>0</v>
      </c>
      <c r="Q59" s="292"/>
      <c r="R59" s="337">
        <f>SUM(R58:R58)</f>
        <v>0</v>
      </c>
      <c r="S59" s="337">
        <f>SUM(S58:S58)</f>
        <v>0</v>
      </c>
      <c r="T59" s="337">
        <f>SUM(T58:T58)</f>
        <v>0</v>
      </c>
      <c r="U59" s="337">
        <f>SUM(U58:U58)</f>
        <v>0</v>
      </c>
      <c r="V59" s="337">
        <f>SUM(V58:V58)</f>
        <v>0</v>
      </c>
    </row>
    <row r="60" spans="1:22">
      <c r="A60" s="54" t="s">
        <v>202</v>
      </c>
      <c r="B60" s="54"/>
      <c r="C60" s="56"/>
      <c r="D60" s="57"/>
      <c r="E60" s="50">
        <f>14742/1.2</f>
        <v>12285</v>
      </c>
      <c r="F60" s="50">
        <f>-E60*$F$10</f>
        <v>0</v>
      </c>
      <c r="G60" s="50">
        <f>E60*$G$10</f>
        <v>0</v>
      </c>
      <c r="H60" s="50"/>
      <c r="I60" s="50">
        <f>+E60+F60-G60-H60</f>
        <v>12285</v>
      </c>
      <c r="J60" s="50">
        <f>+I60+(I60*$I$4)</f>
        <v>14742</v>
      </c>
      <c r="K60" s="50">
        <v>14742</v>
      </c>
      <c r="L60" s="51"/>
      <c r="M60" s="51"/>
      <c r="N60" s="52">
        <f>-IF(L60=0,,IF(M60=0,($C$10-L60),M60-L60))</f>
        <v>0</v>
      </c>
      <c r="O60" s="50">
        <f>+J60-K60</f>
        <v>0</v>
      </c>
      <c r="P60" s="50">
        <f>+IF($C$10&lt;L60,0,O60)</f>
        <v>0</v>
      </c>
      <c r="Q60" s="53"/>
      <c r="R60" s="316">
        <f>IF(N60&gt;=0,0,(IF(-N60&lt;=60,O60,0)))</f>
        <v>0</v>
      </c>
      <c r="S60" s="316">
        <f>IF(N60&gt;=0,0,(IF(N60&gt;=-60,0,IF(-60&gt;=N60,IF(N60&gt;=-120,O60,0)))))</f>
        <v>0</v>
      </c>
      <c r="T60" s="316">
        <f>IF(N60&gt;=0,0,(IF(N60&gt;-60,0,IF(-60&gt;=N60,IF(N60&gt;=-120,0,IF(N60&gt;=-180,O60,0))))))</f>
        <v>0</v>
      </c>
      <c r="U60" s="316">
        <f>IF(N60&gt;=0,0,(IF(N60&gt;-60,0,IF(-60&gt;=N60,IF(N60&gt;-120,0,IF(N60&gt;=-180,0,IF(N60&gt;=-365,O60,0)))))))</f>
        <v>0</v>
      </c>
      <c r="V60" s="316">
        <f>IF(N60&gt;=0,0,IF(365&lt;-N60,O60,0))</f>
        <v>0</v>
      </c>
    </row>
    <row r="61" spans="1:22" s="290" customFormat="1" ht="15">
      <c r="A61" s="138"/>
      <c r="B61" s="138"/>
      <c r="C61" s="286"/>
      <c r="D61" s="140"/>
      <c r="E61" s="141">
        <f t="shared" ref="E61:K61" si="24">SUM(E60:E60)</f>
        <v>12285</v>
      </c>
      <c r="F61" s="141">
        <f t="shared" si="24"/>
        <v>0</v>
      </c>
      <c r="G61" s="141">
        <f t="shared" si="24"/>
        <v>0</v>
      </c>
      <c r="H61" s="141">
        <f t="shared" si="24"/>
        <v>0</v>
      </c>
      <c r="I61" s="141">
        <f t="shared" si="24"/>
        <v>12285</v>
      </c>
      <c r="J61" s="287">
        <f t="shared" si="24"/>
        <v>14742</v>
      </c>
      <c r="K61" s="287">
        <f t="shared" si="24"/>
        <v>14742</v>
      </c>
      <c r="L61" s="139"/>
      <c r="M61" s="139"/>
      <c r="N61" s="142"/>
      <c r="O61" s="141">
        <f>SUM(O60:O60)</f>
        <v>0</v>
      </c>
      <c r="P61" s="141">
        <f>SUM(P60:P60)</f>
        <v>0</v>
      </c>
      <c r="Q61" s="292"/>
      <c r="R61" s="337">
        <f>SUM(R60:R60)</f>
        <v>0</v>
      </c>
      <c r="S61" s="337">
        <f>SUM(S60:S60)</f>
        <v>0</v>
      </c>
      <c r="T61" s="337">
        <f>SUM(T60:T60)</f>
        <v>0</v>
      </c>
      <c r="U61" s="337">
        <f>SUM(U60:U60)</f>
        <v>0</v>
      </c>
      <c r="V61" s="337">
        <f>SUM(V60:V60)</f>
        <v>0</v>
      </c>
    </row>
    <row r="62" spans="1:22">
      <c r="A62" s="54" t="s">
        <v>225</v>
      </c>
      <c r="B62" s="54"/>
      <c r="C62" s="56"/>
      <c r="D62" s="57"/>
      <c r="E62" s="50">
        <f>60000.17/1.2</f>
        <v>50000.14166666667</v>
      </c>
      <c r="F62" s="50">
        <f>-E62*$F$10</f>
        <v>0</v>
      </c>
      <c r="G62" s="50">
        <f>E62*$G$10</f>
        <v>0</v>
      </c>
      <c r="H62" s="50"/>
      <c r="I62" s="50">
        <f>+E62+F62-G62-H62</f>
        <v>50000.14166666667</v>
      </c>
      <c r="J62" s="50">
        <f>+I62+(I62*$I$4)</f>
        <v>60000.170000000006</v>
      </c>
      <c r="K62" s="50">
        <v>60000.170000000006</v>
      </c>
      <c r="L62" s="51"/>
      <c r="M62" s="51"/>
      <c r="N62" s="52">
        <f>-IF(L62=0,,IF(M62=0,($C$10-L62),M62-L62))</f>
        <v>0</v>
      </c>
      <c r="O62" s="50">
        <f>+J62-K62</f>
        <v>0</v>
      </c>
      <c r="P62" s="50">
        <f>+IF($C$10&lt;L62,0,O62)</f>
        <v>0</v>
      </c>
      <c r="Q62" s="53"/>
      <c r="R62" s="316">
        <f>IF(N62&gt;=0,0,(IF(-N62&lt;=60,O62,0)))</f>
        <v>0</v>
      </c>
      <c r="S62" s="316">
        <f>IF(N62&gt;=0,0,(IF(N62&gt;=-60,0,IF(-60&gt;=N62,IF(N62&gt;=-120,O62,0)))))</f>
        <v>0</v>
      </c>
      <c r="T62" s="316">
        <f>IF(N62&gt;=0,0,(IF(N62&gt;-60,0,IF(-60&gt;=N62,IF(N62&gt;=-120,0,IF(N62&gt;=-180,O62,0))))))</f>
        <v>0</v>
      </c>
      <c r="U62" s="316">
        <f>IF(N62&gt;=0,0,(IF(N62&gt;-60,0,IF(-60&gt;=N62,IF(N62&gt;-120,0,IF(N62&gt;=-180,0,IF(N62&gt;=-365,O62,0)))))))</f>
        <v>0</v>
      </c>
      <c r="V62" s="316">
        <f>IF(N62&gt;=0,0,IF(365&lt;-N62,O62,0))</f>
        <v>0</v>
      </c>
    </row>
    <row r="63" spans="1:22" s="290" customFormat="1" ht="15">
      <c r="A63" s="138"/>
      <c r="B63" s="138"/>
      <c r="C63" s="286"/>
      <c r="D63" s="140"/>
      <c r="E63" s="141">
        <f t="shared" ref="E63:K63" si="25">SUM(E62:E62)</f>
        <v>50000.14166666667</v>
      </c>
      <c r="F63" s="141">
        <f t="shared" si="25"/>
        <v>0</v>
      </c>
      <c r="G63" s="141">
        <f t="shared" si="25"/>
        <v>0</v>
      </c>
      <c r="H63" s="141">
        <f t="shared" si="25"/>
        <v>0</v>
      </c>
      <c r="I63" s="141">
        <f t="shared" si="25"/>
        <v>50000.14166666667</v>
      </c>
      <c r="J63" s="287">
        <f t="shared" si="25"/>
        <v>60000.170000000006</v>
      </c>
      <c r="K63" s="287">
        <f t="shared" si="25"/>
        <v>60000.170000000006</v>
      </c>
      <c r="L63" s="139"/>
      <c r="M63" s="139"/>
      <c r="N63" s="142"/>
      <c r="O63" s="141">
        <f>SUM(O62:O62)</f>
        <v>0</v>
      </c>
      <c r="P63" s="141">
        <f>SUM(P62:P62)</f>
        <v>0</v>
      </c>
      <c r="Q63" s="292"/>
      <c r="R63" s="337">
        <f>SUM(R62:R62)</f>
        <v>0</v>
      </c>
      <c r="S63" s="337">
        <f>SUM(S62:S62)</f>
        <v>0</v>
      </c>
      <c r="T63" s="337">
        <f>SUM(T62:T62)</f>
        <v>0</v>
      </c>
      <c r="U63" s="337">
        <f>SUM(U62:U62)</f>
        <v>0</v>
      </c>
      <c r="V63" s="337">
        <f>SUM(V62:V62)</f>
        <v>0</v>
      </c>
    </row>
    <row r="64" spans="1:22">
      <c r="A64" s="54" t="s">
        <v>149</v>
      </c>
      <c r="B64" s="54"/>
      <c r="C64" s="56"/>
      <c r="D64" s="57"/>
      <c r="E64" s="50">
        <f>252570.1/1.2</f>
        <v>210475.08333333334</v>
      </c>
      <c r="F64" s="50">
        <f>-E64*$F$10</f>
        <v>0</v>
      </c>
      <c r="G64" s="50">
        <f>E64*$G$10</f>
        <v>0</v>
      </c>
      <c r="H64" s="50"/>
      <c r="I64" s="50">
        <f>+E64+F64-G64-H64</f>
        <v>210475.08333333334</v>
      </c>
      <c r="J64" s="50">
        <f>+I64+(I64*$I$4)</f>
        <v>252570.1</v>
      </c>
      <c r="K64" s="50">
        <v>252570.1</v>
      </c>
      <c r="L64" s="51"/>
      <c r="M64" s="51"/>
      <c r="N64" s="52">
        <f>-IF(L64=0,,IF(M64=0,($C$10-L64),M64-L64))</f>
        <v>0</v>
      </c>
      <c r="O64" s="50">
        <f>+J64-K64</f>
        <v>0</v>
      </c>
      <c r="P64" s="50">
        <f>+IF($C$10&lt;L64,0,O64)</f>
        <v>0</v>
      </c>
      <c r="Q64" s="53"/>
      <c r="R64" s="316">
        <f>IF(N64&gt;=0,0,(IF(-N64&lt;=60,O64,0)))</f>
        <v>0</v>
      </c>
      <c r="S64" s="316">
        <f>IF(N64&gt;=0,0,(IF(N64&gt;=-60,0,IF(-60&gt;=N64,IF(N64&gt;=-120,O64,0)))))</f>
        <v>0</v>
      </c>
      <c r="T64" s="316">
        <f>IF(N64&gt;=0,0,(IF(N64&gt;-60,0,IF(-60&gt;=N64,IF(N64&gt;=-120,0,IF(N64&gt;=-180,O64,0))))))</f>
        <v>0</v>
      </c>
      <c r="U64" s="316">
        <f>IF(N64&gt;=0,0,(IF(N64&gt;-60,0,IF(-60&gt;=N64,IF(N64&gt;-120,0,IF(N64&gt;=-180,0,IF(N64&gt;=-365,O64,0)))))))</f>
        <v>0</v>
      </c>
      <c r="V64" s="316">
        <f>IF(N64&gt;=0,0,IF(365&lt;-N64,O64,0))</f>
        <v>0</v>
      </c>
    </row>
    <row r="65" spans="1:22" s="290" customFormat="1" ht="15">
      <c r="A65" s="138"/>
      <c r="B65" s="138"/>
      <c r="C65" s="286"/>
      <c r="D65" s="140"/>
      <c r="E65" s="141">
        <f t="shared" ref="E65:K65" si="26">SUM(E64:E64)</f>
        <v>210475.08333333334</v>
      </c>
      <c r="F65" s="141">
        <f t="shared" si="26"/>
        <v>0</v>
      </c>
      <c r="G65" s="141">
        <f t="shared" si="26"/>
        <v>0</v>
      </c>
      <c r="H65" s="141">
        <f t="shared" si="26"/>
        <v>0</v>
      </c>
      <c r="I65" s="141">
        <f t="shared" si="26"/>
        <v>210475.08333333334</v>
      </c>
      <c r="J65" s="287">
        <f t="shared" si="26"/>
        <v>252570.1</v>
      </c>
      <c r="K65" s="287">
        <f t="shared" si="26"/>
        <v>252570.1</v>
      </c>
      <c r="L65" s="139"/>
      <c r="M65" s="139"/>
      <c r="N65" s="142"/>
      <c r="O65" s="141">
        <f>SUM(O64:O64)</f>
        <v>0</v>
      </c>
      <c r="P65" s="141">
        <f>SUM(P64:P64)</f>
        <v>0</v>
      </c>
      <c r="Q65" s="292"/>
      <c r="R65" s="337">
        <f>SUM(R64:R64)</f>
        <v>0</v>
      </c>
      <c r="S65" s="337">
        <f>SUM(S64:S64)</f>
        <v>0</v>
      </c>
      <c r="T65" s="337">
        <f>SUM(T64:T64)</f>
        <v>0</v>
      </c>
      <c r="U65" s="337">
        <f>SUM(U64:U64)</f>
        <v>0</v>
      </c>
      <c r="V65" s="337">
        <f>SUM(V64:V64)</f>
        <v>0</v>
      </c>
    </row>
    <row r="66" spans="1:22">
      <c r="A66" s="54" t="s">
        <v>150</v>
      </c>
      <c r="B66" s="54"/>
      <c r="C66" s="56"/>
      <c r="D66" s="57"/>
      <c r="E66" s="50">
        <f>614601.17/1.2</f>
        <v>512167.64166666672</v>
      </c>
      <c r="F66" s="50">
        <f>-E66*$F$10</f>
        <v>0</v>
      </c>
      <c r="G66" s="50">
        <f>E66*$G$10</f>
        <v>0</v>
      </c>
      <c r="H66" s="50"/>
      <c r="I66" s="50">
        <f>+E66+F66-G66-H66</f>
        <v>512167.64166666672</v>
      </c>
      <c r="J66" s="50">
        <f>+I66+(I66*$I$4)</f>
        <v>614601.17000000004</v>
      </c>
      <c r="K66" s="50">
        <v>614601.17000000004</v>
      </c>
      <c r="L66" s="51"/>
      <c r="M66" s="51"/>
      <c r="N66" s="52">
        <f>-IF(L66=0,,IF(M66=0,($C$10-L66),M66-L66))</f>
        <v>0</v>
      </c>
      <c r="O66" s="50">
        <f>+J66-K66</f>
        <v>0</v>
      </c>
      <c r="P66" s="50">
        <f>+IF($C$10&lt;L66,0,O66)</f>
        <v>0</v>
      </c>
      <c r="Q66" s="53"/>
      <c r="R66" s="316">
        <f>IF(N66&gt;=0,0,(IF(-N66&lt;=60,O66,0)))</f>
        <v>0</v>
      </c>
      <c r="S66" s="316">
        <f>IF(N66&gt;=0,0,(IF(N66&gt;=-60,0,IF(-60&gt;=N66,IF(N66&gt;=-120,O66,0)))))</f>
        <v>0</v>
      </c>
      <c r="T66" s="316">
        <f>IF(N66&gt;=0,0,(IF(N66&gt;-60,0,IF(-60&gt;=N66,IF(N66&gt;=-120,0,IF(N66&gt;=-180,O66,0))))))</f>
        <v>0</v>
      </c>
      <c r="U66" s="316">
        <f>IF(N66&gt;=0,0,(IF(N66&gt;-60,0,IF(-60&gt;=N66,IF(N66&gt;-120,0,IF(N66&gt;=-180,0,IF(N66&gt;=-365,O66,0)))))))</f>
        <v>0</v>
      </c>
      <c r="V66" s="316">
        <f>IF(N66&gt;=0,0,IF(365&lt;-N66,O66,0))</f>
        <v>0</v>
      </c>
    </row>
    <row r="67" spans="1:22" s="290" customFormat="1" ht="15">
      <c r="A67" s="138"/>
      <c r="B67" s="143"/>
      <c r="C67" s="286"/>
      <c r="D67" s="140"/>
      <c r="E67" s="141">
        <f t="shared" ref="E67:K67" si="27">SUM(E66:E66)</f>
        <v>512167.64166666672</v>
      </c>
      <c r="F67" s="141">
        <f t="shared" si="27"/>
        <v>0</v>
      </c>
      <c r="G67" s="141">
        <f t="shared" si="27"/>
        <v>0</v>
      </c>
      <c r="H67" s="141">
        <f t="shared" si="27"/>
        <v>0</v>
      </c>
      <c r="I67" s="141">
        <f t="shared" si="27"/>
        <v>512167.64166666672</v>
      </c>
      <c r="J67" s="287">
        <f t="shared" si="27"/>
        <v>614601.17000000004</v>
      </c>
      <c r="K67" s="287">
        <f t="shared" si="27"/>
        <v>614601.17000000004</v>
      </c>
      <c r="L67" s="139"/>
      <c r="M67" s="139"/>
      <c r="N67" s="142"/>
      <c r="O67" s="141">
        <f>SUM(O66:O66)</f>
        <v>0</v>
      </c>
      <c r="P67" s="141">
        <f>SUM(P66:P66)</f>
        <v>0</v>
      </c>
      <c r="Q67" s="292"/>
      <c r="R67" s="337">
        <f>SUM(R66:R66)</f>
        <v>0</v>
      </c>
      <c r="S67" s="337">
        <f>SUM(S66:S66)</f>
        <v>0</v>
      </c>
      <c r="T67" s="337">
        <f>SUM(T66:T66)</f>
        <v>0</v>
      </c>
      <c r="U67" s="337">
        <f>SUM(U66:U66)</f>
        <v>0</v>
      </c>
      <c r="V67" s="337">
        <f>SUM(V66:V66)</f>
        <v>0</v>
      </c>
    </row>
    <row r="68" spans="1:22">
      <c r="A68" s="54" t="s">
        <v>226</v>
      </c>
      <c r="B68" s="54"/>
      <c r="C68" s="56"/>
      <c r="D68" s="57"/>
      <c r="E68" s="50">
        <f>86917.43/1.2</f>
        <v>72431.191666666666</v>
      </c>
      <c r="F68" s="50">
        <f>-E68*$F$10</f>
        <v>0</v>
      </c>
      <c r="G68" s="50">
        <f>E68*$G$10</f>
        <v>0</v>
      </c>
      <c r="H68" s="50"/>
      <c r="I68" s="50">
        <f>+E68+F68-G68-H68</f>
        <v>72431.191666666666</v>
      </c>
      <c r="J68" s="50">
        <f>+I68+(I68*$I$4)</f>
        <v>86917.43</v>
      </c>
      <c r="K68" s="50">
        <v>86917.43</v>
      </c>
      <c r="L68" s="51"/>
      <c r="M68" s="51"/>
      <c r="N68" s="52">
        <f>-IF(L68=0,,IF(M68=0,($C$10-L68),M68-L68))</f>
        <v>0</v>
      </c>
      <c r="O68" s="50">
        <f>+J68-K68</f>
        <v>0</v>
      </c>
      <c r="P68" s="50">
        <f>+IF($C$10&lt;L68,0,O68)</f>
        <v>0</v>
      </c>
      <c r="Q68" s="53"/>
      <c r="R68" s="316">
        <f>IF(N68&gt;=0,0,(IF(-N68&lt;=60,O68,0)))</f>
        <v>0</v>
      </c>
      <c r="S68" s="316">
        <f>IF(N68&gt;=0,0,(IF(N68&gt;=-60,0,IF(-60&gt;=N68,IF(N68&gt;=-120,O68,0)))))</f>
        <v>0</v>
      </c>
      <c r="T68" s="316">
        <f>IF(N68&gt;=0,0,(IF(N68&gt;-60,0,IF(-60&gt;=N68,IF(N68&gt;=-120,0,IF(N68&gt;=-180,O68,0))))))</f>
        <v>0</v>
      </c>
      <c r="U68" s="316">
        <f>IF(N68&gt;=0,0,(IF(N68&gt;-60,0,IF(-60&gt;=N68,IF(N68&gt;-120,0,IF(N68&gt;=-180,0,IF(N68&gt;=-365,O68,0)))))))</f>
        <v>0</v>
      </c>
      <c r="V68" s="316">
        <f>IF(N68&gt;=0,0,IF(365&lt;-N68,O68,0))</f>
        <v>0</v>
      </c>
    </row>
    <row r="69" spans="1:22" s="290" customFormat="1" ht="15">
      <c r="A69" s="138"/>
      <c r="B69" s="138"/>
      <c r="C69" s="286"/>
      <c r="D69" s="140"/>
      <c r="E69" s="141">
        <f t="shared" ref="E69:K69" si="28">SUM(E68:E68)</f>
        <v>72431.191666666666</v>
      </c>
      <c r="F69" s="141">
        <f t="shared" si="28"/>
        <v>0</v>
      </c>
      <c r="G69" s="141">
        <f t="shared" si="28"/>
        <v>0</v>
      </c>
      <c r="H69" s="141">
        <f t="shared" si="28"/>
        <v>0</v>
      </c>
      <c r="I69" s="141">
        <f t="shared" si="28"/>
        <v>72431.191666666666</v>
      </c>
      <c r="J69" s="287">
        <f t="shared" si="28"/>
        <v>86917.43</v>
      </c>
      <c r="K69" s="287">
        <f t="shared" si="28"/>
        <v>86917.43</v>
      </c>
      <c r="L69" s="139"/>
      <c r="M69" s="139"/>
      <c r="N69" s="142"/>
      <c r="O69" s="141">
        <f>SUM(O68:O68)</f>
        <v>0</v>
      </c>
      <c r="P69" s="141">
        <f>SUM(P68:P68)</f>
        <v>0</v>
      </c>
      <c r="Q69" s="292"/>
      <c r="R69" s="337">
        <f>SUM(R68:R68)</f>
        <v>0</v>
      </c>
      <c r="S69" s="337">
        <f>SUM(S68:S68)</f>
        <v>0</v>
      </c>
      <c r="T69" s="337">
        <f>SUM(T68:T68)</f>
        <v>0</v>
      </c>
      <c r="U69" s="337">
        <f>SUM(U68:U68)</f>
        <v>0</v>
      </c>
      <c r="V69" s="337">
        <f>SUM(V68:V68)</f>
        <v>0</v>
      </c>
    </row>
    <row r="70" spans="1:22">
      <c r="A70" s="54" t="s">
        <v>227</v>
      </c>
      <c r="B70" s="54"/>
      <c r="C70" s="56"/>
      <c r="D70" s="57"/>
      <c r="E70" s="50">
        <f>765459.23/1.2</f>
        <v>637882.69166666665</v>
      </c>
      <c r="F70" s="50">
        <f>-E70*$F$10</f>
        <v>0</v>
      </c>
      <c r="G70" s="50">
        <f>E70*$G$10</f>
        <v>0</v>
      </c>
      <c r="H70" s="50"/>
      <c r="I70" s="50">
        <f>+E70+F70-G70-H70</f>
        <v>637882.69166666665</v>
      </c>
      <c r="J70" s="50">
        <f>+I70+(I70*$I$4)</f>
        <v>765459.23</v>
      </c>
      <c r="K70" s="50">
        <v>765459.23</v>
      </c>
      <c r="L70" s="51"/>
      <c r="M70" s="51"/>
      <c r="N70" s="52">
        <f>-IF(L70=0,,IF(M70=0,($C$10-L70),M70-L70))</f>
        <v>0</v>
      </c>
      <c r="O70" s="50">
        <f>+J70-K70</f>
        <v>0</v>
      </c>
      <c r="P70" s="50">
        <f>+IF($C$10&lt;L70,0,O70)</f>
        <v>0</v>
      </c>
      <c r="Q70" s="53"/>
      <c r="R70" s="316">
        <f>IF(N70&gt;=0,0,(IF(-N70&lt;=60,O70,0)))</f>
        <v>0</v>
      </c>
      <c r="S70" s="316">
        <f>IF(N70&gt;=0,0,(IF(N70&gt;=-60,0,IF(-60&gt;=N70,IF(N70&gt;=-120,O70,0)))))</f>
        <v>0</v>
      </c>
      <c r="T70" s="316">
        <f>IF(N70&gt;=0,0,(IF(N70&gt;-60,0,IF(-60&gt;=N70,IF(N70&gt;=-120,0,IF(N70&gt;=-180,O70,0))))))</f>
        <v>0</v>
      </c>
      <c r="U70" s="316">
        <f>IF(N70&gt;=0,0,(IF(N70&gt;-60,0,IF(-60&gt;=N70,IF(N70&gt;-120,0,IF(N70&gt;=-180,0,IF(N70&gt;=-365,O70,0)))))))</f>
        <v>0</v>
      </c>
      <c r="V70" s="316">
        <f>IF(N70&gt;=0,0,IF(365&lt;-N70,O70,0))</f>
        <v>0</v>
      </c>
    </row>
    <row r="71" spans="1:22" s="290" customFormat="1" ht="15">
      <c r="A71" s="138"/>
      <c r="B71" s="143"/>
      <c r="C71" s="286"/>
      <c r="D71" s="140"/>
      <c r="E71" s="141">
        <f t="shared" ref="E71:K71" si="29">SUM(E70:E70)</f>
        <v>637882.69166666665</v>
      </c>
      <c r="F71" s="141">
        <f t="shared" si="29"/>
        <v>0</v>
      </c>
      <c r="G71" s="141">
        <f t="shared" si="29"/>
        <v>0</v>
      </c>
      <c r="H71" s="141">
        <f t="shared" si="29"/>
        <v>0</v>
      </c>
      <c r="I71" s="141">
        <f t="shared" si="29"/>
        <v>637882.69166666665</v>
      </c>
      <c r="J71" s="287">
        <f t="shared" si="29"/>
        <v>765459.23</v>
      </c>
      <c r="K71" s="287">
        <f t="shared" si="29"/>
        <v>765459.23</v>
      </c>
      <c r="L71" s="139"/>
      <c r="M71" s="139"/>
      <c r="N71" s="142"/>
      <c r="O71" s="141">
        <f>SUM(O70:O70)</f>
        <v>0</v>
      </c>
      <c r="P71" s="141">
        <f>SUM(P70:P70)</f>
        <v>0</v>
      </c>
      <c r="Q71" s="292"/>
      <c r="R71" s="337">
        <f>SUM(R70:R70)</f>
        <v>0</v>
      </c>
      <c r="S71" s="337">
        <f>SUM(S70:S70)</f>
        <v>0</v>
      </c>
      <c r="T71" s="337">
        <f>SUM(T70:T70)</f>
        <v>0</v>
      </c>
      <c r="U71" s="337">
        <f>SUM(U70:U70)</f>
        <v>0</v>
      </c>
      <c r="V71" s="337">
        <f>SUM(V70:V70)</f>
        <v>0</v>
      </c>
    </row>
    <row r="72" spans="1:22">
      <c r="A72" s="54" t="s">
        <v>228</v>
      </c>
      <c r="B72" s="54"/>
      <c r="C72" s="56">
        <v>38383</v>
      </c>
      <c r="D72" s="57"/>
      <c r="E72" s="50">
        <f>7223.07/1.2</f>
        <v>6019.2250000000004</v>
      </c>
      <c r="F72" s="50">
        <f>-E72*$F$10</f>
        <v>0</v>
      </c>
      <c r="G72" s="50">
        <f>E72*$G$10</f>
        <v>0</v>
      </c>
      <c r="H72" s="50"/>
      <c r="I72" s="50">
        <f>+E72+F72-G72-H72</f>
        <v>6019.2250000000004</v>
      </c>
      <c r="J72" s="50">
        <f>+I72+(I72*$I$4)</f>
        <v>7223.0700000000006</v>
      </c>
      <c r="K72" s="50"/>
      <c r="L72" s="51">
        <v>38482</v>
      </c>
      <c r="M72" s="51"/>
      <c r="N72" s="52">
        <f>-IF(L72=0,,IF(M72=0,($C$10-L72),M72-L72))</f>
        <v>-4612</v>
      </c>
      <c r="O72" s="50">
        <f>+J72-K72</f>
        <v>7223.0700000000006</v>
      </c>
      <c r="P72" s="50">
        <f>+IF($C$10&lt;L72,0,O72)</f>
        <v>7223.0700000000006</v>
      </c>
      <c r="Q72" s="53"/>
      <c r="R72" s="316">
        <f>IF(N72&gt;=0,0,(IF(-N72&lt;=60,O72,0)))</f>
        <v>0</v>
      </c>
      <c r="S72" s="316">
        <f>IF(N72&gt;=0,0,(IF(N72&gt;=-60,0,IF(-60&gt;=N72,IF(N72&gt;=-120,O72,0)))))</f>
        <v>0</v>
      </c>
      <c r="T72" s="316">
        <f>IF(N72&gt;=0,0,(IF(N72&gt;-60,0,IF(-60&gt;=N72,IF(N72&gt;=-120,0,IF(N72&gt;=-180,O72,0))))))</f>
        <v>0</v>
      </c>
      <c r="U72" s="316">
        <f>IF(N72&gt;=0,0,(IF(N72&gt;-60,0,IF(-60&gt;=N72,IF(N72&gt;-120,0,IF(N72&gt;=-180,0,IF(N72&gt;=-365,O72,0)))))))</f>
        <v>0</v>
      </c>
      <c r="V72" s="316">
        <f>IF(N72&gt;=0,0,IF(365&lt;-N72,O72,0))</f>
        <v>7223.0700000000006</v>
      </c>
    </row>
    <row r="73" spans="1:22" s="290" customFormat="1" ht="15">
      <c r="A73" s="138"/>
      <c r="B73" s="138"/>
      <c r="C73" s="286"/>
      <c r="D73" s="140"/>
      <c r="E73" s="141">
        <f t="shared" ref="E73:K73" si="30">SUM(E72:E72)</f>
        <v>6019.2250000000004</v>
      </c>
      <c r="F73" s="141">
        <f t="shared" si="30"/>
        <v>0</v>
      </c>
      <c r="G73" s="141">
        <f t="shared" si="30"/>
        <v>0</v>
      </c>
      <c r="H73" s="141">
        <f t="shared" si="30"/>
        <v>0</v>
      </c>
      <c r="I73" s="141">
        <f t="shared" si="30"/>
        <v>6019.2250000000004</v>
      </c>
      <c r="J73" s="287">
        <f t="shared" si="30"/>
        <v>7223.0700000000006</v>
      </c>
      <c r="K73" s="287">
        <f t="shared" si="30"/>
        <v>0</v>
      </c>
      <c r="L73" s="139"/>
      <c r="M73" s="139"/>
      <c r="N73" s="142"/>
      <c r="O73" s="141">
        <f>SUM(O72)</f>
        <v>7223.0700000000006</v>
      </c>
      <c r="P73" s="141">
        <f>SUM(P72)</f>
        <v>7223.0700000000006</v>
      </c>
      <c r="Q73" s="292"/>
      <c r="R73" s="337">
        <f>SUM(R72)</f>
        <v>0</v>
      </c>
      <c r="S73" s="337">
        <f>SUM(S72)</f>
        <v>0</v>
      </c>
      <c r="T73" s="337">
        <f>SUM(T72)</f>
        <v>0</v>
      </c>
      <c r="U73" s="337">
        <f>SUM(U72)</f>
        <v>0</v>
      </c>
      <c r="V73" s="337">
        <f>SUM(V72)</f>
        <v>7223.0700000000006</v>
      </c>
    </row>
    <row r="74" spans="1:22">
      <c r="A74" s="54" t="s">
        <v>229</v>
      </c>
      <c r="B74" s="54"/>
      <c r="C74" s="56"/>
      <c r="D74" s="57"/>
      <c r="E74" s="50">
        <f>68742/1.2</f>
        <v>57285</v>
      </c>
      <c r="F74" s="50">
        <f>-E74*$F$10</f>
        <v>0</v>
      </c>
      <c r="G74" s="50">
        <f>E74*$G$10</f>
        <v>0</v>
      </c>
      <c r="H74" s="50"/>
      <c r="I74" s="50">
        <f>+E74+F74-G74-H74</f>
        <v>57285</v>
      </c>
      <c r="J74" s="50">
        <f>+I74+(I74*$I$4)</f>
        <v>68742</v>
      </c>
      <c r="K74" s="50">
        <v>68742</v>
      </c>
      <c r="L74" s="51"/>
      <c r="M74" s="51"/>
      <c r="N74" s="52">
        <f>-IF(L74=0,,IF(M74=0,($C$10-L74),M74-L74))</f>
        <v>0</v>
      </c>
      <c r="O74" s="50">
        <f>+J74-K74</f>
        <v>0</v>
      </c>
      <c r="P74" s="50">
        <f>+IF($C$10&lt;L74,0,O74)</f>
        <v>0</v>
      </c>
      <c r="Q74" s="53"/>
      <c r="R74" s="316">
        <f>IF(N74&gt;=0,0,(IF(-N74&lt;=60,O74,0)))</f>
        <v>0</v>
      </c>
      <c r="S74" s="316">
        <f>IF(N74&gt;=0,0,(IF(N74&gt;=-60,0,IF(-60&gt;=N74,IF(N74&gt;=-120,O74,0)))))</f>
        <v>0</v>
      </c>
      <c r="T74" s="316">
        <f>IF(N74&gt;=0,0,(IF(N74&gt;-60,0,IF(-60&gt;=N74,IF(N74&gt;=-120,0,IF(N74&gt;=-180,O74,0))))))</f>
        <v>0</v>
      </c>
      <c r="U74" s="316">
        <f>IF(N74&gt;=0,0,(IF(N74&gt;-60,0,IF(-60&gt;=N74,IF(N74&gt;-120,0,IF(N74&gt;=-180,0,IF(N74&gt;=-365,O74,0)))))))</f>
        <v>0</v>
      </c>
      <c r="V74" s="316">
        <f>IF(N74&gt;=0,0,IF(365&lt;-N74,O74,0))</f>
        <v>0</v>
      </c>
    </row>
    <row r="75" spans="1:22" s="290" customFormat="1" ht="15">
      <c r="A75" s="138"/>
      <c r="B75" s="138"/>
      <c r="C75" s="286"/>
      <c r="D75" s="140"/>
      <c r="E75" s="141">
        <f t="shared" ref="E75:K75" si="31">SUM(E74:E74)</f>
        <v>57285</v>
      </c>
      <c r="F75" s="141">
        <f t="shared" si="31"/>
        <v>0</v>
      </c>
      <c r="G75" s="141">
        <f t="shared" si="31"/>
        <v>0</v>
      </c>
      <c r="H75" s="141">
        <f t="shared" si="31"/>
        <v>0</v>
      </c>
      <c r="I75" s="141">
        <f t="shared" si="31"/>
        <v>57285</v>
      </c>
      <c r="J75" s="287">
        <f t="shared" si="31"/>
        <v>68742</v>
      </c>
      <c r="K75" s="287">
        <f t="shared" si="31"/>
        <v>68742</v>
      </c>
      <c r="L75" s="139"/>
      <c r="M75" s="139"/>
      <c r="N75" s="142"/>
      <c r="O75" s="141">
        <f>SUM(O74)</f>
        <v>0</v>
      </c>
      <c r="P75" s="141">
        <f>SUM(P74)</f>
        <v>0</v>
      </c>
      <c r="Q75" s="292"/>
      <c r="R75" s="337">
        <f>SUM(R74)</f>
        <v>0</v>
      </c>
      <c r="S75" s="337">
        <f>SUM(S74)</f>
        <v>0</v>
      </c>
      <c r="T75" s="337">
        <f>SUM(T74)</f>
        <v>0</v>
      </c>
      <c r="U75" s="337">
        <f>SUM(U74)</f>
        <v>0</v>
      </c>
      <c r="V75" s="337">
        <f>SUM(V74)</f>
        <v>0</v>
      </c>
    </row>
    <row r="76" spans="1:22">
      <c r="A76" s="54" t="s">
        <v>230</v>
      </c>
      <c r="B76" s="54"/>
      <c r="C76" s="56"/>
      <c r="D76" s="57"/>
      <c r="E76" s="50">
        <f>947571.6/1.2</f>
        <v>789643</v>
      </c>
      <c r="F76" s="50">
        <f>-E76*$F$10</f>
        <v>0</v>
      </c>
      <c r="G76" s="50">
        <f>E76*$G$10</f>
        <v>0</v>
      </c>
      <c r="H76" s="50"/>
      <c r="I76" s="50">
        <f>+E76+F76-G76-H76</f>
        <v>789643</v>
      </c>
      <c r="J76" s="50">
        <f>+I76+(I76*$I$4)</f>
        <v>947571.6</v>
      </c>
      <c r="K76" s="50">
        <v>947571.6</v>
      </c>
      <c r="L76" s="51"/>
      <c r="M76" s="51"/>
      <c r="N76" s="52">
        <f>-IF(L76=0,,IF(M76=0,($C$10-L76),M76-L76))</f>
        <v>0</v>
      </c>
      <c r="O76" s="50">
        <f>+J76-K76</f>
        <v>0</v>
      </c>
      <c r="P76" s="50">
        <f>+IF($C$10&lt;L76,0,O76)</f>
        <v>0</v>
      </c>
      <c r="Q76" s="53"/>
      <c r="R76" s="316">
        <f>IF(N76&gt;=0,0,(IF(-N76&lt;=60,O76,0)))</f>
        <v>0</v>
      </c>
      <c r="S76" s="316">
        <f>IF(N76&gt;=0,0,(IF(N76&gt;=-60,0,IF(-60&gt;=N76,IF(N76&gt;=-120,O76,0)))))</f>
        <v>0</v>
      </c>
      <c r="T76" s="316">
        <f>IF(N76&gt;=0,0,(IF(N76&gt;-60,0,IF(-60&gt;=N76,IF(N76&gt;=-120,0,IF(N76&gt;=-180,O76,0))))))</f>
        <v>0</v>
      </c>
      <c r="U76" s="316">
        <f>IF(N76&gt;=0,0,(IF(N76&gt;-60,0,IF(-60&gt;=N76,IF(N76&gt;-120,0,IF(N76&gt;=-180,0,IF(N76&gt;=-365,O76,0)))))))</f>
        <v>0</v>
      </c>
      <c r="V76" s="316">
        <f>IF(N76&gt;=0,0,IF(365&lt;-N76,O76,0))</f>
        <v>0</v>
      </c>
    </row>
    <row r="77" spans="1:22" s="290" customFormat="1" ht="15">
      <c r="A77" s="138"/>
      <c r="B77" s="138"/>
      <c r="C77" s="286"/>
      <c r="D77" s="140"/>
      <c r="E77" s="141">
        <f t="shared" ref="E77:K77" si="32">SUM(E76:E76)</f>
        <v>789643</v>
      </c>
      <c r="F77" s="141">
        <f t="shared" si="32"/>
        <v>0</v>
      </c>
      <c r="G77" s="141">
        <f t="shared" si="32"/>
        <v>0</v>
      </c>
      <c r="H77" s="141">
        <f t="shared" si="32"/>
        <v>0</v>
      </c>
      <c r="I77" s="141">
        <f t="shared" si="32"/>
        <v>789643</v>
      </c>
      <c r="J77" s="287">
        <f t="shared" si="32"/>
        <v>947571.6</v>
      </c>
      <c r="K77" s="287">
        <f t="shared" si="32"/>
        <v>947571.6</v>
      </c>
      <c r="L77" s="139"/>
      <c r="M77" s="139"/>
      <c r="N77" s="142"/>
      <c r="O77" s="141">
        <f>SUM(O76:O76)</f>
        <v>0</v>
      </c>
      <c r="P77" s="141">
        <f>SUM(P76:P76)</f>
        <v>0</v>
      </c>
      <c r="Q77" s="292"/>
      <c r="R77" s="337">
        <f>SUM(R76:R76)</f>
        <v>0</v>
      </c>
      <c r="S77" s="337">
        <f>SUM(S76:S76)</f>
        <v>0</v>
      </c>
      <c r="T77" s="337">
        <f>SUM(T76:T76)</f>
        <v>0</v>
      </c>
      <c r="U77" s="337">
        <f>SUM(U76:U76)</f>
        <v>0</v>
      </c>
      <c r="V77" s="337">
        <f>SUM(V76:V76)</f>
        <v>0</v>
      </c>
    </row>
    <row r="78" spans="1:22">
      <c r="A78" s="54" t="s">
        <v>166</v>
      </c>
      <c r="B78" s="54"/>
      <c r="C78" s="56"/>
      <c r="D78" s="57"/>
      <c r="E78" s="50">
        <v>18652.099999999999</v>
      </c>
      <c r="F78" s="50">
        <f>-E78*$F$10</f>
        <v>0</v>
      </c>
      <c r="G78" s="50">
        <f>E78*$G$10</f>
        <v>0</v>
      </c>
      <c r="H78" s="50"/>
      <c r="I78" s="50">
        <f>+E78+F78-G78-H78</f>
        <v>18652.099999999999</v>
      </c>
      <c r="J78" s="50">
        <f>+I78+(I78*$I$4)</f>
        <v>22382.519999999997</v>
      </c>
      <c r="K78" s="50">
        <v>22382.519999999997</v>
      </c>
      <c r="L78" s="51"/>
      <c r="M78" s="51"/>
      <c r="N78" s="52">
        <f>-IF(L78=0,,IF(M78=0,($C$10-L78),M78-L78))</f>
        <v>0</v>
      </c>
      <c r="O78" s="50">
        <f>+J78-K78</f>
        <v>0</v>
      </c>
      <c r="P78" s="50">
        <f>+IF($C$10&lt;L78,0,O78)</f>
        <v>0</v>
      </c>
      <c r="Q78" s="53"/>
      <c r="R78" s="316">
        <f>IF(N78&gt;=0,0,(IF(-N78&lt;=60,O78,0)))</f>
        <v>0</v>
      </c>
      <c r="S78" s="316">
        <f>IF(N78&gt;=0,0,(IF(N78&gt;=-60,0,IF(-60&gt;=N78,IF(N78&gt;=-120,O78,0)))))</f>
        <v>0</v>
      </c>
      <c r="T78" s="316">
        <f>IF(N78&gt;=0,0,(IF(N78&gt;-60,0,IF(-60&gt;=N78,IF(N78&gt;=-120,0,IF(N78&gt;=-180,O78,0))))))</f>
        <v>0</v>
      </c>
      <c r="U78" s="316">
        <f>IF(N78&gt;=0,0,(IF(N78&gt;-60,0,IF(-60&gt;=N78,IF(N78&gt;-120,0,IF(N78&gt;=-180,0,IF(N78&gt;=-365,O78,0)))))))</f>
        <v>0</v>
      </c>
      <c r="V78" s="316">
        <f>IF(N78&gt;=0,0,IF(365&lt;-N78,O78,0))</f>
        <v>0</v>
      </c>
    </row>
    <row r="79" spans="1:22" s="290" customFormat="1" ht="15">
      <c r="A79" s="138"/>
      <c r="B79" s="138"/>
      <c r="C79" s="286"/>
      <c r="D79" s="140"/>
      <c r="E79" s="141">
        <f t="shared" ref="E79:K79" si="33">SUM(E78:E78)</f>
        <v>18652.099999999999</v>
      </c>
      <c r="F79" s="141">
        <f t="shared" si="33"/>
        <v>0</v>
      </c>
      <c r="G79" s="141">
        <f t="shared" si="33"/>
        <v>0</v>
      </c>
      <c r="H79" s="141">
        <f t="shared" si="33"/>
        <v>0</v>
      </c>
      <c r="I79" s="141">
        <f t="shared" si="33"/>
        <v>18652.099999999999</v>
      </c>
      <c r="J79" s="287">
        <f t="shared" si="33"/>
        <v>22382.519999999997</v>
      </c>
      <c r="K79" s="287">
        <f t="shared" si="33"/>
        <v>22382.519999999997</v>
      </c>
      <c r="L79" s="139"/>
      <c r="M79" s="139"/>
      <c r="N79" s="142"/>
      <c r="O79" s="141">
        <f>SUM(O78:O78)</f>
        <v>0</v>
      </c>
      <c r="P79" s="141">
        <f>SUM(P78:P78)</f>
        <v>0</v>
      </c>
      <c r="Q79" s="292"/>
      <c r="R79" s="337">
        <f>SUM(R78:R78)</f>
        <v>0</v>
      </c>
      <c r="S79" s="337">
        <f>SUM(S78:S78)</f>
        <v>0</v>
      </c>
      <c r="T79" s="337">
        <f>SUM(T78:T78)</f>
        <v>0</v>
      </c>
      <c r="U79" s="337">
        <f>SUM(U78:U78)</f>
        <v>0</v>
      </c>
      <c r="V79" s="337">
        <f>SUM(V78:V78)</f>
        <v>0</v>
      </c>
    </row>
    <row r="80" spans="1:22">
      <c r="A80" s="54" t="s">
        <v>231</v>
      </c>
      <c r="B80" s="54"/>
      <c r="C80" s="56"/>
      <c r="D80" s="57"/>
      <c r="E80" s="50"/>
      <c r="F80" s="50">
        <f>-E80*$F$10</f>
        <v>0</v>
      </c>
      <c r="G80" s="50">
        <f>E80*$G$10</f>
        <v>0</v>
      </c>
      <c r="H80" s="50"/>
      <c r="I80" s="50">
        <f>+E80+F80-G80-H80</f>
        <v>0</v>
      </c>
      <c r="J80" s="50">
        <f>+I80+(I80*$I$4)</f>
        <v>0</v>
      </c>
      <c r="K80" s="50"/>
      <c r="L80" s="51"/>
      <c r="M80" s="51"/>
      <c r="N80" s="52">
        <f>-IF(L80=0,,IF(M80=0,($C$10-L80),M80-L80))</f>
        <v>0</v>
      </c>
      <c r="O80" s="50">
        <f>+J80-K80</f>
        <v>0</v>
      </c>
      <c r="P80" s="50">
        <f>+IF($C$10&lt;L80,0,O80)</f>
        <v>0</v>
      </c>
      <c r="Q80" s="53"/>
      <c r="R80" s="316">
        <f>IF(N80&gt;=0,0,(IF(-N80&lt;=60,O80,0)))</f>
        <v>0</v>
      </c>
      <c r="S80" s="316">
        <f>IF(N80&gt;=0,0,(IF(N80&gt;=-60,0,IF(-60&gt;=N80,IF(N80&gt;=-120,O80,0)))))</f>
        <v>0</v>
      </c>
      <c r="T80" s="316">
        <f>IF(N80&gt;=0,0,(IF(N80&gt;-60,0,IF(-60&gt;=N80,IF(N80&gt;=-120,0,IF(N80&gt;=-180,O80,0))))))</f>
        <v>0</v>
      </c>
      <c r="U80" s="316">
        <f>IF(N80&gt;=0,0,(IF(N80&gt;-60,0,IF(-60&gt;=N80,IF(N80&gt;-120,0,IF(N80&gt;=-180,0,IF(N80&gt;=-365,O80,0)))))))</f>
        <v>0</v>
      </c>
      <c r="V80" s="316">
        <f>IF(N80&gt;=0,0,IF(365&lt;-N80,O80,0))</f>
        <v>0</v>
      </c>
    </row>
    <row r="81" spans="1:22" s="290" customFormat="1" ht="15">
      <c r="A81" s="138"/>
      <c r="B81" s="138"/>
      <c r="C81" s="286"/>
      <c r="D81" s="140"/>
      <c r="E81" s="141">
        <f t="shared" ref="E81:K81" si="34">SUM(E80:E80)</f>
        <v>0</v>
      </c>
      <c r="F81" s="141">
        <f t="shared" si="34"/>
        <v>0</v>
      </c>
      <c r="G81" s="141">
        <f t="shared" si="34"/>
        <v>0</v>
      </c>
      <c r="H81" s="141">
        <f t="shared" si="34"/>
        <v>0</v>
      </c>
      <c r="I81" s="141">
        <f t="shared" si="34"/>
        <v>0</v>
      </c>
      <c r="J81" s="287">
        <f t="shared" si="34"/>
        <v>0</v>
      </c>
      <c r="K81" s="287">
        <f t="shared" si="34"/>
        <v>0</v>
      </c>
      <c r="L81" s="139"/>
      <c r="M81" s="139"/>
      <c r="N81" s="142"/>
      <c r="O81" s="141">
        <f>SUM(O80:O80)</f>
        <v>0</v>
      </c>
      <c r="P81" s="141">
        <f>SUM(P80:P80)</f>
        <v>0</v>
      </c>
      <c r="Q81" s="292"/>
      <c r="R81" s="337">
        <f>SUM(R80:R80)</f>
        <v>0</v>
      </c>
      <c r="S81" s="337">
        <f>SUM(S80:S80)</f>
        <v>0</v>
      </c>
      <c r="T81" s="337">
        <f>SUM(T80:T80)</f>
        <v>0</v>
      </c>
      <c r="U81" s="337">
        <f>SUM(U80:U80)</f>
        <v>0</v>
      </c>
      <c r="V81" s="337">
        <f>SUM(V80:V80)</f>
        <v>0</v>
      </c>
    </row>
    <row r="82" spans="1:22" ht="17.25" thickBot="1">
      <c r="A82" s="54"/>
      <c r="B82" s="55"/>
      <c r="C82" s="56"/>
      <c r="D82" s="57"/>
      <c r="E82" s="50"/>
      <c r="F82" s="50"/>
      <c r="G82" s="50"/>
      <c r="H82" s="50"/>
      <c r="I82" s="50"/>
      <c r="J82" s="50"/>
      <c r="K82" s="50"/>
      <c r="L82" s="51"/>
      <c r="M82" s="51"/>
      <c r="N82" s="59"/>
      <c r="O82" s="50"/>
      <c r="P82" s="55">
        <f>+IF($C$10&lt;L82,0,O82)</f>
        <v>0</v>
      </c>
      <c r="Q82" s="53"/>
      <c r="R82" s="285"/>
      <c r="S82" s="285"/>
      <c r="T82" s="285"/>
      <c r="U82" s="285"/>
      <c r="V82" s="285"/>
    </row>
    <row r="83" spans="1:22" s="292" customFormat="1" ht="15.75" thickBot="1">
      <c r="A83" s="297"/>
      <c r="B83" s="298" t="s">
        <v>58</v>
      </c>
      <c r="C83" s="298"/>
      <c r="D83" s="298"/>
      <c r="E83" s="299">
        <f t="shared" ref="E83:K83" si="35">SUM(E12:E82)/2</f>
        <v>18728401.775000013</v>
      </c>
      <c r="F83" s="299">
        <f t="shared" si="35"/>
        <v>0</v>
      </c>
      <c r="G83" s="299">
        <f t="shared" si="35"/>
        <v>0</v>
      </c>
      <c r="H83" s="299">
        <f t="shared" si="35"/>
        <v>0</v>
      </c>
      <c r="I83" s="299">
        <f t="shared" si="35"/>
        <v>18728401.775000013</v>
      </c>
      <c r="J83" s="299">
        <f t="shared" si="35"/>
        <v>22474082.130000006</v>
      </c>
      <c r="K83" s="299">
        <f t="shared" si="35"/>
        <v>22466859.060000006</v>
      </c>
      <c r="L83" s="300"/>
      <c r="M83" s="300"/>
      <c r="N83" s="300"/>
      <c r="O83" s="299">
        <f>SUM(O12:O82)/2</f>
        <v>7223.0700000000006</v>
      </c>
      <c r="P83" s="299">
        <f>SUM(P12:P82)/2</f>
        <v>7223.0700000000006</v>
      </c>
      <c r="R83" s="301">
        <f>SUM(R12:R82)/2</f>
        <v>0</v>
      </c>
      <c r="S83" s="301">
        <f>SUM(S12:S82)/2</f>
        <v>0</v>
      </c>
      <c r="T83" s="301">
        <f>SUM(T12:T82)/2</f>
        <v>0</v>
      </c>
      <c r="U83" s="301">
        <f>SUM(U12:U82)/2</f>
        <v>0</v>
      </c>
      <c r="V83" s="301">
        <f>SUM(V12:V82)/2</f>
        <v>7223.0700000000006</v>
      </c>
    </row>
    <row r="84" spans="1:22">
      <c r="A84" s="66"/>
      <c r="B84" s="67"/>
      <c r="C84" s="67"/>
      <c r="D84" s="68" t="s">
        <v>59</v>
      </c>
      <c r="E84" s="69">
        <f>+E83/$M$7</f>
        <v>1.0353783769614238</v>
      </c>
      <c r="F84" s="67"/>
      <c r="G84" s="67"/>
      <c r="H84" s="67"/>
      <c r="I84" s="67"/>
      <c r="J84" s="68" t="s">
        <v>60</v>
      </c>
      <c r="K84" s="69">
        <f>+K83/J83</f>
        <v>0.99967860444941781</v>
      </c>
      <c r="L84" s="67"/>
      <c r="M84" s="67"/>
      <c r="N84" s="67"/>
      <c r="O84" s="67"/>
      <c r="P84" s="70"/>
      <c r="Q84" s="53"/>
      <c r="R84" s="53"/>
      <c r="S84" s="53"/>
      <c r="T84" s="53"/>
      <c r="U84" s="53"/>
      <c r="V84" s="53"/>
    </row>
    <row r="85" spans="1:22" ht="17.25" thickBot="1">
      <c r="A85" s="71"/>
      <c r="B85" s="72"/>
      <c r="C85" s="72"/>
      <c r="D85" s="73" t="s">
        <v>61</v>
      </c>
      <c r="E85" s="74">
        <f>+$M$7-$E$83</f>
        <v>-639940.40500001237</v>
      </c>
      <c r="F85" s="75">
        <f>+E85/M7</f>
        <v>-3.5378376961423798E-2</v>
      </c>
      <c r="G85" s="72"/>
      <c r="H85" s="72"/>
      <c r="I85" s="72"/>
      <c r="J85" s="303"/>
      <c r="K85" s="72"/>
      <c r="L85" s="72"/>
      <c r="M85" s="72"/>
      <c r="N85" s="72"/>
      <c r="O85" s="72"/>
      <c r="P85" s="76"/>
      <c r="Q85" s="53"/>
      <c r="R85" s="53"/>
      <c r="S85" s="53"/>
      <c r="T85" s="53"/>
      <c r="U85" s="53"/>
      <c r="V85" s="53"/>
    </row>
    <row r="86" spans="1:22">
      <c r="A86" s="53"/>
      <c r="B86" s="66"/>
      <c r="C86" s="67"/>
      <c r="D86" s="67"/>
      <c r="E86" s="67"/>
      <c r="F86" s="67"/>
      <c r="G86" s="67"/>
      <c r="H86" s="67"/>
      <c r="I86" s="67"/>
      <c r="J86" s="67"/>
      <c r="K86" s="67"/>
      <c r="L86" s="67"/>
      <c r="M86" s="67"/>
      <c r="N86" s="70"/>
      <c r="O86" s="53"/>
      <c r="P86" s="53"/>
      <c r="Q86" s="53"/>
      <c r="R86" s="53"/>
      <c r="S86" s="53"/>
      <c r="T86" s="53"/>
      <c r="U86" s="53"/>
      <c r="V86" s="53"/>
    </row>
    <row r="87" spans="1:22" ht="21">
      <c r="A87" s="53"/>
      <c r="B87" s="275"/>
      <c r="C87" s="182" t="s">
        <v>62</v>
      </c>
      <c r="D87" s="182"/>
      <c r="E87" s="182"/>
      <c r="F87" s="182"/>
      <c r="G87" s="182"/>
      <c r="H87" s="182" t="s">
        <v>232</v>
      </c>
      <c r="I87" s="145"/>
      <c r="J87" s="145"/>
      <c r="K87" s="145"/>
      <c r="L87" s="145"/>
      <c r="M87" s="145"/>
      <c r="N87" s="146"/>
      <c r="O87" s="53"/>
      <c r="P87" s="53"/>
      <c r="Q87" s="53"/>
      <c r="R87" s="53"/>
      <c r="S87" s="53"/>
      <c r="T87" s="53"/>
      <c r="U87" s="53"/>
      <c r="V87" s="53"/>
    </row>
    <row r="88" spans="1:22" ht="17.25" thickBot="1">
      <c r="A88" s="53"/>
      <c r="B88" s="275"/>
      <c r="C88" s="145"/>
      <c r="D88" s="145"/>
      <c r="E88" s="145"/>
      <c r="F88" s="145"/>
      <c r="G88" s="147"/>
      <c r="H88" s="145"/>
      <c r="I88" s="145"/>
      <c r="J88" s="145"/>
      <c r="K88" s="145"/>
      <c r="L88" s="145"/>
      <c r="M88" s="145"/>
      <c r="N88" s="146"/>
      <c r="O88" s="53"/>
      <c r="P88" s="53"/>
      <c r="Q88" s="53"/>
      <c r="R88" s="53"/>
      <c r="S88" s="53"/>
      <c r="T88" s="53"/>
      <c r="U88" s="53"/>
      <c r="V88" s="53"/>
    </row>
    <row r="89" spans="1:22" ht="17.25" thickBot="1">
      <c r="A89" s="53"/>
      <c r="B89" s="275"/>
      <c r="C89" s="379" t="s">
        <v>63</v>
      </c>
      <c r="D89" s="380"/>
      <c r="E89" s="381"/>
      <c r="F89" s="148" t="s">
        <v>64</v>
      </c>
      <c r="G89" s="149">
        <f>+M7</f>
        <v>18088461.370000001</v>
      </c>
      <c r="H89" s="150"/>
      <c r="I89" s="151"/>
      <c r="J89" s="150"/>
      <c r="K89" s="150"/>
      <c r="L89" s="150"/>
      <c r="M89" s="150"/>
      <c r="N89" s="152"/>
      <c r="O89" s="53"/>
      <c r="P89" s="53"/>
      <c r="Q89" s="53"/>
      <c r="R89" s="53"/>
      <c r="S89" s="53"/>
      <c r="T89" s="53"/>
      <c r="U89" s="53"/>
      <c r="V89" s="53"/>
    </row>
    <row r="90" spans="1:22" ht="17.25" thickBot="1">
      <c r="A90" s="53"/>
      <c r="B90" s="275"/>
      <c r="C90" s="148"/>
      <c r="D90" s="148"/>
      <c r="E90" s="148"/>
      <c r="F90" s="148"/>
      <c r="G90" s="150"/>
      <c r="H90" s="150"/>
      <c r="I90" s="150"/>
      <c r="J90" s="150"/>
      <c r="K90" s="150"/>
      <c r="L90" s="150"/>
      <c r="M90" s="150"/>
      <c r="N90" s="152"/>
      <c r="O90" s="53"/>
      <c r="P90" s="53"/>
      <c r="Q90" s="53"/>
      <c r="R90" s="53"/>
      <c r="S90" s="53"/>
      <c r="T90" s="53"/>
      <c r="U90" s="53"/>
      <c r="V90" s="53"/>
    </row>
    <row r="91" spans="1:22" ht="17.25" thickBot="1">
      <c r="A91" s="53"/>
      <c r="B91" s="275"/>
      <c r="C91" s="382" t="s">
        <v>65</v>
      </c>
      <c r="D91" s="383"/>
      <c r="E91" s="384"/>
      <c r="F91" s="148" t="s">
        <v>64</v>
      </c>
      <c r="G91" s="154">
        <f>+E83</f>
        <v>18728401.775000013</v>
      </c>
      <c r="H91" s="150"/>
      <c r="I91" s="150"/>
      <c r="J91" s="91">
        <f>G91/G89</f>
        <v>1.0353783769614238</v>
      </c>
      <c r="K91" s="155" t="s">
        <v>66</v>
      </c>
      <c r="L91" s="156"/>
      <c r="M91" s="156"/>
      <c r="N91" s="152"/>
      <c r="O91" s="53"/>
      <c r="P91" s="53"/>
      <c r="Q91" s="53"/>
      <c r="R91" s="53"/>
      <c r="S91" s="53"/>
      <c r="T91" s="53"/>
      <c r="U91" s="53"/>
      <c r="V91" s="53"/>
    </row>
    <row r="92" spans="1:22" ht="17.25" thickBot="1">
      <c r="B92" s="276"/>
      <c r="C92" s="148"/>
      <c r="D92" s="148"/>
      <c r="E92" s="148"/>
      <c r="F92" s="148"/>
      <c r="G92" s="150"/>
      <c r="H92" s="150"/>
      <c r="I92" s="150"/>
      <c r="J92" s="150"/>
      <c r="K92" s="157"/>
      <c r="L92" s="150"/>
      <c r="M92" s="150"/>
      <c r="N92" s="152"/>
    </row>
    <row r="93" spans="1:22" ht="17.25" thickBot="1">
      <c r="B93" s="276"/>
      <c r="C93" s="376" t="s">
        <v>91</v>
      </c>
      <c r="D93" s="377"/>
      <c r="E93" s="378"/>
      <c r="F93" s="148" t="s">
        <v>68</v>
      </c>
      <c r="G93" s="96">
        <f>+K83</f>
        <v>22466859.060000006</v>
      </c>
      <c r="H93" s="150"/>
      <c r="I93" s="150"/>
      <c r="J93" s="97">
        <f>+G93/J83</f>
        <v>0.99967860444941781</v>
      </c>
      <c r="K93" s="277" t="s">
        <v>69</v>
      </c>
      <c r="L93" s="158"/>
      <c r="M93" s="158"/>
      <c r="N93" s="152"/>
    </row>
    <row r="94" spans="1:22" ht="17.25" thickBot="1">
      <c r="B94" s="276"/>
      <c r="C94" s="148"/>
      <c r="D94" s="148"/>
      <c r="E94" s="148"/>
      <c r="F94" s="148"/>
      <c r="G94" s="150"/>
      <c r="H94" s="150"/>
      <c r="I94" s="150"/>
      <c r="J94" s="150"/>
      <c r="K94" s="157"/>
      <c r="L94" s="150"/>
      <c r="M94" s="150"/>
      <c r="N94" s="152"/>
    </row>
    <row r="95" spans="1:22" ht="17.25" thickBot="1">
      <c r="B95" s="276"/>
      <c r="C95" s="376" t="s">
        <v>70</v>
      </c>
      <c r="D95" s="377"/>
      <c r="E95" s="378"/>
      <c r="F95" s="148" t="s">
        <v>68</v>
      </c>
      <c r="G95" s="100">
        <f>+O83</f>
        <v>7223.0700000000006</v>
      </c>
      <c r="H95" s="150"/>
      <c r="I95" s="150"/>
      <c r="J95" s="101">
        <f>+G95/J83</f>
        <v>3.2139555058215846E-4</v>
      </c>
      <c r="K95" s="277" t="s">
        <v>69</v>
      </c>
      <c r="L95" s="159"/>
      <c r="M95" s="159"/>
      <c r="N95" s="152"/>
    </row>
    <row r="96" spans="1:22" ht="17.25" thickBot="1">
      <c r="B96" s="276"/>
      <c r="C96" s="148"/>
      <c r="D96" s="148"/>
      <c r="E96" s="148"/>
      <c r="F96" s="148"/>
      <c r="G96" s="150"/>
      <c r="H96" s="150"/>
      <c r="I96" s="150"/>
      <c r="J96" s="150"/>
      <c r="K96" s="157"/>
      <c r="L96" s="150"/>
      <c r="M96" s="150"/>
      <c r="N96" s="152"/>
    </row>
    <row r="97" spans="2:14" ht="17.25" thickBot="1">
      <c r="B97" s="276"/>
      <c r="C97" s="376" t="s">
        <v>92</v>
      </c>
      <c r="D97" s="377"/>
      <c r="E97" s="378"/>
      <c r="F97" s="148" t="s">
        <v>68</v>
      </c>
      <c r="G97" s="104">
        <f>+P83</f>
        <v>7223.0700000000006</v>
      </c>
      <c r="H97" s="150"/>
      <c r="I97" s="150"/>
      <c r="J97" s="105">
        <f>+G97/J83</f>
        <v>3.2139555058215846E-4</v>
      </c>
      <c r="K97" s="277" t="s">
        <v>69</v>
      </c>
      <c r="L97" s="158"/>
      <c r="M97" s="158"/>
      <c r="N97" s="152"/>
    </row>
    <row r="98" spans="2:14" ht="17.25" thickBot="1">
      <c r="B98" s="160"/>
      <c r="C98" s="161"/>
      <c r="D98" s="161"/>
      <c r="E98" s="161"/>
      <c r="F98" s="161"/>
      <c r="G98" s="161"/>
      <c r="H98" s="161"/>
      <c r="I98" s="161"/>
      <c r="J98" s="161"/>
      <c r="K98" s="161"/>
      <c r="L98" s="161"/>
      <c r="M98" s="161"/>
      <c r="N98" s="162"/>
    </row>
  </sheetData>
  <mergeCells count="18">
    <mergeCell ref="O10:P10"/>
    <mergeCell ref="C89:E89"/>
    <mergeCell ref="C1:E2"/>
    <mergeCell ref="F1:F2"/>
    <mergeCell ref="G1:J1"/>
    <mergeCell ref="M1:N1"/>
    <mergeCell ref="M2:N2"/>
    <mergeCell ref="C3:E4"/>
    <mergeCell ref="M3:N3"/>
    <mergeCell ref="M4:N4"/>
    <mergeCell ref="C91:E91"/>
    <mergeCell ref="C93:E93"/>
    <mergeCell ref="C95:E95"/>
    <mergeCell ref="C97:E97"/>
    <mergeCell ref="M5:N5"/>
    <mergeCell ref="M6:N6"/>
    <mergeCell ref="M7:N7"/>
    <mergeCell ref="M8:N8"/>
  </mergeCells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V82"/>
  <sheetViews>
    <sheetView workbookViewId="0"/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2" ht="21" customHeight="1">
      <c r="A1" s="270" t="s">
        <v>11</v>
      </c>
      <c r="B1" s="165"/>
      <c r="C1" s="390" t="s">
        <v>108</v>
      </c>
      <c r="D1" s="390"/>
      <c r="E1" s="390"/>
      <c r="F1" s="392"/>
      <c r="G1" s="394" t="s">
        <v>12</v>
      </c>
      <c r="H1" s="395"/>
      <c r="I1" s="395"/>
      <c r="J1" s="396"/>
      <c r="K1" s="112" t="s">
        <v>13</v>
      </c>
      <c r="L1" s="113"/>
      <c r="M1" s="397">
        <v>26329736.289999999</v>
      </c>
      <c r="N1" s="397"/>
      <c r="O1" s="114" t="s">
        <v>14</v>
      </c>
      <c r="P1" s="115"/>
    </row>
    <row r="2" spans="1:22" ht="21">
      <c r="A2" s="271"/>
      <c r="B2" s="121"/>
      <c r="C2" s="391"/>
      <c r="D2" s="391"/>
      <c r="E2" s="391"/>
      <c r="F2" s="393"/>
      <c r="G2" s="166" t="s">
        <v>15</v>
      </c>
      <c r="H2" s="167"/>
      <c r="I2" s="168">
        <v>90</v>
      </c>
      <c r="J2" s="169"/>
      <c r="K2" s="116" t="s">
        <v>16</v>
      </c>
      <c r="L2" s="117"/>
      <c r="M2" s="398"/>
      <c r="N2" s="398"/>
      <c r="O2" s="117"/>
      <c r="P2" s="118"/>
    </row>
    <row r="3" spans="1:22" ht="21" customHeight="1">
      <c r="A3" s="271" t="s">
        <v>17</v>
      </c>
      <c r="B3" s="121"/>
      <c r="C3" s="391"/>
      <c r="D3" s="391"/>
      <c r="E3" s="391"/>
      <c r="F3" s="119"/>
      <c r="G3" s="166" t="s">
        <v>19</v>
      </c>
      <c r="H3" s="167"/>
      <c r="I3" s="170" t="s">
        <v>20</v>
      </c>
      <c r="J3" s="171"/>
      <c r="K3" s="116" t="s">
        <v>109</v>
      </c>
      <c r="L3" s="117"/>
      <c r="M3" s="398">
        <v>5892.94</v>
      </c>
      <c r="N3" s="398"/>
      <c r="O3" s="117"/>
      <c r="P3" s="118"/>
    </row>
    <row r="4" spans="1:22">
      <c r="A4" s="271"/>
      <c r="B4" s="121"/>
      <c r="C4" s="391"/>
      <c r="D4" s="391"/>
      <c r="E4" s="391"/>
      <c r="F4" s="120"/>
      <c r="G4" s="166" t="s">
        <v>22</v>
      </c>
      <c r="H4" s="167"/>
      <c r="I4" s="172">
        <v>0.2</v>
      </c>
      <c r="J4" s="171"/>
      <c r="K4" s="116"/>
      <c r="L4" s="117"/>
      <c r="M4" s="398"/>
      <c r="N4" s="398"/>
      <c r="O4" s="117"/>
      <c r="P4" s="118"/>
    </row>
    <row r="5" spans="1:22">
      <c r="A5" s="271" t="s">
        <v>24</v>
      </c>
      <c r="B5" s="121"/>
      <c r="C5" s="121"/>
      <c r="D5" s="122"/>
      <c r="E5" s="123"/>
      <c r="F5" s="124"/>
      <c r="G5" s="166" t="s">
        <v>25</v>
      </c>
      <c r="H5" s="167"/>
      <c r="I5" s="170"/>
      <c r="J5" s="171" t="s">
        <v>26</v>
      </c>
      <c r="K5" s="116"/>
      <c r="L5" s="117"/>
      <c r="M5" s="398"/>
      <c r="N5" s="398"/>
      <c r="O5" s="117"/>
      <c r="P5" s="118"/>
    </row>
    <row r="6" spans="1:22">
      <c r="A6" s="271" t="s">
        <v>86</v>
      </c>
      <c r="B6" s="121"/>
      <c r="C6" s="121"/>
      <c r="D6" s="174"/>
      <c r="E6" s="125"/>
      <c r="F6" s="126"/>
      <c r="G6" s="166"/>
      <c r="H6" s="170" t="s">
        <v>28</v>
      </c>
      <c r="I6" s="173">
        <v>0</v>
      </c>
      <c r="J6" s="171" t="s">
        <v>89</v>
      </c>
      <c r="K6" s="116" t="s">
        <v>110</v>
      </c>
      <c r="L6" s="117"/>
      <c r="M6" s="398"/>
      <c r="N6" s="398"/>
      <c r="O6" s="117"/>
      <c r="P6" s="118"/>
    </row>
    <row r="7" spans="1:22">
      <c r="A7" s="271" t="s">
        <v>87</v>
      </c>
      <c r="B7" s="121"/>
      <c r="C7" s="121"/>
      <c r="D7" s="174"/>
      <c r="E7" s="125"/>
      <c r="F7" s="126"/>
      <c r="G7" s="166"/>
      <c r="H7" s="170" t="s">
        <v>30</v>
      </c>
      <c r="I7" s="173">
        <v>0</v>
      </c>
      <c r="J7" s="171" t="s">
        <v>89</v>
      </c>
      <c r="K7" s="127" t="s">
        <v>31</v>
      </c>
      <c r="L7" s="128"/>
      <c r="M7" s="399">
        <f>SUM(M1:M6)</f>
        <v>26335629.23</v>
      </c>
      <c r="N7" s="399"/>
      <c r="O7" s="117"/>
      <c r="P7" s="118"/>
    </row>
    <row r="8" spans="1:22">
      <c r="A8" s="129" t="s">
        <v>88</v>
      </c>
      <c r="B8" s="130"/>
      <c r="C8" s="130"/>
      <c r="D8" s="175" t="s">
        <v>233</v>
      </c>
      <c r="E8" s="131"/>
      <c r="F8" s="132"/>
      <c r="G8" s="176"/>
      <c r="H8" s="177" t="s">
        <v>32</v>
      </c>
      <c r="I8" s="178">
        <v>0</v>
      </c>
      <c r="J8" s="179" t="s">
        <v>89</v>
      </c>
      <c r="K8" s="133" t="s">
        <v>33</v>
      </c>
      <c r="L8" s="134"/>
      <c r="M8" s="400">
        <f>+M7*(1+$I$4)</f>
        <v>31602755.075999998</v>
      </c>
      <c r="N8" s="400"/>
      <c r="O8" s="135"/>
      <c r="P8" s="136"/>
    </row>
    <row r="10" spans="1:22" ht="21" customHeight="1">
      <c r="B10" s="5" t="s">
        <v>34</v>
      </c>
      <c r="C10" s="137">
        <v>43094</v>
      </c>
      <c r="E10" s="44"/>
      <c r="F10" s="45">
        <v>0</v>
      </c>
      <c r="G10" s="46"/>
      <c r="O10" s="385" t="s">
        <v>35</v>
      </c>
      <c r="P10" s="386"/>
    </row>
    <row r="11" spans="1:22" ht="60">
      <c r="A11" s="180" t="s">
        <v>112</v>
      </c>
      <c r="B11" s="181" t="s">
        <v>37</v>
      </c>
      <c r="C11" s="181" t="s">
        <v>38</v>
      </c>
      <c r="D11" s="180" t="s">
        <v>39</v>
      </c>
      <c r="E11" s="181" t="s">
        <v>40</v>
      </c>
      <c r="F11" s="181" t="s">
        <v>41</v>
      </c>
      <c r="G11" s="181" t="s">
        <v>42</v>
      </c>
      <c r="H11" s="181" t="s">
        <v>43</v>
      </c>
      <c r="I11" s="181" t="s">
        <v>44</v>
      </c>
      <c r="J11" s="181" t="s">
        <v>45</v>
      </c>
      <c r="K11" s="181" t="s">
        <v>46</v>
      </c>
      <c r="L11" s="181" t="s">
        <v>47</v>
      </c>
      <c r="M11" s="181" t="s">
        <v>48</v>
      </c>
      <c r="N11" s="181" t="s">
        <v>49</v>
      </c>
      <c r="O11" s="181" t="s">
        <v>50</v>
      </c>
      <c r="P11" s="181" t="s">
        <v>51</v>
      </c>
      <c r="R11" s="278" t="s">
        <v>52</v>
      </c>
      <c r="S11" s="278" t="s">
        <v>53</v>
      </c>
      <c r="T11" s="278" t="s">
        <v>54</v>
      </c>
      <c r="U11" s="278" t="s">
        <v>55</v>
      </c>
      <c r="V11" s="278" t="s">
        <v>56</v>
      </c>
    </row>
    <row r="12" spans="1:22" ht="19.5" customHeight="1">
      <c r="A12" s="54" t="s">
        <v>207</v>
      </c>
      <c r="B12" s="55"/>
      <c r="C12" s="284"/>
      <c r="D12" s="57"/>
      <c r="E12" s="50">
        <f>1883098.7/1.2</f>
        <v>1569248.9166666667</v>
      </c>
      <c r="F12" s="50">
        <v>0</v>
      </c>
      <c r="G12" s="50">
        <v>0</v>
      </c>
      <c r="H12" s="50"/>
      <c r="I12" s="50">
        <f>+E12+F12-G12-H12</f>
        <v>1569248.9166666667</v>
      </c>
      <c r="J12" s="50">
        <f>+I12+(I12*$I$4)</f>
        <v>1883098.7000000002</v>
      </c>
      <c r="K12" s="50">
        <v>1883098.7000000002</v>
      </c>
      <c r="L12" s="51"/>
      <c r="M12" s="51"/>
      <c r="N12" s="52">
        <f>-IF(L12=0,,IF(M12=0,($C$10-L12),M12-L12))</f>
        <v>0</v>
      </c>
      <c r="O12" s="50">
        <f>+J12-K12</f>
        <v>0</v>
      </c>
      <c r="P12" s="50">
        <f>+IF($C$10&lt;L12,0,O12)</f>
        <v>0</v>
      </c>
      <c r="Q12" s="53"/>
      <c r="R12" s="316">
        <f>IF(N12&gt;=0,0,(IF(-N12&lt;=60,O12,0)))</f>
        <v>0</v>
      </c>
      <c r="S12" s="316">
        <f>IF(N12&gt;=0,0,(IF(N12&gt;=-60,0,IF(-60&gt;=N12,IF(N12&gt;=-120,O12,0)))))</f>
        <v>0</v>
      </c>
      <c r="T12" s="316">
        <f>IF(N12&gt;=0,0,(IF(N12&gt;-60,0,IF(-60&gt;=N12,IF(N12&gt;=-120,0,IF(N12&gt;=-180,O12,0))))))</f>
        <v>0</v>
      </c>
      <c r="U12" s="316">
        <f>IF(N12&gt;=0,0,(IF(N12&gt;-60,0,IF(-60&gt;=N12,IF(N12&gt;-120,0,IF(N12&gt;=-180,0,IF(N12&gt;=-365,O12,0)))))))</f>
        <v>0</v>
      </c>
      <c r="V12" s="316">
        <f>IF(N12&gt;=0,0,IF(365&lt;-N12,O12,0))</f>
        <v>0</v>
      </c>
    </row>
    <row r="13" spans="1:22" s="290" customFormat="1" ht="19.5" customHeight="1">
      <c r="A13" s="138"/>
      <c r="B13" s="143"/>
      <c r="C13" s="286"/>
      <c r="D13" s="140"/>
      <c r="E13" s="141">
        <f t="shared" ref="E13:K13" si="0">SUM(E12:E12)</f>
        <v>1569248.9166666667</v>
      </c>
      <c r="F13" s="141">
        <f t="shared" si="0"/>
        <v>0</v>
      </c>
      <c r="G13" s="141">
        <f t="shared" si="0"/>
        <v>0</v>
      </c>
      <c r="H13" s="141">
        <f t="shared" si="0"/>
        <v>0</v>
      </c>
      <c r="I13" s="141">
        <f t="shared" si="0"/>
        <v>1569248.9166666667</v>
      </c>
      <c r="J13" s="287">
        <f t="shared" si="0"/>
        <v>1883098.7000000002</v>
      </c>
      <c r="K13" s="287">
        <f t="shared" si="0"/>
        <v>1883098.7000000002</v>
      </c>
      <c r="L13" s="139"/>
      <c r="M13" s="139"/>
      <c r="N13" s="142"/>
      <c r="O13" s="141">
        <f>SUM(O12:O12)</f>
        <v>0</v>
      </c>
      <c r="P13" s="141">
        <f>SUM(P12:P12)</f>
        <v>0</v>
      </c>
      <c r="Q13" s="288"/>
      <c r="R13" s="289">
        <f>SUM(R12:R12)</f>
        <v>0</v>
      </c>
      <c r="S13" s="289">
        <f>SUM(S12:S12)</f>
        <v>0</v>
      </c>
      <c r="T13" s="289">
        <f>SUM(T12:T12)</f>
        <v>0</v>
      </c>
      <c r="U13" s="289">
        <f>SUM(U12:U12)</f>
        <v>0</v>
      </c>
      <c r="V13" s="289">
        <f>SUM(V12:V12)</f>
        <v>0</v>
      </c>
    </row>
    <row r="14" spans="1:22" ht="19.5" customHeight="1">
      <c r="A14" s="54" t="s">
        <v>234</v>
      </c>
      <c r="B14" s="55"/>
      <c r="C14" s="291"/>
      <c r="D14" s="57"/>
      <c r="E14" s="50">
        <f>131105.45/1.2</f>
        <v>109254.54166666669</v>
      </c>
      <c r="F14" s="50">
        <f>-E14*$F$10</f>
        <v>0</v>
      </c>
      <c r="G14" s="50">
        <f>E14*$G$10</f>
        <v>0</v>
      </c>
      <c r="H14" s="50"/>
      <c r="I14" s="50">
        <f>+E14+F14-G14-H14</f>
        <v>109254.54166666669</v>
      </c>
      <c r="J14" s="50">
        <f>+I14+(I14*$I$4)</f>
        <v>131105.45000000001</v>
      </c>
      <c r="K14" s="50">
        <v>131105.45000000001</v>
      </c>
      <c r="L14" s="51"/>
      <c r="M14" s="51"/>
      <c r="N14" s="52">
        <f>-IF(L14=0,,IF(M14=0,($C$10-L14),M14-L14))</f>
        <v>0</v>
      </c>
      <c r="O14" s="50">
        <f>+J14-K14</f>
        <v>0</v>
      </c>
      <c r="P14" s="50">
        <f>+IF($C$10&lt;L14,0,O14)</f>
        <v>0</v>
      </c>
      <c r="Q14" s="53"/>
      <c r="R14" s="316">
        <f>IF(N14&gt;=0,0,(IF(-N14&lt;=60,O14,0)))</f>
        <v>0</v>
      </c>
      <c r="S14" s="316">
        <f>IF(N14&gt;=0,0,(IF(N14&gt;=-60,0,IF(-60&gt;=N14,IF(N14&gt;=-120,O14,0)))))</f>
        <v>0</v>
      </c>
      <c r="T14" s="316">
        <f>IF(N14&gt;=0,0,(IF(N14&gt;-60,0,IF(-60&gt;=N14,IF(N14&gt;=-120,0,IF(N14&gt;=-180,O14,0))))))</f>
        <v>0</v>
      </c>
      <c r="U14" s="316">
        <f>IF(N14&gt;=0,0,(IF(N14&gt;-60,0,IF(-60&gt;=N14,IF(N14&gt;-120,0,IF(N14&gt;=-180,0,IF(N14&gt;=-365,O14,0)))))))</f>
        <v>0</v>
      </c>
      <c r="V14" s="316">
        <f>IF(N14&gt;=0,0,IF(365&lt;-N14,O14,0))</f>
        <v>0</v>
      </c>
    </row>
    <row r="15" spans="1:22" s="290" customFormat="1" ht="19.5" customHeight="1">
      <c r="A15" s="138"/>
      <c r="B15" s="143"/>
      <c r="C15" s="286"/>
      <c r="D15" s="140"/>
      <c r="E15" s="141">
        <f t="shared" ref="E15:K15" si="1">SUM(E14:E14)</f>
        <v>109254.54166666669</v>
      </c>
      <c r="F15" s="141">
        <f t="shared" si="1"/>
        <v>0</v>
      </c>
      <c r="G15" s="141">
        <f t="shared" si="1"/>
        <v>0</v>
      </c>
      <c r="H15" s="141">
        <f t="shared" si="1"/>
        <v>0</v>
      </c>
      <c r="I15" s="141">
        <f t="shared" si="1"/>
        <v>109254.54166666669</v>
      </c>
      <c r="J15" s="287">
        <f t="shared" si="1"/>
        <v>131105.45000000001</v>
      </c>
      <c r="K15" s="287">
        <f t="shared" si="1"/>
        <v>131105.45000000001</v>
      </c>
      <c r="L15" s="139"/>
      <c r="M15" s="139"/>
      <c r="N15" s="142"/>
      <c r="O15" s="141">
        <f>SUM(O14:O14)</f>
        <v>0</v>
      </c>
      <c r="P15" s="141">
        <f>SUM(P14:P14)</f>
        <v>0</v>
      </c>
      <c r="Q15" s="288"/>
      <c r="R15" s="289">
        <f>SUM(R14:R14)</f>
        <v>0</v>
      </c>
      <c r="S15" s="289">
        <f>SUM(S14:S14)</f>
        <v>0</v>
      </c>
      <c r="T15" s="289">
        <f>SUM(T14:T14)</f>
        <v>0</v>
      </c>
      <c r="U15" s="289">
        <f>SUM(U14:U14)</f>
        <v>0</v>
      </c>
      <c r="V15" s="289">
        <f>SUM(V14:V14)</f>
        <v>0</v>
      </c>
    </row>
    <row r="16" spans="1:22" ht="19.5" customHeight="1">
      <c r="A16" s="54" t="s">
        <v>209</v>
      </c>
      <c r="B16" s="55"/>
      <c r="C16" s="291"/>
      <c r="D16" s="57"/>
      <c r="E16" s="50">
        <f>467741.03/1.2</f>
        <v>389784.19166666671</v>
      </c>
      <c r="F16" s="50">
        <f>-E16*$F$10</f>
        <v>0</v>
      </c>
      <c r="G16" s="50">
        <f>E16*$G$10</f>
        <v>0</v>
      </c>
      <c r="H16" s="50"/>
      <c r="I16" s="50">
        <f>+E16+F16-G16-H16</f>
        <v>389784.19166666671</v>
      </c>
      <c r="J16" s="50">
        <f>+I16+(I16*$I$4)</f>
        <v>467741.03</v>
      </c>
      <c r="K16" s="50">
        <v>467741.03</v>
      </c>
      <c r="L16" s="51"/>
      <c r="M16" s="51"/>
      <c r="N16" s="52">
        <f>-IF(L16=0,,IF(M16=0,($C$10-L16),M16-L16))</f>
        <v>0</v>
      </c>
      <c r="O16" s="50">
        <f>+J16-K16</f>
        <v>0</v>
      </c>
      <c r="P16" s="50">
        <f>+IF($C$10&lt;L16,0,O16)</f>
        <v>0</v>
      </c>
      <c r="Q16" s="53"/>
      <c r="R16" s="316">
        <f>IF(N16&gt;=0,0,(IF(-N16&lt;=60,O16,0)))</f>
        <v>0</v>
      </c>
      <c r="S16" s="316">
        <f>IF(N16&gt;=0,0,(IF(N16&gt;=-60,0,IF(-60&gt;=N16,IF(N16&gt;=-120,O16,0)))))</f>
        <v>0</v>
      </c>
      <c r="T16" s="316">
        <f>IF(N16&gt;=0,0,(IF(N16&gt;-60,0,IF(-60&gt;=N16,IF(N16&gt;=-120,0,IF(N16&gt;=-180,O16,0))))))</f>
        <v>0</v>
      </c>
      <c r="U16" s="316">
        <f>IF(N16&gt;=0,0,(IF(N16&gt;-60,0,IF(-60&gt;=N16,IF(N16&gt;-120,0,IF(N16&gt;=-180,0,IF(N16&gt;=-365,O16,0)))))))</f>
        <v>0</v>
      </c>
      <c r="V16" s="316">
        <f>IF(N16&gt;=0,0,IF(365&lt;-N16,O16,0))</f>
        <v>0</v>
      </c>
    </row>
    <row r="17" spans="1:22" s="290" customFormat="1" ht="19.5" customHeight="1">
      <c r="A17" s="138"/>
      <c r="B17" s="143"/>
      <c r="C17" s="286"/>
      <c r="D17" s="140"/>
      <c r="E17" s="141">
        <f t="shared" ref="E17:K17" si="2">SUM(E16:E16)</f>
        <v>389784.19166666671</v>
      </c>
      <c r="F17" s="141">
        <f t="shared" si="2"/>
        <v>0</v>
      </c>
      <c r="G17" s="141">
        <f t="shared" si="2"/>
        <v>0</v>
      </c>
      <c r="H17" s="141">
        <f t="shared" si="2"/>
        <v>0</v>
      </c>
      <c r="I17" s="141">
        <f t="shared" si="2"/>
        <v>389784.19166666671</v>
      </c>
      <c r="J17" s="287">
        <f t="shared" si="2"/>
        <v>467741.03</v>
      </c>
      <c r="K17" s="287">
        <f t="shared" si="2"/>
        <v>467741.03</v>
      </c>
      <c r="L17" s="139"/>
      <c r="M17" s="139"/>
      <c r="N17" s="142"/>
      <c r="O17" s="141">
        <f>SUM(O16:O16)</f>
        <v>0</v>
      </c>
      <c r="P17" s="141">
        <f>SUM(P16:P16)</f>
        <v>0</v>
      </c>
      <c r="Q17" s="288"/>
      <c r="R17" s="289">
        <f>SUM(R16:R16)</f>
        <v>0</v>
      </c>
      <c r="S17" s="289">
        <f>SUM(S16:S16)</f>
        <v>0</v>
      </c>
      <c r="T17" s="289">
        <f>SUM(T16:T16)</f>
        <v>0</v>
      </c>
      <c r="U17" s="289">
        <f>SUM(U16:U16)</f>
        <v>0</v>
      </c>
      <c r="V17" s="289">
        <f>SUM(V16:V16)</f>
        <v>0</v>
      </c>
    </row>
    <row r="18" spans="1:22" ht="19.5" customHeight="1">
      <c r="A18" s="54" t="s">
        <v>210</v>
      </c>
      <c r="B18" s="55"/>
      <c r="C18" s="291"/>
      <c r="D18" s="57"/>
      <c r="E18" s="50">
        <f>1021132.1/1.2</f>
        <v>850943.41666666663</v>
      </c>
      <c r="F18" s="50">
        <f>-E18*$F$10</f>
        <v>0</v>
      </c>
      <c r="G18" s="50">
        <f>E18*$G$10</f>
        <v>0</v>
      </c>
      <c r="H18" s="50"/>
      <c r="I18" s="50">
        <f>+E18+F18-G18-H18</f>
        <v>850943.41666666663</v>
      </c>
      <c r="J18" s="50">
        <f>+I18+(I18*$I$4)</f>
        <v>1021132.1</v>
      </c>
      <c r="K18" s="50">
        <v>1021132.1</v>
      </c>
      <c r="L18" s="51"/>
      <c r="M18" s="51"/>
      <c r="N18" s="52">
        <f>-IF(L18=0,,IF(M18=0,($C$10-L18),M18-L18))</f>
        <v>0</v>
      </c>
      <c r="O18" s="50">
        <f>+J18-K18</f>
        <v>0</v>
      </c>
      <c r="P18" s="50">
        <f>+IF($C$10&lt;L18,0,O18)</f>
        <v>0</v>
      </c>
      <c r="Q18" s="53"/>
      <c r="R18" s="316">
        <f>IF(N18&gt;=0,0,(IF(-N18&lt;=60,O18,0)))</f>
        <v>0</v>
      </c>
      <c r="S18" s="316">
        <f>IF(N18&gt;=0,0,(IF(N18&gt;=-60,0,IF(-60&gt;=N18,IF(N18&gt;=-120,O18,0)))))</f>
        <v>0</v>
      </c>
      <c r="T18" s="316">
        <f>IF(N18&gt;=0,0,(IF(N18&gt;-60,0,IF(-60&gt;=N18,IF(N18&gt;=-120,0,IF(N18&gt;=-180,O18,0))))))</f>
        <v>0</v>
      </c>
      <c r="U18" s="316">
        <f>IF(N18&gt;=0,0,(IF(N18&gt;-60,0,IF(-60&gt;=N18,IF(N18&gt;-120,0,IF(N18&gt;=-180,0,IF(N18&gt;=-365,O18,0)))))))</f>
        <v>0</v>
      </c>
      <c r="V18" s="316">
        <f>IF(N18&gt;=0,0,IF(365&lt;-N18,O18,0))</f>
        <v>0</v>
      </c>
    </row>
    <row r="19" spans="1:22" s="290" customFormat="1" ht="19.5" customHeight="1">
      <c r="A19" s="138"/>
      <c r="B19" s="143"/>
      <c r="C19" s="286"/>
      <c r="D19" s="140"/>
      <c r="E19" s="141">
        <f t="shared" ref="E19:K19" si="3">SUM(E18:E18)</f>
        <v>850943.41666666663</v>
      </c>
      <c r="F19" s="141">
        <f t="shared" si="3"/>
        <v>0</v>
      </c>
      <c r="G19" s="141">
        <f t="shared" si="3"/>
        <v>0</v>
      </c>
      <c r="H19" s="141">
        <f t="shared" si="3"/>
        <v>0</v>
      </c>
      <c r="I19" s="141">
        <f t="shared" si="3"/>
        <v>850943.41666666663</v>
      </c>
      <c r="J19" s="287">
        <f t="shared" si="3"/>
        <v>1021132.1</v>
      </c>
      <c r="K19" s="287">
        <f t="shared" si="3"/>
        <v>1021132.1</v>
      </c>
      <c r="L19" s="139"/>
      <c r="M19" s="139"/>
      <c r="N19" s="142"/>
      <c r="O19" s="141">
        <f>SUM(O18:O18)</f>
        <v>0</v>
      </c>
      <c r="P19" s="141">
        <f>SUM(P18:P18)</f>
        <v>0</v>
      </c>
      <c r="Q19" s="288"/>
      <c r="R19" s="289">
        <f>SUM(R18:R18)</f>
        <v>0</v>
      </c>
      <c r="S19" s="289">
        <f>SUM(S18:S18)</f>
        <v>0</v>
      </c>
      <c r="T19" s="289">
        <f>SUM(T18:T18)</f>
        <v>0</v>
      </c>
      <c r="U19" s="289">
        <f>SUM(U18:U18)</f>
        <v>0</v>
      </c>
      <c r="V19" s="289">
        <f>SUM(V18:V18)</f>
        <v>0</v>
      </c>
    </row>
    <row r="20" spans="1:22" ht="19.5" customHeight="1">
      <c r="A20" s="54" t="s">
        <v>211</v>
      </c>
      <c r="B20" s="55"/>
      <c r="C20" s="56"/>
      <c r="D20" s="57"/>
      <c r="E20" s="50">
        <f>2010044.96/1.2</f>
        <v>1675037.4666666668</v>
      </c>
      <c r="F20" s="50">
        <f>-E20*$F$10</f>
        <v>0</v>
      </c>
      <c r="G20" s="50">
        <f>E20*$G$10</f>
        <v>0</v>
      </c>
      <c r="H20" s="50"/>
      <c r="I20" s="50">
        <f>+E20+F20-G20-H20</f>
        <v>1675037.4666666668</v>
      </c>
      <c r="J20" s="50">
        <f>+I20+(I20*$I$4)</f>
        <v>2010044.9600000002</v>
      </c>
      <c r="K20" s="50">
        <v>2010044.9600000002</v>
      </c>
      <c r="L20" s="51"/>
      <c r="M20" s="51"/>
      <c r="N20" s="52">
        <f>-IF(L20=0,,IF(M20=0,($C$10-L20),M20-L20))</f>
        <v>0</v>
      </c>
      <c r="O20" s="50">
        <f>+J20-K20</f>
        <v>0</v>
      </c>
      <c r="P20" s="50">
        <f>+IF($C$10&lt;L20,0,O20)</f>
        <v>0</v>
      </c>
      <c r="Q20" s="53"/>
      <c r="R20" s="316">
        <f>IF(N20&gt;=0,0,(IF(-N20&lt;=60,O20,0)))</f>
        <v>0</v>
      </c>
      <c r="S20" s="316">
        <f>IF(N20&gt;=0,0,(IF(N20&gt;=-60,0,IF(-60&gt;=N20,IF(N20&gt;=-120,O20,0)))))</f>
        <v>0</v>
      </c>
      <c r="T20" s="316">
        <f>IF(N20&gt;=0,0,(IF(N20&gt;-60,0,IF(-60&gt;=N20,IF(N20&gt;=-120,0,IF(N20&gt;=-180,O20,0))))))</f>
        <v>0</v>
      </c>
      <c r="U20" s="316">
        <f>IF(N20&gt;=0,0,(IF(N20&gt;-60,0,IF(-60&gt;=N20,IF(N20&gt;-120,0,IF(N20&gt;=-180,0,IF(N20&gt;=-365,O20,0)))))))</f>
        <v>0</v>
      </c>
      <c r="V20" s="316">
        <f>IF(N20&gt;=0,0,IF(365&lt;-N20,O20,0))</f>
        <v>0</v>
      </c>
    </row>
    <row r="21" spans="1:22" s="290" customFormat="1" ht="19.5" customHeight="1">
      <c r="A21" s="138"/>
      <c r="B21" s="138"/>
      <c r="C21" s="286"/>
      <c r="D21" s="140"/>
      <c r="E21" s="141">
        <f t="shared" ref="E21:K21" si="4">SUM(E20:E20)</f>
        <v>1675037.4666666668</v>
      </c>
      <c r="F21" s="141">
        <f t="shared" si="4"/>
        <v>0</v>
      </c>
      <c r="G21" s="141">
        <f t="shared" si="4"/>
        <v>0</v>
      </c>
      <c r="H21" s="141">
        <f t="shared" si="4"/>
        <v>0</v>
      </c>
      <c r="I21" s="141">
        <f t="shared" si="4"/>
        <v>1675037.4666666668</v>
      </c>
      <c r="J21" s="287">
        <f t="shared" si="4"/>
        <v>2010044.9600000002</v>
      </c>
      <c r="K21" s="287">
        <f t="shared" si="4"/>
        <v>2010044.9600000002</v>
      </c>
      <c r="L21" s="139"/>
      <c r="M21" s="139"/>
      <c r="N21" s="142"/>
      <c r="O21" s="141">
        <f>SUM(O20:O20)</f>
        <v>0</v>
      </c>
      <c r="P21" s="141">
        <f>SUM(P20:P20)</f>
        <v>0</v>
      </c>
      <c r="Q21" s="292"/>
      <c r="R21" s="337">
        <f>SUM(R20:R20)</f>
        <v>0</v>
      </c>
      <c r="S21" s="337">
        <f>SUM(S20:S20)</f>
        <v>0</v>
      </c>
      <c r="T21" s="337">
        <f>SUM(T20:T20)</f>
        <v>0</v>
      </c>
      <c r="U21" s="337">
        <f>SUM(U20:U20)</f>
        <v>0</v>
      </c>
      <c r="V21" s="337">
        <f>SUM(V20:V20)</f>
        <v>0</v>
      </c>
    </row>
    <row r="22" spans="1:22" ht="19.5" customHeight="1">
      <c r="A22" s="54" t="s">
        <v>214</v>
      </c>
      <c r="B22" s="54"/>
      <c r="C22" s="56"/>
      <c r="D22" s="57"/>
      <c r="E22" s="50">
        <f>6447396.91/1.2</f>
        <v>5372830.7583333338</v>
      </c>
      <c r="F22" s="50">
        <f>-E22*$F$10</f>
        <v>0</v>
      </c>
      <c r="G22" s="50">
        <f>E22*$G$10</f>
        <v>0</v>
      </c>
      <c r="H22" s="50"/>
      <c r="I22" s="50">
        <f>+E22+F22-G22-H22</f>
        <v>5372830.7583333338</v>
      </c>
      <c r="J22" s="50">
        <f>+I22+(I22*$I$4)</f>
        <v>6447396.9100000001</v>
      </c>
      <c r="K22" s="50">
        <v>6447396.9100000001</v>
      </c>
      <c r="L22" s="51"/>
      <c r="M22" s="51"/>
      <c r="N22" s="52">
        <f>-IF(L22=0,,IF(M22=0,($C$10-L22),M22-L22))</f>
        <v>0</v>
      </c>
      <c r="O22" s="50">
        <f>+J22-K22</f>
        <v>0</v>
      </c>
      <c r="P22" s="50">
        <f>+IF($C$10&lt;L22,0,O22)</f>
        <v>0</v>
      </c>
      <c r="Q22" s="53"/>
      <c r="R22" s="316">
        <f>IF(N22&gt;=0,0,(IF(-N22&lt;=60,O22,0)))</f>
        <v>0</v>
      </c>
      <c r="S22" s="316">
        <f>IF(N22&gt;=0,0,(IF(N22&gt;=-60,0,IF(-60&gt;=N22,IF(N22&gt;=-120,O22,0)))))</f>
        <v>0</v>
      </c>
      <c r="T22" s="316">
        <f>IF(N22&gt;=0,0,(IF(N22&gt;-60,0,IF(-60&gt;=N22,IF(N22&gt;=-120,0,IF(N22&gt;=-180,O22,0))))))</f>
        <v>0</v>
      </c>
      <c r="U22" s="316">
        <f>IF(N22&gt;=0,0,(IF(N22&gt;-60,0,IF(-60&gt;=N22,IF(N22&gt;-120,0,IF(N22&gt;=-180,0,IF(N22&gt;=-365,O22,0)))))))</f>
        <v>0</v>
      </c>
      <c r="V22" s="316">
        <f>IF(N22&gt;=0,0,IF(365&lt;-N22,O22,0))</f>
        <v>0</v>
      </c>
    </row>
    <row r="23" spans="1:22" s="290" customFormat="1" ht="19.5" customHeight="1">
      <c r="A23" s="138"/>
      <c r="B23" s="138"/>
      <c r="C23" s="286"/>
      <c r="D23" s="140"/>
      <c r="E23" s="141">
        <f t="shared" ref="E23:K23" si="5">SUM(E22:E22)</f>
        <v>5372830.7583333338</v>
      </c>
      <c r="F23" s="141">
        <f t="shared" si="5"/>
        <v>0</v>
      </c>
      <c r="G23" s="141">
        <f t="shared" si="5"/>
        <v>0</v>
      </c>
      <c r="H23" s="141">
        <f t="shared" si="5"/>
        <v>0</v>
      </c>
      <c r="I23" s="141">
        <f t="shared" si="5"/>
        <v>5372830.7583333338</v>
      </c>
      <c r="J23" s="287">
        <f t="shared" si="5"/>
        <v>6447396.9100000001</v>
      </c>
      <c r="K23" s="287">
        <f t="shared" si="5"/>
        <v>6447396.9100000001</v>
      </c>
      <c r="L23" s="139"/>
      <c r="M23" s="139"/>
      <c r="N23" s="142"/>
      <c r="O23" s="141">
        <f>SUM(O22:O22)</f>
        <v>0</v>
      </c>
      <c r="P23" s="141">
        <f>SUM(P22:P22)</f>
        <v>0</v>
      </c>
      <c r="Q23" s="292"/>
      <c r="R23" s="337">
        <f>SUM(R22:R22)</f>
        <v>0</v>
      </c>
      <c r="S23" s="337">
        <f>SUM(S22:S22)</f>
        <v>0</v>
      </c>
      <c r="T23" s="337">
        <f>SUM(T22:T22)</f>
        <v>0</v>
      </c>
      <c r="U23" s="337">
        <f>SUM(U22:U22)</f>
        <v>0</v>
      </c>
      <c r="V23" s="337">
        <f>SUM(V22:V22)</f>
        <v>0</v>
      </c>
    </row>
    <row r="24" spans="1:22" ht="19.5" customHeight="1">
      <c r="A24" s="54" t="s">
        <v>215</v>
      </c>
      <c r="B24" s="54"/>
      <c r="C24" s="56"/>
      <c r="D24" s="57"/>
      <c r="E24" s="50">
        <f>67671.29/1.2</f>
        <v>56392.741666666661</v>
      </c>
      <c r="F24" s="50">
        <f>-E24*$F$10</f>
        <v>0</v>
      </c>
      <c r="G24" s="50">
        <f>E24*$G$10</f>
        <v>0</v>
      </c>
      <c r="H24" s="50"/>
      <c r="I24" s="50">
        <f>+E24+F24-G24-H24</f>
        <v>56392.741666666661</v>
      </c>
      <c r="J24" s="50">
        <f>+I24+(I24*$I$4)</f>
        <v>67671.289999999994</v>
      </c>
      <c r="K24" s="50">
        <v>67671.289999999994</v>
      </c>
      <c r="L24" s="51"/>
      <c r="M24" s="51"/>
      <c r="N24" s="52">
        <f>-IF(L24=0,,IF(M24=0,($C$10-L24),M24-L24))</f>
        <v>0</v>
      </c>
      <c r="O24" s="50">
        <f>+J24-K24</f>
        <v>0</v>
      </c>
      <c r="P24" s="50">
        <f>+IF($C$10&lt;L24,0,O24)</f>
        <v>0</v>
      </c>
      <c r="Q24" s="53"/>
      <c r="R24" s="316">
        <f>IF(N24&gt;=0,0,(IF(-N24&lt;=60,O24,0)))</f>
        <v>0</v>
      </c>
      <c r="S24" s="316">
        <f>IF(N24&gt;=0,0,(IF(N24&gt;=-60,0,IF(-60&gt;=N24,IF(N24&gt;=-120,O24,0)))))</f>
        <v>0</v>
      </c>
      <c r="T24" s="316">
        <f>IF(N24&gt;=0,0,(IF(N24&gt;-60,0,IF(-60&gt;=N24,IF(N24&gt;=-120,0,IF(N24&gt;=-180,O24,0))))))</f>
        <v>0</v>
      </c>
      <c r="U24" s="316">
        <f>IF(N24&gt;=0,0,(IF(N24&gt;-60,0,IF(-60&gt;=N24,IF(N24&gt;-120,0,IF(N24&gt;=-180,0,IF(N24&gt;=-365,O24,0)))))))</f>
        <v>0</v>
      </c>
      <c r="V24" s="316">
        <f>IF(N24&gt;=0,0,IF(365&lt;-N24,O24,0))</f>
        <v>0</v>
      </c>
    </row>
    <row r="25" spans="1:22" s="290" customFormat="1" ht="19.5" customHeight="1">
      <c r="A25" s="138"/>
      <c r="B25" s="143"/>
      <c r="C25" s="286"/>
      <c r="D25" s="140"/>
      <c r="E25" s="141">
        <f t="shared" ref="E25:K25" si="6">SUM(E24:E24)</f>
        <v>56392.741666666661</v>
      </c>
      <c r="F25" s="141">
        <f t="shared" si="6"/>
        <v>0</v>
      </c>
      <c r="G25" s="141">
        <f t="shared" si="6"/>
        <v>0</v>
      </c>
      <c r="H25" s="141">
        <f t="shared" si="6"/>
        <v>0</v>
      </c>
      <c r="I25" s="141">
        <f t="shared" si="6"/>
        <v>56392.741666666661</v>
      </c>
      <c r="J25" s="287">
        <f t="shared" si="6"/>
        <v>67671.289999999994</v>
      </c>
      <c r="K25" s="287">
        <f t="shared" si="6"/>
        <v>67671.289999999994</v>
      </c>
      <c r="L25" s="139"/>
      <c r="M25" s="139"/>
      <c r="N25" s="142"/>
      <c r="O25" s="141">
        <f>SUM(O24)</f>
        <v>0</v>
      </c>
      <c r="P25" s="141">
        <f>SUM(P24)</f>
        <v>0</v>
      </c>
      <c r="Q25" s="292"/>
      <c r="R25" s="337">
        <f>SUM(R24)</f>
        <v>0</v>
      </c>
      <c r="S25" s="337">
        <f>SUM(S24)</f>
        <v>0</v>
      </c>
      <c r="T25" s="337">
        <f>SUM(T24)</f>
        <v>0</v>
      </c>
      <c r="U25" s="337">
        <f>SUM(U24)</f>
        <v>0</v>
      </c>
      <c r="V25" s="337">
        <f>SUM(V24)</f>
        <v>0</v>
      </c>
    </row>
    <row r="26" spans="1:22" ht="19.5" customHeight="1">
      <c r="A26" s="54" t="s">
        <v>235</v>
      </c>
      <c r="B26" s="54"/>
      <c r="C26" s="56"/>
      <c r="D26" s="57"/>
      <c r="E26" s="50">
        <f>108485.21/1.2</f>
        <v>90404.341666666674</v>
      </c>
      <c r="F26" s="50">
        <f>-E26*$F$10</f>
        <v>0</v>
      </c>
      <c r="G26" s="50">
        <f>E26*$G$10</f>
        <v>0</v>
      </c>
      <c r="H26" s="50"/>
      <c r="I26" s="50">
        <f>+E26+F26-G26-H26</f>
        <v>90404.341666666674</v>
      </c>
      <c r="J26" s="50">
        <f>+I26+(I26*$I$4)</f>
        <v>108485.21</v>
      </c>
      <c r="K26" s="50">
        <v>108485.21</v>
      </c>
      <c r="L26" s="51"/>
      <c r="M26" s="51"/>
      <c r="N26" s="52">
        <f>-IF(L26=0,,IF(M26=0,($C$10-L26),M26-L26))</f>
        <v>0</v>
      </c>
      <c r="O26" s="50">
        <f>+J26-K26</f>
        <v>0</v>
      </c>
      <c r="P26" s="50">
        <f>+IF($C$10&lt;L26,0,O26)</f>
        <v>0</v>
      </c>
      <c r="Q26" s="53"/>
      <c r="R26" s="316">
        <f>IF(N26&gt;=0,0,(IF(-N26&lt;=60,O26,0)))</f>
        <v>0</v>
      </c>
      <c r="S26" s="316">
        <f>IF(N26&gt;=0,0,(IF(N26&gt;=-60,0,IF(-60&gt;=N26,IF(N26&gt;=-120,O26,0)))))</f>
        <v>0</v>
      </c>
      <c r="T26" s="316">
        <f>IF(N26&gt;=0,0,(IF(N26&gt;-60,0,IF(-60&gt;=N26,IF(N26&gt;=-120,0,IF(N26&gt;=-180,O26,0))))))</f>
        <v>0</v>
      </c>
      <c r="U26" s="316">
        <f>IF(N26&gt;=0,0,(IF(N26&gt;-60,0,IF(-60&gt;=N26,IF(N26&gt;-120,0,IF(N26&gt;=-180,0,IF(N26&gt;=-365,O26,0)))))))</f>
        <v>0</v>
      </c>
      <c r="V26" s="316">
        <f>IF(N26&gt;=0,0,IF(365&lt;-N26,O26,0))</f>
        <v>0</v>
      </c>
    </row>
    <row r="27" spans="1:22" s="290" customFormat="1" ht="19.5" customHeight="1">
      <c r="A27" s="138"/>
      <c r="B27" s="143"/>
      <c r="C27" s="286"/>
      <c r="D27" s="140"/>
      <c r="E27" s="141">
        <f t="shared" ref="E27:K27" si="7">SUM(E26:E26)</f>
        <v>90404.341666666674</v>
      </c>
      <c r="F27" s="141">
        <f t="shared" si="7"/>
        <v>0</v>
      </c>
      <c r="G27" s="141">
        <f t="shared" si="7"/>
        <v>0</v>
      </c>
      <c r="H27" s="141">
        <f t="shared" si="7"/>
        <v>0</v>
      </c>
      <c r="I27" s="141">
        <f t="shared" si="7"/>
        <v>90404.341666666674</v>
      </c>
      <c r="J27" s="287">
        <f t="shared" si="7"/>
        <v>108485.21</v>
      </c>
      <c r="K27" s="287">
        <f t="shared" si="7"/>
        <v>108485.21</v>
      </c>
      <c r="L27" s="139"/>
      <c r="M27" s="139"/>
      <c r="N27" s="142"/>
      <c r="O27" s="141">
        <f>SUM(O26:O26)</f>
        <v>0</v>
      </c>
      <c r="P27" s="141">
        <f>SUM(P26:P26)</f>
        <v>0</v>
      </c>
      <c r="Q27" s="292"/>
      <c r="R27" s="337">
        <f>SUM(R26:R26)</f>
        <v>0</v>
      </c>
      <c r="S27" s="337">
        <f>SUM(S26:S26)</f>
        <v>0</v>
      </c>
      <c r="T27" s="337">
        <f>SUM(T26:T26)</f>
        <v>0</v>
      </c>
      <c r="U27" s="337">
        <f>SUM(U26:U26)</f>
        <v>0</v>
      </c>
      <c r="V27" s="337">
        <f>SUM(V26:V26)</f>
        <v>0</v>
      </c>
    </row>
    <row r="28" spans="1:22" ht="19.5" customHeight="1">
      <c r="A28" s="54" t="s">
        <v>218</v>
      </c>
      <c r="B28" s="54"/>
      <c r="C28" s="56"/>
      <c r="D28" s="57"/>
      <c r="E28" s="50">
        <f>640559.37/1.2</f>
        <v>533799.47499999998</v>
      </c>
      <c r="F28" s="50">
        <f>-E28*$F$10</f>
        <v>0</v>
      </c>
      <c r="G28" s="50">
        <f>E28*$G$10</f>
        <v>0</v>
      </c>
      <c r="H28" s="50"/>
      <c r="I28" s="50">
        <f>+E28+F28-G28-H28</f>
        <v>533799.47499999998</v>
      </c>
      <c r="J28" s="50">
        <f>+I28+(I28*$I$4)</f>
        <v>640559.37</v>
      </c>
      <c r="K28" s="50">
        <v>640559.37</v>
      </c>
      <c r="L28" s="51"/>
      <c r="M28" s="51"/>
      <c r="N28" s="52">
        <f>-IF(L28=0,,IF(M28=0,($C$10-L28),M28-L28))</f>
        <v>0</v>
      </c>
      <c r="O28" s="50">
        <f>+J28-K28</f>
        <v>0</v>
      </c>
      <c r="P28" s="50">
        <f>+IF($C$10&lt;L28,0,O28)</f>
        <v>0</v>
      </c>
      <c r="Q28" s="53"/>
      <c r="R28" s="316">
        <f>IF(N28&gt;=0,0,(IF(-N28&lt;=60,O28,0)))</f>
        <v>0</v>
      </c>
      <c r="S28" s="316">
        <f>IF(N28&gt;=0,0,(IF(N28&gt;=-60,0,IF(-60&gt;=N28,IF(N28&gt;=-120,O28,0)))))</f>
        <v>0</v>
      </c>
      <c r="T28" s="316">
        <f>IF(N28&gt;=0,0,(IF(N28&gt;-60,0,IF(-60&gt;=N28,IF(N28&gt;=-120,0,IF(N28&gt;=-180,O28,0))))))</f>
        <v>0</v>
      </c>
      <c r="U28" s="316">
        <f>IF(N28&gt;=0,0,(IF(N28&gt;-60,0,IF(-60&gt;=N28,IF(N28&gt;-120,0,IF(N28&gt;=-180,0,IF(N28&gt;=-365,O28,0)))))))</f>
        <v>0</v>
      </c>
      <c r="V28" s="316">
        <f>IF(N28&gt;=0,0,IF(365&lt;-N28,O28,0))</f>
        <v>0</v>
      </c>
    </row>
    <row r="29" spans="1:22" s="290" customFormat="1" ht="19.5" customHeight="1">
      <c r="A29" s="138"/>
      <c r="B29" s="143"/>
      <c r="C29" s="286"/>
      <c r="D29" s="140"/>
      <c r="E29" s="141">
        <f t="shared" ref="E29:K29" si="8">SUM(E28:E28)</f>
        <v>533799.47499999998</v>
      </c>
      <c r="F29" s="141">
        <f t="shared" si="8"/>
        <v>0</v>
      </c>
      <c r="G29" s="141">
        <f t="shared" si="8"/>
        <v>0</v>
      </c>
      <c r="H29" s="141">
        <f t="shared" si="8"/>
        <v>0</v>
      </c>
      <c r="I29" s="141">
        <f t="shared" si="8"/>
        <v>533799.47499999998</v>
      </c>
      <c r="J29" s="287">
        <f t="shared" si="8"/>
        <v>640559.37</v>
      </c>
      <c r="K29" s="287">
        <f t="shared" si="8"/>
        <v>640559.37</v>
      </c>
      <c r="L29" s="139"/>
      <c r="M29" s="139"/>
      <c r="N29" s="142"/>
      <c r="O29" s="141">
        <f>SUM(O28:O28)</f>
        <v>0</v>
      </c>
      <c r="P29" s="141">
        <f>SUM(P28:P28)</f>
        <v>0</v>
      </c>
      <c r="Q29" s="292"/>
      <c r="R29" s="337">
        <f>SUM(R28:R28)</f>
        <v>0</v>
      </c>
      <c r="S29" s="337">
        <f>SUM(S28:S28)</f>
        <v>0</v>
      </c>
      <c r="T29" s="337">
        <f>SUM(T28:T28)</f>
        <v>0</v>
      </c>
      <c r="U29" s="337">
        <f>SUM(U28:U28)</f>
        <v>0</v>
      </c>
      <c r="V29" s="337">
        <f>SUM(V28:V28)</f>
        <v>0</v>
      </c>
    </row>
    <row r="30" spans="1:22" ht="19.5" customHeight="1">
      <c r="A30" s="54" t="s">
        <v>219</v>
      </c>
      <c r="B30" s="54"/>
      <c r="C30" s="56"/>
      <c r="D30" s="57"/>
      <c r="E30" s="50">
        <f>49459.38/1.2</f>
        <v>41216.15</v>
      </c>
      <c r="F30" s="50">
        <f>-E30*$F$10</f>
        <v>0</v>
      </c>
      <c r="G30" s="50">
        <f>E30*$G$10</f>
        <v>0</v>
      </c>
      <c r="H30" s="50"/>
      <c r="I30" s="50">
        <f>+E30+F30-G30-H30</f>
        <v>41216.15</v>
      </c>
      <c r="J30" s="50">
        <f>+I30+(I30*$I$4)</f>
        <v>49459.380000000005</v>
      </c>
      <c r="K30" s="50">
        <v>49459.380000000005</v>
      </c>
      <c r="L30" s="51"/>
      <c r="M30" s="51"/>
      <c r="N30" s="52">
        <f>-IF(L30=0,,IF(M30=0,($C$10-L30),M30-L30))</f>
        <v>0</v>
      </c>
      <c r="O30" s="50">
        <f>+J30-K30</f>
        <v>0</v>
      </c>
      <c r="P30" s="50">
        <f>+IF($C$10&lt;L30,0,O30)</f>
        <v>0</v>
      </c>
      <c r="Q30" s="53"/>
      <c r="R30" s="316">
        <f>IF(N30&gt;=0,0,(IF(-N30&lt;=60,O30,0)))</f>
        <v>0</v>
      </c>
      <c r="S30" s="316">
        <f>IF(N30&gt;=0,0,(IF(N30&gt;=-60,0,IF(-60&gt;=N30,IF(N30&gt;=-120,O30,0)))))</f>
        <v>0</v>
      </c>
      <c r="T30" s="316">
        <f>IF(N30&gt;=0,0,(IF(N30&gt;-60,0,IF(-60&gt;=N30,IF(N30&gt;=-120,0,IF(N30&gt;=-180,O30,0))))))</f>
        <v>0</v>
      </c>
      <c r="U30" s="316">
        <f>IF(N30&gt;=0,0,(IF(N30&gt;-60,0,IF(-60&gt;=N30,IF(N30&gt;-120,0,IF(N30&gt;=-180,0,IF(N30&gt;=-365,O30,0)))))))</f>
        <v>0</v>
      </c>
      <c r="V30" s="316">
        <f>IF(N30&gt;=0,0,IF(365&lt;-N30,O30,0))</f>
        <v>0</v>
      </c>
    </row>
    <row r="31" spans="1:22" s="290" customFormat="1" ht="19.5" customHeight="1">
      <c r="A31" s="138"/>
      <c r="B31" s="143"/>
      <c r="C31" s="286"/>
      <c r="D31" s="140"/>
      <c r="E31" s="141">
        <f t="shared" ref="E31:K31" si="9">SUM(E30:E30)</f>
        <v>41216.15</v>
      </c>
      <c r="F31" s="141">
        <f t="shared" si="9"/>
        <v>0</v>
      </c>
      <c r="G31" s="141">
        <f t="shared" si="9"/>
        <v>0</v>
      </c>
      <c r="H31" s="141">
        <f t="shared" si="9"/>
        <v>0</v>
      </c>
      <c r="I31" s="141">
        <f t="shared" si="9"/>
        <v>41216.15</v>
      </c>
      <c r="J31" s="287">
        <f t="shared" si="9"/>
        <v>49459.380000000005</v>
      </c>
      <c r="K31" s="287">
        <f t="shared" si="9"/>
        <v>49459.380000000005</v>
      </c>
      <c r="L31" s="139"/>
      <c r="M31" s="139"/>
      <c r="N31" s="142"/>
      <c r="O31" s="141">
        <f>SUM(O30:O30)</f>
        <v>0</v>
      </c>
      <c r="P31" s="141">
        <f>SUM(P30:P30)</f>
        <v>0</v>
      </c>
      <c r="Q31" s="292"/>
      <c r="R31" s="337">
        <f>SUM(R30:R30)</f>
        <v>0</v>
      </c>
      <c r="S31" s="337">
        <f>SUM(S30:S30)</f>
        <v>0</v>
      </c>
      <c r="T31" s="337">
        <f>SUM(T30:T30)</f>
        <v>0</v>
      </c>
      <c r="U31" s="337">
        <f>SUM(U30:U30)</f>
        <v>0</v>
      </c>
      <c r="V31" s="337">
        <f>SUM(V30:V30)</f>
        <v>0</v>
      </c>
    </row>
    <row r="32" spans="1:22" ht="19.5" customHeight="1">
      <c r="A32" s="54" t="s">
        <v>124</v>
      </c>
      <c r="B32" s="54"/>
      <c r="C32" s="56"/>
      <c r="D32" s="57"/>
      <c r="E32" s="50">
        <f>1839482.77/1.2</f>
        <v>1532902.3083333333</v>
      </c>
      <c r="F32" s="50">
        <f>-E32*$F$10</f>
        <v>0</v>
      </c>
      <c r="G32" s="50">
        <f>E32*$G$10</f>
        <v>0</v>
      </c>
      <c r="H32" s="50"/>
      <c r="I32" s="50">
        <f>+E32+F32-G32-H32</f>
        <v>1532902.3083333333</v>
      </c>
      <c r="J32" s="50">
        <f>+I32+(I32*$I$4)</f>
        <v>1839482.77</v>
      </c>
      <c r="K32" s="50">
        <v>1839482.77</v>
      </c>
      <c r="L32" s="51"/>
      <c r="M32" s="293"/>
      <c r="N32" s="52">
        <f>-IF(L32=0,,IF(M32=0,($C$10-L32),M32-L32))</f>
        <v>0</v>
      </c>
      <c r="O32" s="50">
        <f>+J32-K32</f>
        <v>0</v>
      </c>
      <c r="P32" s="50">
        <f>+IF($C$10&lt;L32,0,O32)</f>
        <v>0</v>
      </c>
      <c r="Q32" s="53"/>
      <c r="R32" s="316">
        <f>IF(N32&gt;=0,0,(IF(-N32&lt;=60,O32,0)))</f>
        <v>0</v>
      </c>
      <c r="S32" s="316">
        <f>IF(N32&gt;=0,0,(IF(N32&gt;=-60,0,IF(-60&gt;=N32,IF(N32&gt;=-120,O32,0)))))</f>
        <v>0</v>
      </c>
      <c r="T32" s="316">
        <f>IF(N32&gt;=0,0,(IF(N32&gt;-60,0,IF(-60&gt;=N32,IF(N32&gt;=-120,0,IF(N32&gt;=-180,O32,0))))))</f>
        <v>0</v>
      </c>
      <c r="U32" s="316">
        <f>IF(N32&gt;=0,0,(IF(N32&gt;-60,0,IF(-60&gt;=N32,IF(N32&gt;-120,0,IF(N32&gt;=-180,0,IF(N32&gt;=-365,O32,0)))))))</f>
        <v>0</v>
      </c>
      <c r="V32" s="316">
        <f>IF(N32&gt;=0,0,IF(365&lt;-N32,O32,0))</f>
        <v>0</v>
      </c>
    </row>
    <row r="33" spans="1:22" s="290" customFormat="1" ht="19.5" customHeight="1">
      <c r="A33" s="138"/>
      <c r="B33" s="138"/>
      <c r="C33" s="286"/>
      <c r="D33" s="140"/>
      <c r="E33" s="141">
        <f t="shared" ref="E33:K33" si="10">SUM(E32:E32)</f>
        <v>1532902.3083333333</v>
      </c>
      <c r="F33" s="141">
        <f t="shared" si="10"/>
        <v>0</v>
      </c>
      <c r="G33" s="141">
        <f t="shared" si="10"/>
        <v>0</v>
      </c>
      <c r="H33" s="141">
        <f t="shared" si="10"/>
        <v>0</v>
      </c>
      <c r="I33" s="141">
        <f t="shared" si="10"/>
        <v>1532902.3083333333</v>
      </c>
      <c r="J33" s="287">
        <f t="shared" si="10"/>
        <v>1839482.77</v>
      </c>
      <c r="K33" s="287">
        <f t="shared" si="10"/>
        <v>1839482.77</v>
      </c>
      <c r="L33" s="139"/>
      <c r="M33" s="294"/>
      <c r="N33" s="142"/>
      <c r="O33" s="141">
        <f>SUM(O32:O32)</f>
        <v>0</v>
      </c>
      <c r="P33" s="141">
        <f>SUM(P32:P32)</f>
        <v>0</v>
      </c>
      <c r="Q33" s="292"/>
      <c r="R33" s="337">
        <f>SUM(R32:R32)</f>
        <v>0</v>
      </c>
      <c r="S33" s="337">
        <f>SUM(S32:S32)</f>
        <v>0</v>
      </c>
      <c r="T33" s="337">
        <f>SUM(T32:T32)</f>
        <v>0</v>
      </c>
      <c r="U33" s="337">
        <f>SUM(U32:U32)</f>
        <v>0</v>
      </c>
      <c r="V33" s="337">
        <f>SUM(V32:V32)</f>
        <v>0</v>
      </c>
    </row>
    <row r="34" spans="1:22" ht="19.5" customHeight="1">
      <c r="A34" s="54" t="s">
        <v>127</v>
      </c>
      <c r="B34" s="54"/>
      <c r="C34" s="56"/>
      <c r="D34" s="57"/>
      <c r="E34" s="50">
        <f>2142445.08/1.2</f>
        <v>1785370.9000000001</v>
      </c>
      <c r="F34" s="50">
        <f>-E34*$F$10</f>
        <v>0</v>
      </c>
      <c r="G34" s="50">
        <f>E34*$G$10</f>
        <v>0</v>
      </c>
      <c r="H34" s="50"/>
      <c r="I34" s="50">
        <f>+E34+F34-G34-H34</f>
        <v>1785370.9000000001</v>
      </c>
      <c r="J34" s="50">
        <f>+I34+(I34*$I$4)</f>
        <v>2142445.08</v>
      </c>
      <c r="K34" s="50">
        <v>2142445.08</v>
      </c>
      <c r="L34" s="51"/>
      <c r="M34" s="51"/>
      <c r="N34" s="52">
        <f>-IF(L34=0,,IF(M34=0,($C$10-L34),M34-L34))</f>
        <v>0</v>
      </c>
      <c r="O34" s="50">
        <f>+J34-K34</f>
        <v>0</v>
      </c>
      <c r="P34" s="50">
        <f>+IF($C$10&lt;L34,0,O34)</f>
        <v>0</v>
      </c>
      <c r="Q34" s="53"/>
      <c r="R34" s="316">
        <f>IF(N34&gt;=0,0,(IF(-N34&lt;=60,O34,0)))</f>
        <v>0</v>
      </c>
      <c r="S34" s="316">
        <f>IF(N34&gt;=0,0,(IF(N34&gt;=-60,0,IF(-60&gt;=N34,IF(N34&gt;=-120,O34,0)))))</f>
        <v>0</v>
      </c>
      <c r="T34" s="316">
        <f>IF(N34&gt;=0,0,(IF(N34&gt;-60,0,IF(-60&gt;=N34,IF(N34&gt;=-120,0,IF(N34&gt;=-180,O34,0))))))</f>
        <v>0</v>
      </c>
      <c r="U34" s="316">
        <f>IF(N34&gt;=0,0,(IF(N34&gt;-60,0,IF(-60&gt;=N34,IF(N34&gt;-120,0,IF(N34&gt;=-180,0,IF(N34&gt;=-365,O34,0)))))))</f>
        <v>0</v>
      </c>
      <c r="V34" s="316">
        <f>IF(N34&gt;=0,0,IF(365&lt;-N34,O34,0))</f>
        <v>0</v>
      </c>
    </row>
    <row r="35" spans="1:22" s="290" customFormat="1" ht="19.5" customHeight="1">
      <c r="A35" s="138"/>
      <c r="B35" s="143"/>
      <c r="C35" s="286"/>
      <c r="D35" s="140"/>
      <c r="E35" s="141">
        <f t="shared" ref="E35:K35" si="11">SUM(E34:E34)</f>
        <v>1785370.9000000001</v>
      </c>
      <c r="F35" s="141">
        <f t="shared" si="11"/>
        <v>0</v>
      </c>
      <c r="G35" s="141">
        <f t="shared" si="11"/>
        <v>0</v>
      </c>
      <c r="H35" s="141">
        <f t="shared" si="11"/>
        <v>0</v>
      </c>
      <c r="I35" s="141">
        <f t="shared" si="11"/>
        <v>1785370.9000000001</v>
      </c>
      <c r="J35" s="287">
        <f t="shared" si="11"/>
        <v>2142445.08</v>
      </c>
      <c r="K35" s="287">
        <f t="shared" si="11"/>
        <v>2142445.08</v>
      </c>
      <c r="L35" s="139"/>
      <c r="M35" s="139"/>
      <c r="N35" s="142"/>
      <c r="O35" s="141">
        <f>SUM(O34:O34)</f>
        <v>0</v>
      </c>
      <c r="P35" s="141">
        <f>SUM(P34:P34)</f>
        <v>0</v>
      </c>
      <c r="Q35" s="292"/>
      <c r="R35" s="337">
        <f>SUM(R34:R34)</f>
        <v>0</v>
      </c>
      <c r="S35" s="337">
        <f>SUM(S34:S34)</f>
        <v>0</v>
      </c>
      <c r="T35" s="337">
        <f>SUM(T34:T34)</f>
        <v>0</v>
      </c>
      <c r="U35" s="337">
        <f>SUM(U34:U34)</f>
        <v>0</v>
      </c>
      <c r="V35" s="337">
        <f>SUM(V34:V34)</f>
        <v>0</v>
      </c>
    </row>
    <row r="36" spans="1:22" ht="19.5" customHeight="1">
      <c r="A36" s="54" t="s">
        <v>221</v>
      </c>
      <c r="B36" s="54"/>
      <c r="C36" s="56"/>
      <c r="D36" s="57"/>
      <c r="E36" s="50">
        <f>2435370.41/1.2</f>
        <v>2029475.3416666668</v>
      </c>
      <c r="F36" s="50">
        <f>-E36*$F$10</f>
        <v>0</v>
      </c>
      <c r="G36" s="50">
        <f>E36*$G$10</f>
        <v>0</v>
      </c>
      <c r="H36" s="50"/>
      <c r="I36" s="50">
        <f>+E36+F36-G36-H36</f>
        <v>2029475.3416666668</v>
      </c>
      <c r="J36" s="50">
        <f>+I36+(I36*$I$4)</f>
        <v>2435370.41</v>
      </c>
      <c r="K36" s="50">
        <v>2435370.41</v>
      </c>
      <c r="L36" s="51"/>
      <c r="M36" s="51"/>
      <c r="N36" s="52">
        <f>-IF(L36=0,,IF(M36=0,($C$10-L36),M36-L36))</f>
        <v>0</v>
      </c>
      <c r="O36" s="50">
        <f>+J36-K36</f>
        <v>0</v>
      </c>
      <c r="P36" s="50">
        <f>+IF($C$10&lt;L36,0,O36)</f>
        <v>0</v>
      </c>
      <c r="Q36" s="53"/>
      <c r="R36" s="316">
        <f>IF(N36&gt;=0,0,(IF(-N36&lt;=60,O36,0)))</f>
        <v>0</v>
      </c>
      <c r="S36" s="316">
        <f>IF(N36&gt;=0,0,(IF(N36&gt;=-60,0,IF(-60&gt;=N36,IF(N36&gt;=-120,O36,0)))))</f>
        <v>0</v>
      </c>
      <c r="T36" s="316">
        <f>IF(N36&gt;=0,0,(IF(N36&gt;-60,0,IF(-60&gt;=N36,IF(N36&gt;=-120,0,IF(N36&gt;=-180,O36,0))))))</f>
        <v>0</v>
      </c>
      <c r="U36" s="316">
        <f>IF(N36&gt;=0,0,(IF(N36&gt;-60,0,IF(-60&gt;=N36,IF(N36&gt;-120,0,IF(N36&gt;=-180,0,IF(N36&gt;=-365,O36,0)))))))</f>
        <v>0</v>
      </c>
      <c r="V36" s="316">
        <f>IF(N36&gt;=0,0,IF(365&lt;-N36,O36,0))</f>
        <v>0</v>
      </c>
    </row>
    <row r="37" spans="1:22" s="290" customFormat="1" ht="19.5" customHeight="1">
      <c r="A37" s="138"/>
      <c r="B37" s="138"/>
      <c r="C37" s="286"/>
      <c r="D37" s="140"/>
      <c r="E37" s="141">
        <f t="shared" ref="E37:K37" si="12">SUM(E36:E36)</f>
        <v>2029475.3416666668</v>
      </c>
      <c r="F37" s="141">
        <f t="shared" si="12"/>
        <v>0</v>
      </c>
      <c r="G37" s="141">
        <f t="shared" si="12"/>
        <v>0</v>
      </c>
      <c r="H37" s="141">
        <f t="shared" si="12"/>
        <v>0</v>
      </c>
      <c r="I37" s="141">
        <f t="shared" si="12"/>
        <v>2029475.3416666668</v>
      </c>
      <c r="J37" s="287">
        <f t="shared" si="12"/>
        <v>2435370.41</v>
      </c>
      <c r="K37" s="287">
        <f t="shared" si="12"/>
        <v>2435370.41</v>
      </c>
      <c r="L37" s="139"/>
      <c r="M37" s="139"/>
      <c r="N37" s="142"/>
      <c r="O37" s="141">
        <f>SUM(O36:O36)</f>
        <v>0</v>
      </c>
      <c r="P37" s="141">
        <f>SUM(P36:P36)</f>
        <v>0</v>
      </c>
      <c r="Q37" s="292"/>
      <c r="R37" s="337">
        <f>SUM(R36:R36)</f>
        <v>0</v>
      </c>
      <c r="S37" s="337">
        <f>SUM(S36:S36)</f>
        <v>0</v>
      </c>
      <c r="T37" s="337">
        <f>SUM(T36:T36)</f>
        <v>0</v>
      </c>
      <c r="U37" s="337">
        <f>SUM(U36:U36)</f>
        <v>0</v>
      </c>
      <c r="V37" s="337">
        <f>SUM(V36:V36)</f>
        <v>0</v>
      </c>
    </row>
    <row r="38" spans="1:22" ht="19.5" customHeight="1">
      <c r="A38" s="54" t="s">
        <v>223</v>
      </c>
      <c r="B38" s="54"/>
      <c r="C38" s="56"/>
      <c r="D38" s="57"/>
      <c r="E38" s="50">
        <f>78315.03/1.2</f>
        <v>65262.525000000001</v>
      </c>
      <c r="F38" s="50">
        <f>-E38*$F$10</f>
        <v>0</v>
      </c>
      <c r="G38" s="50">
        <f>E38*$G$10</f>
        <v>0</v>
      </c>
      <c r="H38" s="50"/>
      <c r="I38" s="50">
        <f>+E38+F38-G38-H38</f>
        <v>65262.525000000001</v>
      </c>
      <c r="J38" s="50">
        <f>+I38+(I38*$I$4)</f>
        <v>78315.03</v>
      </c>
      <c r="K38" s="50">
        <v>78315.03</v>
      </c>
      <c r="L38" s="51"/>
      <c r="M38" s="293"/>
      <c r="N38" s="52">
        <f>-IF(L38=0,,IF(M38=0,($C$10-L38),M38-L38))</f>
        <v>0</v>
      </c>
      <c r="O38" s="50">
        <f>+J38-K38</f>
        <v>0</v>
      </c>
      <c r="P38" s="50">
        <f>+IF($C$10&lt;L38,0,O38)</f>
        <v>0</v>
      </c>
      <c r="Q38" s="53"/>
      <c r="R38" s="316">
        <f>IF(N38&gt;=0,0,(IF(-N38&lt;=60,O38,0)))</f>
        <v>0</v>
      </c>
      <c r="S38" s="316">
        <f>IF(N38&gt;=0,0,(IF(N38&gt;=-60,0,IF(-60&gt;=N38,IF(N38&gt;=-120,O38,0)))))</f>
        <v>0</v>
      </c>
      <c r="T38" s="316">
        <f>IF(N38&gt;=0,0,(IF(N38&gt;-60,0,IF(-60&gt;=N38,IF(N38&gt;=-120,0,IF(N38&gt;=-180,O38,0))))))</f>
        <v>0</v>
      </c>
      <c r="U38" s="316">
        <f>IF(N38&gt;=0,0,(IF(N38&gt;-60,0,IF(-60&gt;=N38,IF(N38&gt;-120,0,IF(N38&gt;=-180,0,IF(N38&gt;=-365,O38,0)))))))</f>
        <v>0</v>
      </c>
      <c r="V38" s="316">
        <f>IF(N38&gt;=0,0,IF(365&lt;-N38,O38,0))</f>
        <v>0</v>
      </c>
    </row>
    <row r="39" spans="1:22" s="290" customFormat="1" ht="19.5" customHeight="1">
      <c r="A39" s="138"/>
      <c r="B39" s="138"/>
      <c r="C39" s="286"/>
      <c r="D39" s="140"/>
      <c r="E39" s="141">
        <f t="shared" ref="E39:K39" si="13">SUM(E38:E38)</f>
        <v>65262.525000000001</v>
      </c>
      <c r="F39" s="141">
        <f t="shared" si="13"/>
        <v>0</v>
      </c>
      <c r="G39" s="141">
        <f t="shared" si="13"/>
        <v>0</v>
      </c>
      <c r="H39" s="141">
        <f t="shared" si="13"/>
        <v>0</v>
      </c>
      <c r="I39" s="141">
        <f t="shared" si="13"/>
        <v>65262.525000000001</v>
      </c>
      <c r="J39" s="287">
        <f t="shared" si="13"/>
        <v>78315.03</v>
      </c>
      <c r="K39" s="287">
        <f t="shared" si="13"/>
        <v>78315.03</v>
      </c>
      <c r="L39" s="139"/>
      <c r="M39" s="139"/>
      <c r="N39" s="142"/>
      <c r="O39" s="141">
        <f>SUM(O38:O38)</f>
        <v>0</v>
      </c>
      <c r="P39" s="141">
        <f>SUM(P38:P38)</f>
        <v>0</v>
      </c>
      <c r="Q39" s="292"/>
      <c r="R39" s="337">
        <f>SUM(R38:R38)</f>
        <v>0</v>
      </c>
      <c r="S39" s="337">
        <f>SUM(S38:S38)</f>
        <v>0</v>
      </c>
      <c r="T39" s="337">
        <f>SUM(T38:T38)</f>
        <v>0</v>
      </c>
      <c r="U39" s="337">
        <f>SUM(U38:U38)</f>
        <v>0</v>
      </c>
      <c r="V39" s="337">
        <f>SUM(V38:V38)</f>
        <v>0</v>
      </c>
    </row>
    <row r="40" spans="1:22" ht="19.5" customHeight="1">
      <c r="A40" s="54" t="s">
        <v>183</v>
      </c>
      <c r="B40" s="54"/>
      <c r="C40" s="56"/>
      <c r="D40" s="57"/>
      <c r="E40" s="50">
        <f>9494.18/1.2</f>
        <v>7911.8166666666675</v>
      </c>
      <c r="F40" s="50">
        <f>-E40*$F$10</f>
        <v>0</v>
      </c>
      <c r="G40" s="50">
        <f>E40*$G$10</f>
        <v>0</v>
      </c>
      <c r="H40" s="50"/>
      <c r="I40" s="50">
        <f>+E40+F40-G40-H40</f>
        <v>7911.8166666666675</v>
      </c>
      <c r="J40" s="50">
        <f>+I40+(I40*$I$4)</f>
        <v>9494.18</v>
      </c>
      <c r="K40" s="50">
        <v>9494.18</v>
      </c>
      <c r="L40" s="51"/>
      <c r="M40" s="293"/>
      <c r="N40" s="52">
        <f>-IF(L40=0,,IF(M40=0,($C$10-L40),M40-L40))</f>
        <v>0</v>
      </c>
      <c r="O40" s="50">
        <f>+J40-K40</f>
        <v>0</v>
      </c>
      <c r="P40" s="50">
        <f>+IF($C$10&lt;L40,0,O40)</f>
        <v>0</v>
      </c>
      <c r="Q40" s="53"/>
      <c r="R40" s="316">
        <f>IF(N40&gt;=0,0,(IF(-N40&lt;=60,O40,0)))</f>
        <v>0</v>
      </c>
      <c r="S40" s="316">
        <f>IF(N40&gt;=0,0,(IF(N40&gt;=-60,0,IF(-60&gt;=N40,IF(N40&gt;=-120,O40,0)))))</f>
        <v>0</v>
      </c>
      <c r="T40" s="316">
        <f>IF(N40&gt;=0,0,(IF(N40&gt;-60,0,IF(-60&gt;=N40,IF(N40&gt;=-120,0,IF(N40&gt;=-180,O40,0))))))</f>
        <v>0</v>
      </c>
      <c r="U40" s="316">
        <f>IF(N40&gt;=0,0,(IF(N40&gt;-60,0,IF(-60&gt;=N40,IF(N40&gt;-120,0,IF(N40&gt;=-180,0,IF(N40&gt;=-365,O40,0)))))))</f>
        <v>0</v>
      </c>
      <c r="V40" s="316">
        <f>IF(N40&gt;=0,0,IF(365&lt;-N40,O40,0))</f>
        <v>0</v>
      </c>
    </row>
    <row r="41" spans="1:22" s="290" customFormat="1" ht="19.5" customHeight="1">
      <c r="A41" s="138"/>
      <c r="B41" s="138"/>
      <c r="C41" s="286"/>
      <c r="D41" s="140"/>
      <c r="E41" s="141">
        <f t="shared" ref="E41:K41" si="14">SUM(E40:E40)</f>
        <v>7911.8166666666675</v>
      </c>
      <c r="F41" s="141">
        <f t="shared" si="14"/>
        <v>0</v>
      </c>
      <c r="G41" s="141">
        <f t="shared" si="14"/>
        <v>0</v>
      </c>
      <c r="H41" s="141">
        <f t="shared" si="14"/>
        <v>0</v>
      </c>
      <c r="I41" s="141">
        <f t="shared" si="14"/>
        <v>7911.8166666666675</v>
      </c>
      <c r="J41" s="287">
        <f t="shared" si="14"/>
        <v>9494.18</v>
      </c>
      <c r="K41" s="287">
        <f t="shared" si="14"/>
        <v>9494.18</v>
      </c>
      <c r="L41" s="139"/>
      <c r="M41" s="139"/>
      <c r="N41" s="142"/>
      <c r="O41" s="141">
        <f>SUM(O40:O40)</f>
        <v>0</v>
      </c>
      <c r="P41" s="141">
        <f>SUM(P40:P40)</f>
        <v>0</v>
      </c>
      <c r="Q41" s="292"/>
      <c r="R41" s="337">
        <f>SUM(R40:R40)</f>
        <v>0</v>
      </c>
      <c r="S41" s="337">
        <f>SUM(S40:S40)</f>
        <v>0</v>
      </c>
      <c r="T41" s="337">
        <f>SUM(T40:T40)</f>
        <v>0</v>
      </c>
      <c r="U41" s="337">
        <f>SUM(U40:U40)</f>
        <v>0</v>
      </c>
      <c r="V41" s="337">
        <f>SUM(V40:V40)</f>
        <v>0</v>
      </c>
    </row>
    <row r="42" spans="1:22" ht="19.5" customHeight="1">
      <c r="A42" s="54" t="s">
        <v>222</v>
      </c>
      <c r="B42" s="54"/>
      <c r="C42" s="56"/>
      <c r="D42" s="57"/>
      <c r="E42" s="50">
        <f>101545.73/1.2</f>
        <v>84621.441666666666</v>
      </c>
      <c r="F42" s="50">
        <f>-E42*$F$10</f>
        <v>0</v>
      </c>
      <c r="G42" s="50">
        <f>E42*$G$10</f>
        <v>0</v>
      </c>
      <c r="H42" s="50"/>
      <c r="I42" s="50">
        <f>+E42+F42-G42-H42</f>
        <v>84621.441666666666</v>
      </c>
      <c r="J42" s="50">
        <f>+I42+(I42*$I$4)</f>
        <v>101545.73</v>
      </c>
      <c r="K42" s="50">
        <v>101545.73</v>
      </c>
      <c r="L42" s="51"/>
      <c r="M42" s="51"/>
      <c r="N42" s="52">
        <f>-IF(L42=0,,IF(M42=0,($C$10-L42),M42-L42))</f>
        <v>0</v>
      </c>
      <c r="O42" s="50">
        <f>+J42-K42</f>
        <v>0</v>
      </c>
      <c r="P42" s="50">
        <f>+IF($C$10&lt;L42,0,O42)</f>
        <v>0</v>
      </c>
      <c r="Q42" s="53"/>
      <c r="R42" s="316">
        <f>IF(N42&gt;=0,0,(IF(-N42&lt;=60,O42,0)))</f>
        <v>0</v>
      </c>
      <c r="S42" s="316">
        <f>IF(N42&gt;=0,0,(IF(N42&gt;=-60,0,IF(-60&gt;=N42,IF(N42&gt;=-120,O42,0)))))</f>
        <v>0</v>
      </c>
      <c r="T42" s="316">
        <f>IF(N42&gt;=0,0,(IF(N42&gt;-60,0,IF(-60&gt;=N42,IF(N42&gt;=-120,0,IF(N42&gt;=-180,O42,0))))))</f>
        <v>0</v>
      </c>
      <c r="U42" s="316">
        <f>IF(N42&gt;=0,0,(IF(N42&gt;-60,0,IF(-60&gt;=N42,IF(N42&gt;-120,0,IF(N42&gt;=-180,0,IF(N42&gt;=-365,O42,0)))))))</f>
        <v>0</v>
      </c>
      <c r="V42" s="316">
        <f>IF(N42&gt;=0,0,IF(365&lt;-N42,O42,0))</f>
        <v>0</v>
      </c>
    </row>
    <row r="43" spans="1:22" s="290" customFormat="1" ht="19.5" customHeight="1">
      <c r="A43" s="138"/>
      <c r="B43" s="138"/>
      <c r="C43" s="286"/>
      <c r="D43" s="140"/>
      <c r="E43" s="141">
        <f t="shared" ref="E43:K43" si="15">SUM(E42:E42)</f>
        <v>84621.441666666666</v>
      </c>
      <c r="F43" s="141">
        <f t="shared" si="15"/>
        <v>0</v>
      </c>
      <c r="G43" s="141">
        <f t="shared" si="15"/>
        <v>0</v>
      </c>
      <c r="H43" s="141">
        <f t="shared" si="15"/>
        <v>0</v>
      </c>
      <c r="I43" s="141">
        <f t="shared" si="15"/>
        <v>84621.441666666666</v>
      </c>
      <c r="J43" s="287">
        <f t="shared" si="15"/>
        <v>101545.73</v>
      </c>
      <c r="K43" s="287">
        <f t="shared" si="15"/>
        <v>101545.73</v>
      </c>
      <c r="L43" s="139"/>
      <c r="M43" s="139"/>
      <c r="N43" s="142"/>
      <c r="O43" s="141">
        <f>SUM(O42:O42)</f>
        <v>0</v>
      </c>
      <c r="P43" s="141">
        <f>SUM(P42:P42)</f>
        <v>0</v>
      </c>
      <c r="Q43" s="292"/>
      <c r="R43" s="337">
        <f>SUM(R42:R42)</f>
        <v>0</v>
      </c>
      <c r="S43" s="337">
        <f>SUM(S42:S42)</f>
        <v>0</v>
      </c>
      <c r="T43" s="337">
        <f>SUM(T42:T42)</f>
        <v>0</v>
      </c>
      <c r="U43" s="337">
        <f>SUM(U42:U42)</f>
        <v>0</v>
      </c>
      <c r="V43" s="337">
        <f>SUM(V42:V42)</f>
        <v>0</v>
      </c>
    </row>
    <row r="44" spans="1:22" ht="19.5" customHeight="1">
      <c r="A44" s="54" t="s">
        <v>236</v>
      </c>
      <c r="B44" s="54"/>
      <c r="C44" s="56"/>
      <c r="D44" s="57"/>
      <c r="E44" s="50">
        <f>25000/1.2</f>
        <v>20833.333333333336</v>
      </c>
      <c r="F44" s="50">
        <f>-E44*$F$10</f>
        <v>0</v>
      </c>
      <c r="G44" s="50">
        <f>E44*$G$10</f>
        <v>0</v>
      </c>
      <c r="H44" s="50"/>
      <c r="I44" s="50">
        <f>+E44+F44-G44-H44</f>
        <v>20833.333333333336</v>
      </c>
      <c r="J44" s="50">
        <f>+I44+(I44*$I$4)</f>
        <v>25000.000000000004</v>
      </c>
      <c r="K44" s="50">
        <v>25000.000000000004</v>
      </c>
      <c r="L44" s="51"/>
      <c r="M44" s="293"/>
      <c r="N44" s="52">
        <f>-IF(L44=0,,IF(M44=0,($C$10-L44),M44-L44))</f>
        <v>0</v>
      </c>
      <c r="O44" s="50">
        <f>+J44-K44</f>
        <v>0</v>
      </c>
      <c r="P44" s="50">
        <f>+IF($C$10&lt;L44,0,O44)</f>
        <v>0</v>
      </c>
      <c r="Q44" s="53"/>
      <c r="R44" s="316">
        <f>IF(N44&gt;=0,0,(IF(-N44&lt;=60,O44,0)))</f>
        <v>0</v>
      </c>
      <c r="S44" s="316">
        <f>IF(N44&gt;=0,0,(IF(N44&gt;=-60,0,IF(-60&gt;=N44,IF(N44&gt;=-120,O44,0)))))</f>
        <v>0</v>
      </c>
      <c r="T44" s="316">
        <f>IF(N44&gt;=0,0,(IF(N44&gt;-60,0,IF(-60&gt;=N44,IF(N44&gt;=-120,0,IF(N44&gt;=-180,O44,0))))))</f>
        <v>0</v>
      </c>
      <c r="U44" s="316">
        <f>IF(N44&gt;=0,0,(IF(N44&gt;-60,0,IF(-60&gt;=N44,IF(N44&gt;-120,0,IF(N44&gt;=-180,0,IF(N44&gt;=-365,O44,0)))))))</f>
        <v>0</v>
      </c>
      <c r="V44" s="316">
        <f>IF(N44&gt;=0,0,IF(365&lt;-N44,O44,0))</f>
        <v>0</v>
      </c>
    </row>
    <row r="45" spans="1:22" s="290" customFormat="1" ht="19.5" customHeight="1">
      <c r="A45" s="138"/>
      <c r="B45" s="138"/>
      <c r="C45" s="286"/>
      <c r="D45" s="140"/>
      <c r="E45" s="141">
        <f t="shared" ref="E45:K45" si="16">SUM(E44:E44)</f>
        <v>20833.333333333336</v>
      </c>
      <c r="F45" s="141">
        <f t="shared" si="16"/>
        <v>0</v>
      </c>
      <c r="G45" s="141">
        <f t="shared" si="16"/>
        <v>0</v>
      </c>
      <c r="H45" s="141">
        <f t="shared" si="16"/>
        <v>0</v>
      </c>
      <c r="I45" s="141">
        <f t="shared" si="16"/>
        <v>20833.333333333336</v>
      </c>
      <c r="J45" s="287">
        <f t="shared" si="16"/>
        <v>25000.000000000004</v>
      </c>
      <c r="K45" s="287">
        <f t="shared" si="16"/>
        <v>25000.000000000004</v>
      </c>
      <c r="L45" s="139"/>
      <c r="M45" s="139"/>
      <c r="N45" s="142"/>
      <c r="O45" s="141">
        <f>SUM(O44:O44)</f>
        <v>0</v>
      </c>
      <c r="P45" s="141">
        <f>SUM(P44:P44)</f>
        <v>0</v>
      </c>
      <c r="Q45" s="292"/>
      <c r="R45" s="337">
        <f>SUM(R44:R44)</f>
        <v>0</v>
      </c>
      <c r="S45" s="337">
        <f>SUM(S44:S44)</f>
        <v>0</v>
      </c>
      <c r="T45" s="337">
        <f>SUM(T44:T44)</f>
        <v>0</v>
      </c>
      <c r="U45" s="337">
        <f>SUM(U44:U44)</f>
        <v>0</v>
      </c>
      <c r="V45" s="337">
        <f>SUM(V44:V44)</f>
        <v>0</v>
      </c>
    </row>
    <row r="46" spans="1:22" ht="19.5" customHeight="1">
      <c r="A46" s="54" t="s">
        <v>171</v>
      </c>
      <c r="B46" s="54"/>
      <c r="C46" s="56"/>
      <c r="D46" s="57"/>
      <c r="E46" s="50">
        <f>4031.35/1.2</f>
        <v>3359.4583333333335</v>
      </c>
      <c r="F46" s="50">
        <f>-E46*$F$10</f>
        <v>0</v>
      </c>
      <c r="G46" s="50">
        <f>E46*$G$10</f>
        <v>0</v>
      </c>
      <c r="H46" s="50"/>
      <c r="I46" s="50">
        <f>+E46+F46-G46-H46</f>
        <v>3359.4583333333335</v>
      </c>
      <c r="J46" s="50">
        <f>+I46+(I46*$I$4)</f>
        <v>4031.3500000000004</v>
      </c>
      <c r="K46" s="50">
        <v>4031.3500000000004</v>
      </c>
      <c r="L46" s="51"/>
      <c r="M46" s="293"/>
      <c r="N46" s="52">
        <f>-IF(L46=0,,IF(M46=0,($C$10-L46),M46-L46))</f>
        <v>0</v>
      </c>
      <c r="O46" s="50">
        <f>+J46-K46</f>
        <v>0</v>
      </c>
      <c r="P46" s="50">
        <f>+IF($C$10&lt;L46,0,O46)</f>
        <v>0</v>
      </c>
      <c r="Q46" s="53"/>
      <c r="R46" s="316">
        <f>IF(N46&gt;=0,0,(IF(-N46&lt;=60,O46,0)))</f>
        <v>0</v>
      </c>
      <c r="S46" s="316">
        <f>IF(N46&gt;=0,0,(IF(N46&gt;=-60,0,IF(-60&gt;=N46,IF(N46&gt;=-120,O46,0)))))</f>
        <v>0</v>
      </c>
      <c r="T46" s="316">
        <f>IF(N46&gt;=0,0,(IF(N46&gt;-60,0,IF(-60&gt;=N46,IF(N46&gt;=-120,0,IF(N46&gt;=-180,O46,0))))))</f>
        <v>0</v>
      </c>
      <c r="U46" s="316">
        <f>IF(N46&gt;=0,0,(IF(N46&gt;-60,0,IF(-60&gt;=N46,IF(N46&gt;-120,0,IF(N46&gt;=-180,0,IF(N46&gt;=-365,O46,0)))))))</f>
        <v>0</v>
      </c>
      <c r="V46" s="316">
        <f>IF(N46&gt;=0,0,IF(365&lt;-N46,O46,0))</f>
        <v>0</v>
      </c>
    </row>
    <row r="47" spans="1:22" s="290" customFormat="1" ht="19.5" customHeight="1">
      <c r="A47" s="138"/>
      <c r="B47" s="138"/>
      <c r="C47" s="286"/>
      <c r="D47" s="140"/>
      <c r="E47" s="141">
        <f t="shared" ref="E47:K47" si="17">SUM(E46:E46)</f>
        <v>3359.4583333333335</v>
      </c>
      <c r="F47" s="141">
        <f t="shared" si="17"/>
        <v>0</v>
      </c>
      <c r="G47" s="141">
        <f t="shared" si="17"/>
        <v>0</v>
      </c>
      <c r="H47" s="141">
        <f t="shared" si="17"/>
        <v>0</v>
      </c>
      <c r="I47" s="141">
        <f t="shared" si="17"/>
        <v>3359.4583333333335</v>
      </c>
      <c r="J47" s="287">
        <f t="shared" si="17"/>
        <v>4031.3500000000004</v>
      </c>
      <c r="K47" s="287">
        <f t="shared" si="17"/>
        <v>4031.3500000000004</v>
      </c>
      <c r="L47" s="139"/>
      <c r="M47" s="139"/>
      <c r="N47" s="142"/>
      <c r="O47" s="141">
        <f>SUM(O46:O46)</f>
        <v>0</v>
      </c>
      <c r="P47" s="141">
        <f>SUM(P46:P46)</f>
        <v>0</v>
      </c>
      <c r="Q47" s="292"/>
      <c r="R47" s="337">
        <f>SUM(R46:R46)</f>
        <v>0</v>
      </c>
      <c r="S47" s="337">
        <f>SUM(S46:S46)</f>
        <v>0</v>
      </c>
      <c r="T47" s="337">
        <f>SUM(T46:T46)</f>
        <v>0</v>
      </c>
      <c r="U47" s="337">
        <f>SUM(U46:U46)</f>
        <v>0</v>
      </c>
      <c r="V47" s="337">
        <f>SUM(V46:V46)</f>
        <v>0</v>
      </c>
    </row>
    <row r="48" spans="1:22" ht="19.5" customHeight="1">
      <c r="A48" s="54" t="s">
        <v>237</v>
      </c>
      <c r="B48" s="54"/>
      <c r="C48" s="56"/>
      <c r="D48" s="57"/>
      <c r="E48" s="50">
        <f>1594.02/1.2</f>
        <v>1328.3500000000001</v>
      </c>
      <c r="F48" s="50">
        <f>-E48*$F$10</f>
        <v>0</v>
      </c>
      <c r="G48" s="50">
        <f>E48*$G$10</f>
        <v>0</v>
      </c>
      <c r="H48" s="50"/>
      <c r="I48" s="50">
        <f>+E48+F48-G48-H48</f>
        <v>1328.3500000000001</v>
      </c>
      <c r="J48" s="50">
        <f>+I48+(I48*$I$4)</f>
        <v>1594.0200000000002</v>
      </c>
      <c r="K48" s="50">
        <v>1594.0200000000002</v>
      </c>
      <c r="L48" s="51"/>
      <c r="M48" s="51"/>
      <c r="N48" s="52">
        <f>-IF(L48=0,,IF(M48=0,($C$10-L48),M48-L48))</f>
        <v>0</v>
      </c>
      <c r="O48" s="50">
        <f>+J48-K48</f>
        <v>0</v>
      </c>
      <c r="P48" s="50">
        <f>+IF($C$10&lt;L48,0,O48)</f>
        <v>0</v>
      </c>
      <c r="Q48" s="53"/>
      <c r="R48" s="316">
        <f>IF(N48&gt;=0,0,(IF(-N48&lt;=60,O48,0)))</f>
        <v>0</v>
      </c>
      <c r="S48" s="316">
        <f>IF(N48&gt;=0,0,(IF(N48&gt;=-60,0,IF(-60&gt;=N48,IF(N48&gt;=-120,O48,0)))))</f>
        <v>0</v>
      </c>
      <c r="T48" s="316">
        <f>IF(N48&gt;=0,0,(IF(N48&gt;-60,0,IF(-60&gt;=N48,IF(N48&gt;=-120,0,IF(N48&gt;=-180,O48,0))))))</f>
        <v>0</v>
      </c>
      <c r="U48" s="316">
        <f>IF(N48&gt;=0,0,(IF(N48&gt;-60,0,IF(-60&gt;=N48,IF(N48&gt;-120,0,IF(N48&gt;=-180,0,IF(N48&gt;=-365,O48,0)))))))</f>
        <v>0</v>
      </c>
      <c r="V48" s="316">
        <f>IF(N48&gt;=0,0,IF(365&lt;-N48,O48,0))</f>
        <v>0</v>
      </c>
    </row>
    <row r="49" spans="1:22" s="290" customFormat="1" ht="19.5" customHeight="1">
      <c r="A49" s="138"/>
      <c r="B49" s="138"/>
      <c r="C49" s="286"/>
      <c r="D49" s="140"/>
      <c r="E49" s="141">
        <f t="shared" ref="E49:K49" si="18">SUM(E48:E48)</f>
        <v>1328.3500000000001</v>
      </c>
      <c r="F49" s="141">
        <f t="shared" si="18"/>
        <v>0</v>
      </c>
      <c r="G49" s="141">
        <f t="shared" si="18"/>
        <v>0</v>
      </c>
      <c r="H49" s="141">
        <f t="shared" si="18"/>
        <v>0</v>
      </c>
      <c r="I49" s="141">
        <f t="shared" si="18"/>
        <v>1328.3500000000001</v>
      </c>
      <c r="J49" s="287">
        <f t="shared" si="18"/>
        <v>1594.0200000000002</v>
      </c>
      <c r="K49" s="287">
        <f t="shared" si="18"/>
        <v>1594.0200000000002</v>
      </c>
      <c r="L49" s="139"/>
      <c r="M49" s="139"/>
      <c r="N49" s="142"/>
      <c r="O49" s="141">
        <f>SUM(O48:O48)</f>
        <v>0</v>
      </c>
      <c r="P49" s="141">
        <f>SUM(P48:P48)</f>
        <v>0</v>
      </c>
      <c r="Q49" s="292"/>
      <c r="R49" s="337">
        <f>SUM(R48:R48)</f>
        <v>0</v>
      </c>
      <c r="S49" s="337">
        <f>SUM(S48:S48)</f>
        <v>0</v>
      </c>
      <c r="T49" s="337">
        <f>SUM(T48:T48)</f>
        <v>0</v>
      </c>
      <c r="U49" s="337">
        <f>SUM(U48:U48)</f>
        <v>0</v>
      </c>
      <c r="V49" s="337">
        <f>SUM(V48:V48)</f>
        <v>0</v>
      </c>
    </row>
    <row r="50" spans="1:22" ht="19.5" customHeight="1">
      <c r="A50" s="54" t="s">
        <v>199</v>
      </c>
      <c r="B50" s="54"/>
      <c r="C50" s="56"/>
      <c r="D50" s="57"/>
      <c r="E50" s="50">
        <f>2087.96/1.2</f>
        <v>1739.9666666666667</v>
      </c>
      <c r="F50" s="50">
        <f>-E50*$F$10</f>
        <v>0</v>
      </c>
      <c r="G50" s="50">
        <f>E50*$G$10</f>
        <v>0</v>
      </c>
      <c r="H50" s="50"/>
      <c r="I50" s="50">
        <f>+E50+F50-G50-H50</f>
        <v>1739.9666666666667</v>
      </c>
      <c r="J50" s="50">
        <f>+I50+(I50*$I$4)</f>
        <v>2087.96</v>
      </c>
      <c r="K50" s="50">
        <v>2087.96</v>
      </c>
      <c r="L50" s="51"/>
      <c r="M50" s="51"/>
      <c r="N50" s="52">
        <f>-IF(L50=0,,IF(M50=0,($C$10-L50),M50-L50))</f>
        <v>0</v>
      </c>
      <c r="O50" s="50">
        <f>+J50-K50</f>
        <v>0</v>
      </c>
      <c r="P50" s="50">
        <f>+IF($C$10&lt;L50,0,O50)</f>
        <v>0</v>
      </c>
      <c r="Q50" s="53"/>
      <c r="R50" s="316">
        <f>IF(N50&gt;=0,0,(IF(-N50&lt;=60,O50,0)))</f>
        <v>0</v>
      </c>
      <c r="S50" s="316">
        <f>IF(N50&gt;=0,0,(IF(N50&gt;=-60,0,IF(-60&gt;=N50,IF(N50&gt;=-120,O50,0)))))</f>
        <v>0</v>
      </c>
      <c r="T50" s="316">
        <f>IF(N50&gt;=0,0,(IF(N50&gt;-60,0,IF(-60&gt;=N50,IF(N50&gt;=-120,0,IF(N50&gt;=-180,O50,0))))))</f>
        <v>0</v>
      </c>
      <c r="U50" s="316">
        <f>IF(N50&gt;=0,0,(IF(N50&gt;-60,0,IF(-60&gt;=N50,IF(N50&gt;-120,0,IF(N50&gt;=-180,0,IF(N50&gt;=-365,O50,0)))))))</f>
        <v>0</v>
      </c>
      <c r="V50" s="316">
        <f>IF(N50&gt;=0,0,IF(365&lt;-N50,O50,0))</f>
        <v>0</v>
      </c>
    </row>
    <row r="51" spans="1:22" s="290" customFormat="1" ht="19.5" customHeight="1">
      <c r="A51" s="138"/>
      <c r="B51" s="138"/>
      <c r="C51" s="286"/>
      <c r="D51" s="140"/>
      <c r="E51" s="141">
        <f t="shared" ref="E51:K51" si="19">SUM(E50:E50)</f>
        <v>1739.9666666666667</v>
      </c>
      <c r="F51" s="141">
        <f t="shared" si="19"/>
        <v>0</v>
      </c>
      <c r="G51" s="141">
        <f t="shared" si="19"/>
        <v>0</v>
      </c>
      <c r="H51" s="141">
        <f t="shared" si="19"/>
        <v>0</v>
      </c>
      <c r="I51" s="141">
        <f t="shared" si="19"/>
        <v>1739.9666666666667</v>
      </c>
      <c r="J51" s="287">
        <f t="shared" si="19"/>
        <v>2087.96</v>
      </c>
      <c r="K51" s="287">
        <f t="shared" si="19"/>
        <v>2087.96</v>
      </c>
      <c r="L51" s="139"/>
      <c r="M51" s="139"/>
      <c r="N51" s="142"/>
      <c r="O51" s="141">
        <f>SUM(O50:O50)</f>
        <v>0</v>
      </c>
      <c r="P51" s="141">
        <f>SUM(P50:P50)</f>
        <v>0</v>
      </c>
      <c r="Q51" s="292"/>
      <c r="R51" s="337">
        <f>SUM(R50:R50)</f>
        <v>0</v>
      </c>
      <c r="S51" s="337">
        <f>SUM(S50:S50)</f>
        <v>0</v>
      </c>
      <c r="T51" s="337">
        <f>SUM(T50:T50)</f>
        <v>0</v>
      </c>
      <c r="U51" s="337">
        <f>SUM(U50:U50)</f>
        <v>0</v>
      </c>
      <c r="V51" s="337">
        <f>SUM(V50:V50)</f>
        <v>0</v>
      </c>
    </row>
    <row r="52" spans="1:22" ht="19.5" customHeight="1">
      <c r="A52" s="54" t="s">
        <v>148</v>
      </c>
      <c r="B52" s="54"/>
      <c r="C52" s="56"/>
      <c r="D52" s="57"/>
      <c r="E52" s="50">
        <f>3791843.69/1.2</f>
        <v>3159869.7416666667</v>
      </c>
      <c r="F52" s="50">
        <f>-E52*$F$10</f>
        <v>0</v>
      </c>
      <c r="G52" s="50">
        <f>E52*$G$10</f>
        <v>0</v>
      </c>
      <c r="H52" s="50"/>
      <c r="I52" s="50">
        <f>+E52+F52-G52-H52</f>
        <v>3159869.7416666667</v>
      </c>
      <c r="J52" s="50">
        <f>+I52+(I52*$I$4)</f>
        <v>3791843.69</v>
      </c>
      <c r="K52" s="50">
        <v>3791843.69</v>
      </c>
      <c r="L52" s="51"/>
      <c r="M52" s="51"/>
      <c r="N52" s="52">
        <f>-IF(L52=0,,IF(M52=0,($C$10-L52),M52-L52))</f>
        <v>0</v>
      </c>
      <c r="O52" s="50">
        <f>+J52-K52</f>
        <v>0</v>
      </c>
      <c r="P52" s="50">
        <f>+IF($C$10&lt;L52,0,O52)</f>
        <v>0</v>
      </c>
      <c r="Q52" s="53"/>
      <c r="R52" s="316">
        <f>IF(N52&gt;=0,0,(IF(-N52&lt;=60,O52,0)))</f>
        <v>0</v>
      </c>
      <c r="S52" s="316">
        <f>IF(N52&gt;=0,0,(IF(N52&gt;=-60,0,IF(-60&gt;=N52,IF(N52&gt;=-120,O52,0)))))</f>
        <v>0</v>
      </c>
      <c r="T52" s="316">
        <f>IF(N52&gt;=0,0,(IF(N52&gt;-60,0,IF(-60&gt;=N52,IF(N52&gt;=-120,0,IF(N52&gt;=-180,O52,0))))))</f>
        <v>0</v>
      </c>
      <c r="U52" s="316">
        <f>IF(N52&gt;=0,0,(IF(N52&gt;-60,0,IF(-60&gt;=N52,IF(N52&gt;-120,0,IF(N52&gt;=-180,0,IF(N52&gt;=-365,O52,0)))))))</f>
        <v>0</v>
      </c>
      <c r="V52" s="316">
        <f>IF(N52&gt;=0,0,IF(365&lt;-N52,O52,0))</f>
        <v>0</v>
      </c>
    </row>
    <row r="53" spans="1:22" s="290" customFormat="1" ht="19.5" customHeight="1">
      <c r="A53" s="138"/>
      <c r="B53" s="138"/>
      <c r="C53" s="286"/>
      <c r="D53" s="140"/>
      <c r="E53" s="141">
        <f t="shared" ref="E53:K53" si="20">SUM(E52:E52)</f>
        <v>3159869.7416666667</v>
      </c>
      <c r="F53" s="141">
        <f t="shared" si="20"/>
        <v>0</v>
      </c>
      <c r="G53" s="141">
        <f t="shared" si="20"/>
        <v>0</v>
      </c>
      <c r="H53" s="141">
        <f t="shared" si="20"/>
        <v>0</v>
      </c>
      <c r="I53" s="141">
        <f t="shared" si="20"/>
        <v>3159869.7416666667</v>
      </c>
      <c r="J53" s="287">
        <f t="shared" si="20"/>
        <v>3791843.69</v>
      </c>
      <c r="K53" s="287">
        <f t="shared" si="20"/>
        <v>3791843.69</v>
      </c>
      <c r="L53" s="139"/>
      <c r="M53" s="139"/>
      <c r="N53" s="142"/>
      <c r="O53" s="141">
        <f>SUM(O52:O52)</f>
        <v>0</v>
      </c>
      <c r="P53" s="141">
        <f>SUM(P52:P52)</f>
        <v>0</v>
      </c>
      <c r="Q53" s="292"/>
      <c r="R53" s="337">
        <f>SUM(R52:R52)</f>
        <v>0</v>
      </c>
      <c r="S53" s="337">
        <f>SUM(S52:S52)</f>
        <v>0</v>
      </c>
      <c r="T53" s="337">
        <f>SUM(T52:T52)</f>
        <v>0</v>
      </c>
      <c r="U53" s="337">
        <f>SUM(U52:U52)</f>
        <v>0</v>
      </c>
      <c r="V53" s="337">
        <f>SUM(V52:V52)</f>
        <v>0</v>
      </c>
    </row>
    <row r="54" spans="1:22" ht="19.5" customHeight="1">
      <c r="A54" s="54" t="s">
        <v>149</v>
      </c>
      <c r="B54" s="54"/>
      <c r="C54" s="56"/>
      <c r="D54" s="57"/>
      <c r="E54" s="50">
        <f>2761718.2/1.2</f>
        <v>2301431.8333333335</v>
      </c>
      <c r="F54" s="50">
        <f>-E54*$F$10</f>
        <v>0</v>
      </c>
      <c r="G54" s="50">
        <f>E54*$G$10</f>
        <v>0</v>
      </c>
      <c r="H54" s="50"/>
      <c r="I54" s="50">
        <f>+E54+F54-G54-H54</f>
        <v>2301431.8333333335</v>
      </c>
      <c r="J54" s="50">
        <f>+I54+(I54*$I$4)</f>
        <v>2761718.2</v>
      </c>
      <c r="K54" s="50">
        <v>2761718.2</v>
      </c>
      <c r="L54" s="51"/>
      <c r="M54" s="51"/>
      <c r="N54" s="52">
        <f>-IF(L54=0,,IF(M54=0,($C$10-L54),M54-L54))</f>
        <v>0</v>
      </c>
      <c r="O54" s="50">
        <f>+J54-K54</f>
        <v>0</v>
      </c>
      <c r="P54" s="50">
        <f>+IF($C$10&lt;L54,0,O54)</f>
        <v>0</v>
      </c>
      <c r="Q54" s="53"/>
      <c r="R54" s="316">
        <f>IF(N54&gt;=0,0,(IF(-N54&lt;=60,O54,0)))</f>
        <v>0</v>
      </c>
      <c r="S54" s="316">
        <f>IF(N54&gt;=0,0,(IF(N54&gt;=-60,0,IF(-60&gt;=N54,IF(N54&gt;=-120,O54,0)))))</f>
        <v>0</v>
      </c>
      <c r="T54" s="316">
        <f>IF(N54&gt;=0,0,(IF(N54&gt;-60,0,IF(-60&gt;=N54,IF(N54&gt;=-120,0,IF(N54&gt;=-180,O54,0))))))</f>
        <v>0</v>
      </c>
      <c r="U54" s="316">
        <f>IF(N54&gt;=0,0,(IF(N54&gt;-60,0,IF(-60&gt;=N54,IF(N54&gt;-120,0,IF(N54&gt;=-180,0,IF(N54&gt;=-365,O54,0)))))))</f>
        <v>0</v>
      </c>
      <c r="V54" s="316">
        <f>IF(N54&gt;=0,0,IF(365&lt;-N54,O54,0))</f>
        <v>0</v>
      </c>
    </row>
    <row r="55" spans="1:22" s="290" customFormat="1" ht="19.5" customHeight="1">
      <c r="A55" s="138"/>
      <c r="B55" s="138"/>
      <c r="C55" s="286"/>
      <c r="D55" s="140"/>
      <c r="E55" s="141">
        <f t="shared" ref="E55:K55" si="21">SUM(E54:E54)</f>
        <v>2301431.8333333335</v>
      </c>
      <c r="F55" s="141">
        <f t="shared" si="21"/>
        <v>0</v>
      </c>
      <c r="G55" s="141">
        <f t="shared" si="21"/>
        <v>0</v>
      </c>
      <c r="H55" s="141">
        <f t="shared" si="21"/>
        <v>0</v>
      </c>
      <c r="I55" s="141">
        <f t="shared" si="21"/>
        <v>2301431.8333333335</v>
      </c>
      <c r="J55" s="287">
        <f t="shared" si="21"/>
        <v>2761718.2</v>
      </c>
      <c r="K55" s="287">
        <f t="shared" si="21"/>
        <v>2761718.2</v>
      </c>
      <c r="L55" s="139"/>
      <c r="M55" s="139"/>
      <c r="N55" s="142"/>
      <c r="O55" s="141">
        <f>SUM(O54:O54)</f>
        <v>0</v>
      </c>
      <c r="P55" s="141">
        <f>SUM(P54:P54)</f>
        <v>0</v>
      </c>
      <c r="Q55" s="292"/>
      <c r="R55" s="337">
        <f>SUM(R54:R54)</f>
        <v>0</v>
      </c>
      <c r="S55" s="337">
        <f>SUM(S54:S54)</f>
        <v>0</v>
      </c>
      <c r="T55" s="337">
        <f>SUM(T54:T54)</f>
        <v>0</v>
      </c>
      <c r="U55" s="337">
        <f>SUM(U54:U54)</f>
        <v>0</v>
      </c>
      <c r="V55" s="337">
        <f>SUM(V54:V54)</f>
        <v>0</v>
      </c>
    </row>
    <row r="56" spans="1:22" ht="19.5" customHeight="1">
      <c r="A56" s="54" t="s">
        <v>150</v>
      </c>
      <c r="B56" s="54"/>
      <c r="C56" s="56"/>
      <c r="D56" s="57"/>
      <c r="E56" s="50">
        <f>3101530.25/1.2</f>
        <v>2584608.541666667</v>
      </c>
      <c r="F56" s="50">
        <f>-E56*$F$10</f>
        <v>0</v>
      </c>
      <c r="G56" s="50">
        <f>E56*$G$10</f>
        <v>0</v>
      </c>
      <c r="H56" s="50"/>
      <c r="I56" s="50">
        <f>+E56+F56-G56-H56</f>
        <v>2584608.541666667</v>
      </c>
      <c r="J56" s="50">
        <f>+I56+(I56*$I$4)</f>
        <v>3101530.2500000005</v>
      </c>
      <c r="K56" s="50">
        <v>3101530.2500000005</v>
      </c>
      <c r="L56" s="51"/>
      <c r="M56" s="51"/>
      <c r="N56" s="52">
        <f>-IF(L56=0,,IF(M56=0,($C$10-L56),M56-L56))</f>
        <v>0</v>
      </c>
      <c r="O56" s="50">
        <f>+J56-K56</f>
        <v>0</v>
      </c>
      <c r="P56" s="50">
        <f>+IF($C$10&lt;L56,0,O56)</f>
        <v>0</v>
      </c>
      <c r="Q56" s="53"/>
      <c r="R56" s="316">
        <f>IF(N56&gt;=0,0,(IF(-N56&lt;=60,O56,0)))</f>
        <v>0</v>
      </c>
      <c r="S56" s="316">
        <f>IF(N56&gt;=0,0,(IF(N56&gt;=-60,0,IF(-60&gt;=N56,IF(N56&gt;=-120,O56,0)))))</f>
        <v>0</v>
      </c>
      <c r="T56" s="316">
        <f>IF(N56&gt;=0,0,(IF(N56&gt;-60,0,IF(-60&gt;=N56,IF(N56&gt;=-120,0,IF(N56&gt;=-180,O56,0))))))</f>
        <v>0</v>
      </c>
      <c r="U56" s="316">
        <f>IF(N56&gt;=0,0,(IF(N56&gt;-60,0,IF(-60&gt;=N56,IF(N56&gt;-120,0,IF(N56&gt;=-180,0,IF(N56&gt;=-365,O56,0)))))))</f>
        <v>0</v>
      </c>
      <c r="V56" s="316">
        <f>IF(N56&gt;=0,0,IF(365&lt;-N56,O56,0))</f>
        <v>0</v>
      </c>
    </row>
    <row r="57" spans="1:22" s="290" customFormat="1" ht="19.5" customHeight="1">
      <c r="A57" s="138"/>
      <c r="B57" s="138"/>
      <c r="C57" s="286"/>
      <c r="D57" s="140"/>
      <c r="E57" s="141">
        <f t="shared" ref="E57:K57" si="22">SUM(E56:E56)</f>
        <v>2584608.541666667</v>
      </c>
      <c r="F57" s="141">
        <f t="shared" si="22"/>
        <v>0</v>
      </c>
      <c r="G57" s="141">
        <f t="shared" si="22"/>
        <v>0</v>
      </c>
      <c r="H57" s="141">
        <f t="shared" si="22"/>
        <v>0</v>
      </c>
      <c r="I57" s="141">
        <f t="shared" si="22"/>
        <v>2584608.541666667</v>
      </c>
      <c r="J57" s="287">
        <f t="shared" si="22"/>
        <v>3101530.2500000005</v>
      </c>
      <c r="K57" s="287">
        <f t="shared" si="22"/>
        <v>3101530.2500000005</v>
      </c>
      <c r="L57" s="139"/>
      <c r="M57" s="139"/>
      <c r="N57" s="142"/>
      <c r="O57" s="141">
        <f>SUM(O56:O56)</f>
        <v>0</v>
      </c>
      <c r="P57" s="141">
        <f>SUM(P56:P56)</f>
        <v>0</v>
      </c>
      <c r="Q57" s="292"/>
      <c r="R57" s="337">
        <f>SUM(R56:R56)</f>
        <v>0</v>
      </c>
      <c r="S57" s="337">
        <f>SUM(S56:S56)</f>
        <v>0</v>
      </c>
      <c r="T57" s="337">
        <f>SUM(T56:T56)</f>
        <v>0</v>
      </c>
      <c r="U57" s="337">
        <f>SUM(U56:U56)</f>
        <v>0</v>
      </c>
      <c r="V57" s="337">
        <f>SUM(V56:V56)</f>
        <v>0</v>
      </c>
    </row>
    <row r="58" spans="1:22" ht="19.5" customHeight="1">
      <c r="A58" s="54" t="s">
        <v>227</v>
      </c>
      <c r="B58" s="54"/>
      <c r="C58" s="56"/>
      <c r="D58" s="57"/>
      <c r="E58" s="50">
        <f>520863/1.2</f>
        <v>434052.5</v>
      </c>
      <c r="F58" s="50">
        <f>-E58*$F$10</f>
        <v>0</v>
      </c>
      <c r="G58" s="50">
        <f>E58*$G$10</f>
        <v>0</v>
      </c>
      <c r="H58" s="50"/>
      <c r="I58" s="50">
        <f>+E58+F58-G58-H58</f>
        <v>434052.5</v>
      </c>
      <c r="J58" s="50">
        <f>+I58+(I58*$I$4)</f>
        <v>520863</v>
      </c>
      <c r="K58" s="50">
        <v>520863</v>
      </c>
      <c r="L58" s="51"/>
      <c r="M58" s="51"/>
      <c r="N58" s="52">
        <f>-IF(L58=0,,IF(M58=0,($C$10-L58),M58-L58))</f>
        <v>0</v>
      </c>
      <c r="O58" s="50">
        <f>+J58-K58</f>
        <v>0</v>
      </c>
      <c r="P58" s="50">
        <f>+IF($C$10&lt;L58,0,O58)</f>
        <v>0</v>
      </c>
      <c r="Q58" s="53"/>
      <c r="R58" s="316">
        <f>IF(N58&gt;=0,0,(IF(-N58&lt;=60,O58,0)))</f>
        <v>0</v>
      </c>
      <c r="S58" s="316">
        <f>IF(N58&gt;=0,0,(IF(N58&gt;=-60,0,IF(-60&gt;=N58,IF(N58&gt;=-120,O58,0)))))</f>
        <v>0</v>
      </c>
      <c r="T58" s="316">
        <f>IF(N58&gt;=0,0,(IF(N58&gt;-60,0,IF(-60&gt;=N58,IF(N58&gt;=-120,0,IF(N58&gt;=-180,O58,0))))))</f>
        <v>0</v>
      </c>
      <c r="U58" s="316">
        <f>IF(N58&gt;=0,0,(IF(N58&gt;-60,0,IF(-60&gt;=N58,IF(N58&gt;-120,0,IF(N58&gt;=-180,0,IF(N58&gt;=-365,O58,0)))))))</f>
        <v>0</v>
      </c>
      <c r="V58" s="316">
        <f>IF(N58&gt;=0,0,IF(365&lt;-N58,O58,0))</f>
        <v>0</v>
      </c>
    </row>
    <row r="59" spans="1:22" s="290" customFormat="1" ht="13.5" customHeight="1">
      <c r="A59" s="138"/>
      <c r="B59" s="143"/>
      <c r="C59" s="286"/>
      <c r="D59" s="140"/>
      <c r="E59" s="141">
        <f t="shared" ref="E59:K59" si="23">SUM(E58:E58)</f>
        <v>434052.5</v>
      </c>
      <c r="F59" s="141">
        <f t="shared" si="23"/>
        <v>0</v>
      </c>
      <c r="G59" s="141">
        <f t="shared" si="23"/>
        <v>0</v>
      </c>
      <c r="H59" s="141">
        <f t="shared" si="23"/>
        <v>0</v>
      </c>
      <c r="I59" s="141">
        <f t="shared" si="23"/>
        <v>434052.5</v>
      </c>
      <c r="J59" s="287">
        <f t="shared" si="23"/>
        <v>520863</v>
      </c>
      <c r="K59" s="287">
        <f t="shared" si="23"/>
        <v>520863</v>
      </c>
      <c r="L59" s="139"/>
      <c r="M59" s="139"/>
      <c r="N59" s="142"/>
      <c r="O59" s="141">
        <f>SUM(O58:O58)</f>
        <v>0</v>
      </c>
      <c r="P59" s="141">
        <f>SUM(P58:P58)</f>
        <v>0</v>
      </c>
      <c r="Q59" s="292"/>
      <c r="R59" s="337">
        <f>SUM(R58:R58)</f>
        <v>0</v>
      </c>
      <c r="S59" s="337">
        <f>SUM(S58:S58)</f>
        <v>0</v>
      </c>
      <c r="T59" s="337">
        <f>SUM(T58:T58)</f>
        <v>0</v>
      </c>
      <c r="U59" s="337">
        <f>SUM(U58:U58)</f>
        <v>0</v>
      </c>
      <c r="V59" s="337">
        <f>SUM(V58:V58)</f>
        <v>0</v>
      </c>
    </row>
    <row r="60" spans="1:22" ht="19.5" customHeight="1">
      <c r="A60" s="54" t="s">
        <v>226</v>
      </c>
      <c r="B60" s="54"/>
      <c r="C60" s="56"/>
      <c r="D60" s="57"/>
      <c r="E60" s="50">
        <f>10587.81/1.2</f>
        <v>8823.1749999999993</v>
      </c>
      <c r="F60" s="50">
        <f>-E60*$F$10</f>
        <v>0</v>
      </c>
      <c r="G60" s="50">
        <f>E60*$G$10</f>
        <v>0</v>
      </c>
      <c r="H60" s="50"/>
      <c r="I60" s="50">
        <f>+E60+F60-G60-H60</f>
        <v>8823.1749999999993</v>
      </c>
      <c r="J60" s="50">
        <f>+I60+(I60*$I$4)</f>
        <v>10587.81</v>
      </c>
      <c r="K60" s="50">
        <v>10587.81</v>
      </c>
      <c r="L60" s="51"/>
      <c r="M60" s="51"/>
      <c r="N60" s="52">
        <f>-IF(L60=0,,IF(M60=0,($C$10-L60),M60-L60))</f>
        <v>0</v>
      </c>
      <c r="O60" s="50">
        <f>+J60-K60</f>
        <v>0</v>
      </c>
      <c r="P60" s="50">
        <f>+IF($C$10&lt;L60,0,O60)</f>
        <v>0</v>
      </c>
      <c r="Q60" s="53"/>
      <c r="R60" s="316">
        <f>IF(N60&gt;=0,0,(IF(-N60&lt;=60,O60,0)))</f>
        <v>0</v>
      </c>
      <c r="S60" s="316">
        <f>IF(N60&gt;=0,0,(IF(N60&gt;=-60,0,IF(-60&gt;=N60,IF(N60&gt;=-120,O60,0)))))</f>
        <v>0</v>
      </c>
      <c r="T60" s="316">
        <f>IF(N60&gt;=0,0,(IF(N60&gt;-60,0,IF(-60&gt;=N60,IF(N60&gt;=-120,0,IF(N60&gt;=-180,O60,0))))))</f>
        <v>0</v>
      </c>
      <c r="U60" s="316">
        <f>IF(N60&gt;=0,0,(IF(N60&gt;-60,0,IF(-60&gt;=N60,IF(N60&gt;-120,0,IF(N60&gt;=-180,0,IF(N60&gt;=-365,O60,0)))))))</f>
        <v>0</v>
      </c>
      <c r="V60" s="316">
        <f>IF(N60&gt;=0,0,IF(365&lt;-N60,O60,0))</f>
        <v>0</v>
      </c>
    </row>
    <row r="61" spans="1:22" s="290" customFormat="1" ht="12.75" customHeight="1">
      <c r="A61" s="138"/>
      <c r="B61" s="138"/>
      <c r="C61" s="286"/>
      <c r="D61" s="140"/>
      <c r="E61" s="141">
        <f t="shared" ref="E61:K61" si="24">SUM(E60:E60)</f>
        <v>8823.1749999999993</v>
      </c>
      <c r="F61" s="141">
        <f t="shared" si="24"/>
        <v>0</v>
      </c>
      <c r="G61" s="141">
        <f t="shared" si="24"/>
        <v>0</v>
      </c>
      <c r="H61" s="141">
        <f t="shared" si="24"/>
        <v>0</v>
      </c>
      <c r="I61" s="141">
        <f t="shared" si="24"/>
        <v>8823.1749999999993</v>
      </c>
      <c r="J61" s="287">
        <f t="shared" si="24"/>
        <v>10587.81</v>
      </c>
      <c r="K61" s="287">
        <f t="shared" si="24"/>
        <v>10587.81</v>
      </c>
      <c r="L61" s="139"/>
      <c r="M61" s="139"/>
      <c r="N61" s="142"/>
      <c r="O61" s="141">
        <f>SUM(O60:O60)</f>
        <v>0</v>
      </c>
      <c r="P61" s="141">
        <f>SUM(P60:P60)</f>
        <v>0</v>
      </c>
      <c r="Q61" s="292"/>
      <c r="R61" s="337">
        <f>SUM(R60:R60)</f>
        <v>0</v>
      </c>
      <c r="S61" s="337">
        <f>SUM(S60:S60)</f>
        <v>0</v>
      </c>
      <c r="T61" s="337">
        <f>SUM(T60:T60)</f>
        <v>0</v>
      </c>
      <c r="U61" s="337">
        <f>SUM(U60:U60)</f>
        <v>0</v>
      </c>
      <c r="V61" s="337">
        <f>SUM(V60:V60)</f>
        <v>0</v>
      </c>
    </row>
    <row r="62" spans="1:22" ht="19.5" customHeight="1">
      <c r="A62" s="54" t="s">
        <v>225</v>
      </c>
      <c r="B62" s="54"/>
      <c r="C62" s="56"/>
      <c r="D62" s="57"/>
      <c r="E62" s="50">
        <f>30000/1.2</f>
        <v>25000</v>
      </c>
      <c r="F62" s="50">
        <f>-E62*$F$10</f>
        <v>0</v>
      </c>
      <c r="G62" s="50">
        <f>E62*$G$10</f>
        <v>0</v>
      </c>
      <c r="H62" s="50"/>
      <c r="I62" s="50">
        <f>+E62+F62-G62-H62</f>
        <v>25000</v>
      </c>
      <c r="J62" s="50">
        <f>+I62+(I62*$I$4)</f>
        <v>30000</v>
      </c>
      <c r="K62" s="50">
        <v>30000</v>
      </c>
      <c r="L62" s="51"/>
      <c r="M62" s="51"/>
      <c r="N62" s="52">
        <f>-IF(L62=0,,IF(M62=0,($C$10-L62),M62-L62))</f>
        <v>0</v>
      </c>
      <c r="O62" s="50">
        <f>+J62-K62</f>
        <v>0</v>
      </c>
      <c r="P62" s="50">
        <f>+IF($C$10&lt;L62,0,O62)</f>
        <v>0</v>
      </c>
      <c r="Q62" s="53"/>
      <c r="R62" s="316">
        <f>IF(N62&gt;=0,0,(IF(-N62&lt;=60,O62,0)))</f>
        <v>0</v>
      </c>
      <c r="S62" s="316">
        <f>IF(N62&gt;=0,0,(IF(N62&gt;=-60,0,IF(-60&gt;=N62,IF(N62&gt;=-120,O62,0)))))</f>
        <v>0</v>
      </c>
      <c r="T62" s="316">
        <f>IF(N62&gt;=0,0,(IF(N62&gt;-60,0,IF(-60&gt;=N62,IF(N62&gt;=-120,0,IF(N62&gt;=-180,O62,0))))))</f>
        <v>0</v>
      </c>
      <c r="U62" s="316">
        <f>IF(N62&gt;=0,0,(IF(N62&gt;-60,0,IF(-60&gt;=N62,IF(N62&gt;-120,0,IF(N62&gt;=-180,0,IF(N62&gt;=-365,O62,0)))))))</f>
        <v>0</v>
      </c>
      <c r="V62" s="316">
        <f>IF(N62&gt;=0,0,IF(365&lt;-N62,O62,0))</f>
        <v>0</v>
      </c>
    </row>
    <row r="63" spans="1:22" s="290" customFormat="1" ht="13.5" customHeight="1">
      <c r="A63" s="138"/>
      <c r="B63" s="143"/>
      <c r="C63" s="286"/>
      <c r="D63" s="140"/>
      <c r="E63" s="141">
        <f t="shared" ref="E63:K63" si="25">SUM(E62:E62)</f>
        <v>25000</v>
      </c>
      <c r="F63" s="141">
        <f t="shared" si="25"/>
        <v>0</v>
      </c>
      <c r="G63" s="141">
        <f t="shared" si="25"/>
        <v>0</v>
      </c>
      <c r="H63" s="141">
        <f t="shared" si="25"/>
        <v>0</v>
      </c>
      <c r="I63" s="141">
        <f t="shared" si="25"/>
        <v>25000</v>
      </c>
      <c r="J63" s="287">
        <f t="shared" si="25"/>
        <v>30000</v>
      </c>
      <c r="K63" s="287">
        <f t="shared" si="25"/>
        <v>30000</v>
      </c>
      <c r="L63" s="139"/>
      <c r="M63" s="139"/>
      <c r="N63" s="142"/>
      <c r="O63" s="141">
        <f>SUM(O62:O62)</f>
        <v>0</v>
      </c>
      <c r="P63" s="141">
        <f>SUM(P62:P62)</f>
        <v>0</v>
      </c>
      <c r="Q63" s="292"/>
      <c r="R63" s="337">
        <f>SUM(R62:R62)</f>
        <v>0</v>
      </c>
      <c r="S63" s="337">
        <f>SUM(S62:S62)</f>
        <v>0</v>
      </c>
      <c r="T63" s="337">
        <f>SUM(T62:T62)</f>
        <v>0</v>
      </c>
      <c r="U63" s="337">
        <f>SUM(U62:U62)</f>
        <v>0</v>
      </c>
      <c r="V63" s="337">
        <f>SUM(V62:V62)</f>
        <v>0</v>
      </c>
    </row>
    <row r="64" spans="1:22" ht="19.5" customHeight="1">
      <c r="A64" s="54" t="s">
        <v>230</v>
      </c>
      <c r="B64" s="54"/>
      <c r="C64" s="56"/>
      <c r="D64" s="57"/>
      <c r="E64" s="50">
        <f>1920151.2/1.2</f>
        <v>1600126</v>
      </c>
      <c r="F64" s="50">
        <f>-E64*$F$10</f>
        <v>0</v>
      </c>
      <c r="G64" s="50">
        <f>E64*$G$10</f>
        <v>0</v>
      </c>
      <c r="H64" s="50"/>
      <c r="I64" s="50">
        <f>+E64+F64-G64-H64</f>
        <v>1600126</v>
      </c>
      <c r="J64" s="50">
        <f>+I64+(I64*$I$4)</f>
        <v>1920151.2</v>
      </c>
      <c r="K64" s="50">
        <v>1920151.2</v>
      </c>
      <c r="L64" s="51"/>
      <c r="M64" s="51"/>
      <c r="N64" s="52">
        <f>-IF(L64=0,,IF(M64=0,($C$10-L64),M64-L64))</f>
        <v>0</v>
      </c>
      <c r="O64" s="50">
        <f>+J64-K64</f>
        <v>0</v>
      </c>
      <c r="P64" s="50">
        <f>+IF($C$10&lt;L64,0,O64)</f>
        <v>0</v>
      </c>
      <c r="Q64" s="53"/>
      <c r="R64" s="316">
        <f>IF(N64&gt;=0,0,(IF(-N64&lt;=60,O64,0)))</f>
        <v>0</v>
      </c>
      <c r="S64" s="316">
        <f>IF(N64&gt;=0,0,(IF(N64&gt;=-60,0,IF(-60&gt;=N64,IF(N64&gt;=-120,O64,0)))))</f>
        <v>0</v>
      </c>
      <c r="T64" s="316">
        <f>IF(N64&gt;=0,0,(IF(N64&gt;-60,0,IF(-60&gt;=N64,IF(N64&gt;=-120,0,IF(N64&gt;=-180,O64,0))))))</f>
        <v>0</v>
      </c>
      <c r="U64" s="316">
        <f>IF(N64&gt;=0,0,(IF(N64&gt;-60,0,IF(-60&gt;=N64,IF(N64&gt;-120,0,IF(N64&gt;=-180,0,IF(N64&gt;=-365,O64,0)))))))</f>
        <v>0</v>
      </c>
      <c r="V64" s="316">
        <f>IF(N64&gt;=0,0,IF(365&lt;-N64,O64,0))</f>
        <v>0</v>
      </c>
    </row>
    <row r="65" spans="1:22" s="290" customFormat="1" ht="19.5" customHeight="1">
      <c r="A65" s="138"/>
      <c r="B65" s="138"/>
      <c r="C65" s="286"/>
      <c r="D65" s="140"/>
      <c r="E65" s="141">
        <f t="shared" ref="E65:K65" si="26">SUM(E64:E64)</f>
        <v>1600126</v>
      </c>
      <c r="F65" s="141">
        <f t="shared" si="26"/>
        <v>0</v>
      </c>
      <c r="G65" s="141">
        <f t="shared" si="26"/>
        <v>0</v>
      </c>
      <c r="H65" s="141">
        <f t="shared" si="26"/>
        <v>0</v>
      </c>
      <c r="I65" s="141">
        <f t="shared" si="26"/>
        <v>1600126</v>
      </c>
      <c r="J65" s="287">
        <f t="shared" si="26"/>
        <v>1920151.2</v>
      </c>
      <c r="K65" s="287">
        <f t="shared" si="26"/>
        <v>1920151.2</v>
      </c>
      <c r="L65" s="139"/>
      <c r="M65" s="139"/>
      <c r="N65" s="142"/>
      <c r="O65" s="141">
        <f>SUM(O64)</f>
        <v>0</v>
      </c>
      <c r="P65" s="141">
        <f>SUM(P64)</f>
        <v>0</v>
      </c>
      <c r="Q65" s="292"/>
      <c r="R65" s="337">
        <f>SUM(R64)</f>
        <v>0</v>
      </c>
      <c r="S65" s="337">
        <f>SUM(S64)</f>
        <v>0</v>
      </c>
      <c r="T65" s="337">
        <f>SUM(T64)</f>
        <v>0</v>
      </c>
      <c r="U65" s="337">
        <f>SUM(U64)</f>
        <v>0</v>
      </c>
      <c r="V65" s="337">
        <f>SUM(V64)</f>
        <v>0</v>
      </c>
    </row>
    <row r="66" spans="1:22" ht="19.5" customHeight="1" thickBot="1">
      <c r="A66" s="54"/>
      <c r="B66" s="55"/>
      <c r="C66" s="56"/>
      <c r="D66" s="57"/>
      <c r="E66" s="50"/>
      <c r="F66" s="50"/>
      <c r="G66" s="50"/>
      <c r="H66" s="50"/>
      <c r="I66" s="50"/>
      <c r="J66" s="50"/>
      <c r="K66" s="50"/>
      <c r="L66" s="51"/>
      <c r="M66" s="51"/>
      <c r="N66" s="59"/>
      <c r="O66" s="50"/>
      <c r="P66" s="55">
        <f>+IF($C$10&lt;L66,0,O66)</f>
        <v>0</v>
      </c>
      <c r="Q66" s="53"/>
      <c r="R66" s="285"/>
      <c r="S66" s="285"/>
      <c r="T66" s="285"/>
      <c r="U66" s="285"/>
      <c r="V66" s="285"/>
    </row>
    <row r="67" spans="1:22" s="292" customFormat="1" ht="28.5" customHeight="1" thickBot="1">
      <c r="A67" s="297"/>
      <c r="B67" s="298" t="s">
        <v>58</v>
      </c>
      <c r="C67" s="298"/>
      <c r="D67" s="298"/>
      <c r="E67" s="299">
        <f t="shared" ref="E67:K67" si="27">SUM(E12:E66)/2</f>
        <v>26335629.233333323</v>
      </c>
      <c r="F67" s="299">
        <f t="shared" si="27"/>
        <v>0</v>
      </c>
      <c r="G67" s="299">
        <f t="shared" si="27"/>
        <v>0</v>
      </c>
      <c r="H67" s="299">
        <f t="shared" si="27"/>
        <v>0</v>
      </c>
      <c r="I67" s="299">
        <f t="shared" si="27"/>
        <v>26335629.233333323</v>
      </c>
      <c r="J67" s="299">
        <f t="shared" si="27"/>
        <v>31602755.080000006</v>
      </c>
      <c r="K67" s="299">
        <f t="shared" si="27"/>
        <v>31602755.080000006</v>
      </c>
      <c r="L67" s="300"/>
      <c r="M67" s="300"/>
      <c r="N67" s="300"/>
      <c r="O67" s="299">
        <f>SUM(O12:O66)/2</f>
        <v>0</v>
      </c>
      <c r="P67" s="299">
        <f>SUM(P12:P66)/2</f>
        <v>0</v>
      </c>
      <c r="R67" s="301">
        <f>SUM(R12:R66)/2</f>
        <v>0</v>
      </c>
      <c r="S67" s="301">
        <f>SUM(S12:S66)/2</f>
        <v>0</v>
      </c>
      <c r="T67" s="301">
        <f>SUM(T12:T66)/2</f>
        <v>0</v>
      </c>
      <c r="U67" s="301">
        <f>SUM(U12:U66)/2</f>
        <v>0</v>
      </c>
      <c r="V67" s="301">
        <f>SUM(V12:V66)/2</f>
        <v>0</v>
      </c>
    </row>
    <row r="68" spans="1:22" ht="21" customHeight="1">
      <c r="A68" s="66"/>
      <c r="B68" s="67"/>
      <c r="C68" s="67"/>
      <c r="D68" s="68" t="s">
        <v>59</v>
      </c>
      <c r="E68" s="69">
        <f>+E67/$M$7</f>
        <v>1.0000000001265708</v>
      </c>
      <c r="F68" s="67"/>
      <c r="G68" s="67"/>
      <c r="H68" s="67"/>
      <c r="I68" s="67"/>
      <c r="J68" s="68" t="s">
        <v>60</v>
      </c>
      <c r="K68" s="69">
        <f>+K67/J67</f>
        <v>1</v>
      </c>
      <c r="L68" s="67"/>
      <c r="M68" s="67"/>
      <c r="N68" s="67"/>
      <c r="O68" s="67"/>
      <c r="P68" s="70"/>
      <c r="Q68" s="53"/>
      <c r="R68" s="53"/>
      <c r="S68" s="53"/>
      <c r="T68" s="53"/>
      <c r="U68" s="53"/>
      <c r="V68" s="53"/>
    </row>
    <row r="69" spans="1:22" ht="21" customHeight="1" thickBot="1">
      <c r="A69" s="71"/>
      <c r="B69" s="72"/>
      <c r="C69" s="72"/>
      <c r="D69" s="73" t="s">
        <v>61</v>
      </c>
      <c r="E69" s="74">
        <f>+$M$7-$E$67</f>
        <v>-3.3333227038383484E-3</v>
      </c>
      <c r="F69" s="75">
        <f>+E69/M7</f>
        <v>-1.2657083963048899E-10</v>
      </c>
      <c r="G69" s="72"/>
      <c r="H69" s="72"/>
      <c r="I69" s="72"/>
      <c r="J69" s="303"/>
      <c r="K69" s="72"/>
      <c r="L69" s="72"/>
      <c r="M69" s="72"/>
      <c r="N69" s="72"/>
      <c r="O69" s="72"/>
      <c r="P69" s="76"/>
      <c r="Q69" s="53"/>
      <c r="R69" s="53"/>
      <c r="S69" s="53"/>
      <c r="T69" s="53"/>
      <c r="U69" s="53"/>
      <c r="V69" s="53"/>
    </row>
    <row r="70" spans="1:22">
      <c r="A70" s="53"/>
      <c r="B70" s="66"/>
      <c r="C70" s="67"/>
      <c r="D70" s="67"/>
      <c r="E70" s="67"/>
      <c r="F70" s="67"/>
      <c r="G70" s="67"/>
      <c r="H70" s="67"/>
      <c r="I70" s="67"/>
      <c r="J70" s="67"/>
      <c r="K70" s="67"/>
      <c r="L70" s="67"/>
      <c r="M70" s="67"/>
      <c r="N70" s="70"/>
      <c r="O70" s="53"/>
      <c r="P70" s="53"/>
      <c r="Q70" s="53"/>
      <c r="R70" s="53"/>
      <c r="S70" s="53"/>
      <c r="T70" s="53"/>
      <c r="U70" s="53"/>
      <c r="V70" s="53"/>
    </row>
    <row r="71" spans="1:22" ht="21">
      <c r="A71" s="53"/>
      <c r="B71" s="275"/>
      <c r="C71" s="182" t="s">
        <v>62</v>
      </c>
      <c r="D71" s="182"/>
      <c r="E71" s="182"/>
      <c r="F71" s="182"/>
      <c r="G71" s="182"/>
      <c r="H71" s="182" t="s">
        <v>238</v>
      </c>
      <c r="I71" s="145"/>
      <c r="J71" s="145"/>
      <c r="K71" s="145"/>
      <c r="L71" s="145"/>
      <c r="M71" s="145"/>
      <c r="N71" s="146"/>
      <c r="O71" s="53"/>
      <c r="P71" s="53"/>
      <c r="Q71" s="53"/>
      <c r="R71" s="53"/>
      <c r="S71" s="53"/>
      <c r="T71" s="53"/>
      <c r="U71" s="53"/>
      <c r="V71" s="53"/>
    </row>
    <row r="72" spans="1:22" ht="17.25" thickBot="1">
      <c r="A72" s="53"/>
      <c r="B72" s="275"/>
      <c r="C72" s="145"/>
      <c r="D72" s="145"/>
      <c r="E72" s="145"/>
      <c r="F72" s="145"/>
      <c r="G72" s="147"/>
      <c r="H72" s="145"/>
      <c r="I72" s="145"/>
      <c r="J72" s="145"/>
      <c r="K72" s="145"/>
      <c r="L72" s="145"/>
      <c r="M72" s="145"/>
      <c r="N72" s="146"/>
      <c r="O72" s="53"/>
      <c r="P72" s="53"/>
      <c r="Q72" s="53"/>
      <c r="R72" s="53"/>
      <c r="S72" s="53"/>
      <c r="T72" s="53"/>
      <c r="U72" s="53"/>
      <c r="V72" s="53"/>
    </row>
    <row r="73" spans="1:22" ht="18" customHeight="1" thickBot="1">
      <c r="A73" s="53"/>
      <c r="B73" s="275"/>
      <c r="C73" s="379" t="s">
        <v>63</v>
      </c>
      <c r="D73" s="380"/>
      <c r="E73" s="381"/>
      <c r="F73" s="148" t="s">
        <v>64</v>
      </c>
      <c r="G73" s="149">
        <f>+M7</f>
        <v>26335629.23</v>
      </c>
      <c r="H73" s="150"/>
      <c r="I73" s="151"/>
      <c r="J73" s="150"/>
      <c r="K73" s="150"/>
      <c r="L73" s="150"/>
      <c r="M73" s="150"/>
      <c r="N73" s="152"/>
      <c r="O73" s="53"/>
      <c r="P73" s="53"/>
      <c r="Q73" s="53"/>
      <c r="R73" s="53"/>
      <c r="S73" s="53"/>
      <c r="T73" s="53"/>
      <c r="U73" s="53"/>
      <c r="V73" s="53"/>
    </row>
    <row r="74" spans="1:22" ht="17.25" thickBot="1">
      <c r="A74" s="53"/>
      <c r="B74" s="275"/>
      <c r="C74" s="148"/>
      <c r="D74" s="148"/>
      <c r="E74" s="148"/>
      <c r="F74" s="148"/>
      <c r="G74" s="150"/>
      <c r="H74" s="150"/>
      <c r="I74" s="150"/>
      <c r="J74" s="150"/>
      <c r="K74" s="150"/>
      <c r="L74" s="150"/>
      <c r="M74" s="150"/>
      <c r="N74" s="152"/>
      <c r="O74" s="53"/>
      <c r="P74" s="53"/>
      <c r="Q74" s="53"/>
      <c r="R74" s="53"/>
      <c r="S74" s="53"/>
      <c r="T74" s="53"/>
      <c r="U74" s="53"/>
      <c r="V74" s="53"/>
    </row>
    <row r="75" spans="1:22" ht="18" customHeight="1" thickBot="1">
      <c r="A75" s="53"/>
      <c r="B75" s="275"/>
      <c r="C75" s="382" t="s">
        <v>65</v>
      </c>
      <c r="D75" s="383"/>
      <c r="E75" s="384"/>
      <c r="F75" s="148" t="s">
        <v>64</v>
      </c>
      <c r="G75" s="154">
        <f>+E67</f>
        <v>26335629.233333323</v>
      </c>
      <c r="H75" s="150"/>
      <c r="I75" s="150"/>
      <c r="J75" s="91">
        <f>G75/G73</f>
        <v>1.0000000001265708</v>
      </c>
      <c r="K75" s="155" t="s">
        <v>66</v>
      </c>
      <c r="L75" s="156"/>
      <c r="M75" s="156"/>
      <c r="N75" s="152"/>
      <c r="O75" s="53"/>
      <c r="P75" s="53"/>
      <c r="Q75" s="53"/>
      <c r="R75" s="53"/>
      <c r="S75" s="53"/>
      <c r="T75" s="53"/>
      <c r="U75" s="53"/>
      <c r="V75" s="53"/>
    </row>
    <row r="76" spans="1:22" ht="17.25" thickBot="1">
      <c r="B76" s="276"/>
      <c r="C76" s="148"/>
      <c r="D76" s="148"/>
      <c r="E76" s="148"/>
      <c r="F76" s="148"/>
      <c r="G76" s="150"/>
      <c r="H76" s="150"/>
      <c r="I76" s="150"/>
      <c r="J76" s="150"/>
      <c r="K76" s="157"/>
      <c r="L76" s="150"/>
      <c r="M76" s="150"/>
      <c r="N76" s="152"/>
    </row>
    <row r="77" spans="1:22" ht="18" customHeight="1" thickBot="1">
      <c r="B77" s="276"/>
      <c r="C77" s="376" t="s">
        <v>91</v>
      </c>
      <c r="D77" s="377"/>
      <c r="E77" s="378"/>
      <c r="F77" s="148" t="s">
        <v>68</v>
      </c>
      <c r="G77" s="96">
        <f>+K67</f>
        <v>31602755.080000006</v>
      </c>
      <c r="H77" s="150"/>
      <c r="I77" s="150"/>
      <c r="J77" s="97">
        <f>+G77/J67</f>
        <v>1</v>
      </c>
      <c r="K77" s="277" t="s">
        <v>69</v>
      </c>
      <c r="L77" s="158"/>
      <c r="M77" s="158"/>
      <c r="N77" s="152"/>
    </row>
    <row r="78" spans="1:22" ht="17.25" thickBot="1">
      <c r="B78" s="276"/>
      <c r="C78" s="148"/>
      <c r="D78" s="148"/>
      <c r="E78" s="148"/>
      <c r="F78" s="148"/>
      <c r="G78" s="150"/>
      <c r="H78" s="150"/>
      <c r="I78" s="150"/>
      <c r="J78" s="150"/>
      <c r="K78" s="157"/>
      <c r="L78" s="150"/>
      <c r="M78" s="150"/>
      <c r="N78" s="152"/>
    </row>
    <row r="79" spans="1:22" ht="18" customHeight="1" thickBot="1">
      <c r="B79" s="276"/>
      <c r="C79" s="376" t="s">
        <v>70</v>
      </c>
      <c r="D79" s="377"/>
      <c r="E79" s="378"/>
      <c r="F79" s="148" t="s">
        <v>68</v>
      </c>
      <c r="G79" s="100">
        <f>+O67</f>
        <v>0</v>
      </c>
      <c r="H79" s="150"/>
      <c r="I79" s="150"/>
      <c r="J79" s="101">
        <f>+G79/J67</f>
        <v>0</v>
      </c>
      <c r="K79" s="277" t="s">
        <v>69</v>
      </c>
      <c r="L79" s="159"/>
      <c r="M79" s="159"/>
      <c r="N79" s="152"/>
    </row>
    <row r="80" spans="1:22" ht="17.25" thickBot="1">
      <c r="B80" s="276"/>
      <c r="C80" s="148"/>
      <c r="D80" s="148"/>
      <c r="E80" s="148"/>
      <c r="F80" s="148"/>
      <c r="G80" s="150"/>
      <c r="H80" s="150"/>
      <c r="I80" s="150"/>
      <c r="J80" s="150"/>
      <c r="K80" s="157"/>
      <c r="L80" s="150"/>
      <c r="M80" s="150"/>
      <c r="N80" s="152"/>
    </row>
    <row r="81" spans="2:14" ht="17.25" thickBot="1">
      <c r="B81" s="276"/>
      <c r="C81" s="376" t="s">
        <v>92</v>
      </c>
      <c r="D81" s="377"/>
      <c r="E81" s="378"/>
      <c r="F81" s="148" t="s">
        <v>68</v>
      </c>
      <c r="G81" s="104">
        <f>+P67</f>
        <v>0</v>
      </c>
      <c r="H81" s="150"/>
      <c r="I81" s="150"/>
      <c r="J81" s="105">
        <f>+G81/J67</f>
        <v>0</v>
      </c>
      <c r="K81" s="277" t="s">
        <v>69</v>
      </c>
      <c r="L81" s="158"/>
      <c r="M81" s="158"/>
      <c r="N81" s="152"/>
    </row>
    <row r="82" spans="2:14" ht="17.25" thickBot="1">
      <c r="B82" s="160"/>
      <c r="C82" s="161"/>
      <c r="D82" s="161"/>
      <c r="E82" s="161"/>
      <c r="F82" s="161"/>
      <c r="G82" s="161"/>
      <c r="H82" s="161"/>
      <c r="I82" s="161"/>
      <c r="J82" s="161"/>
      <c r="K82" s="161"/>
      <c r="L82" s="161"/>
      <c r="M82" s="161"/>
      <c r="N82" s="162"/>
    </row>
  </sheetData>
  <mergeCells count="18">
    <mergeCell ref="O10:P10"/>
    <mergeCell ref="C73:E73"/>
    <mergeCell ref="C1:E2"/>
    <mergeCell ref="F1:F2"/>
    <mergeCell ref="G1:J1"/>
    <mergeCell ref="M1:N1"/>
    <mergeCell ref="M2:N2"/>
    <mergeCell ref="C3:E4"/>
    <mergeCell ref="M3:N3"/>
    <mergeCell ref="M4:N4"/>
    <mergeCell ref="C75:E75"/>
    <mergeCell ref="C77:E77"/>
    <mergeCell ref="C79:E79"/>
    <mergeCell ref="C81:E81"/>
    <mergeCell ref="M5:N5"/>
    <mergeCell ref="M6:N6"/>
    <mergeCell ref="M7:N7"/>
    <mergeCell ref="M8:N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SYNTHESE</vt:lpstr>
      <vt:lpstr>RECAP</vt:lpstr>
      <vt:lpstr>210</vt:lpstr>
      <vt:lpstr>210 bw</vt:lpstr>
      <vt:lpstr>210cw</vt:lpstr>
      <vt:lpstr>212</vt:lpstr>
      <vt:lpstr>2187</vt:lpstr>
      <vt:lpstr>220-G</vt:lpstr>
      <vt:lpstr>221</vt:lpstr>
      <vt:lpstr>230A</vt:lpstr>
      <vt:lpstr>7000-003</vt:lpstr>
      <vt:lpstr>7004</vt:lpstr>
      <vt:lpstr>7005</vt:lpstr>
      <vt:lpstr>7006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Jorissen Daniel</cp:lastModifiedBy>
  <dcterms:created xsi:type="dcterms:W3CDTF">2017-11-25T19:56:20Z</dcterms:created>
  <dcterms:modified xsi:type="dcterms:W3CDTF">2018-01-15T12:27:19Z</dcterms:modified>
</cp:coreProperties>
</file>