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DieseArbeitsmappe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726020DF-945C-4CC8-9E53-E226E7A6C484}" xr6:coauthVersionLast="45" xr6:coauthVersionMax="45" xr10:uidLastSave="{00000000-0000-0000-0000-000000000000}"/>
  <bookViews>
    <workbookView xWindow="768" yWindow="336" windowWidth="21372" windowHeight="12024" xr2:uid="{00000000-000D-0000-FFFF-FFFF00000000}"/>
  </bookViews>
  <sheets>
    <sheet name="Base de donnees contrats" sheetId="1" r:id="rId1"/>
    <sheet name="Récapitulatif des commissions" sheetId="3" r:id="rId2"/>
    <sheet name="Resultat" sheetId="19" r:id="rId3"/>
  </sheets>
  <calcPr calcId="191029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1" l="1"/>
  <c r="N11" i="1" s="1"/>
  <c r="M11" i="1"/>
  <c r="J8" i="1" l="1"/>
  <c r="S4" i="1"/>
  <c r="S5" i="1" s="1"/>
  <c r="S6" i="1" s="1"/>
  <c r="J9" i="1"/>
  <c r="J7" i="1" l="1"/>
  <c r="J10" i="1"/>
  <c r="M7" i="1"/>
  <c r="M8" i="1"/>
  <c r="M9" i="1"/>
  <c r="N9" i="1" s="1"/>
  <c r="M10" i="1"/>
  <c r="N7" i="1" l="1"/>
  <c r="N8" i="1"/>
  <c r="N10" i="1"/>
  <c r="C7" i="3" a="1"/>
  <c r="C7" i="3" s="1"/>
  <c r="M11" i="3" s="1"/>
  <c r="B11" i="3" l="1"/>
  <c r="F11" i="3"/>
  <c r="J11" i="3"/>
  <c r="C11" i="3"/>
  <c r="G11" i="3"/>
  <c r="K11" i="3"/>
  <c r="D11" i="3"/>
  <c r="H11" i="3"/>
  <c r="L11" i="3"/>
  <c r="E11" i="3"/>
  <c r="I11" i="3"/>
  <c r="J6" i="1" l="1"/>
  <c r="M6" i="1"/>
  <c r="J5" i="1"/>
  <c r="M5" i="1"/>
  <c r="N5" i="1" l="1"/>
  <c r="N6" i="1"/>
  <c r="W3" i="1"/>
  <c r="J2" i="1"/>
  <c r="M2" i="1"/>
  <c r="M4" i="1"/>
  <c r="M3" i="1"/>
  <c r="J4" i="1"/>
  <c r="J3" i="1"/>
  <c r="N3" i="1" l="1"/>
  <c r="N4" i="1"/>
  <c r="N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<sst xmlns="http://schemas.openxmlformats.org/spreadsheetml/2006/main" count="100" uniqueCount="48">
  <si>
    <t>Etablissement</t>
  </si>
  <si>
    <t>Contact</t>
  </si>
  <si>
    <t>Adresse email</t>
  </si>
  <si>
    <t>Numéro de série</t>
  </si>
  <si>
    <t>Date de fin</t>
  </si>
  <si>
    <t>Date  de début</t>
  </si>
  <si>
    <t>Montant HT</t>
  </si>
  <si>
    <t>Montant TTC</t>
  </si>
  <si>
    <t>Responsable</t>
  </si>
  <si>
    <t>MMFA</t>
  </si>
  <si>
    <t>Appareils</t>
  </si>
  <si>
    <t>MMFAB</t>
  </si>
  <si>
    <t>Étiquettes de lignes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</si>
  <si>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</si>
  <si>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</si>
  <si>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</si>
  <si>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</si>
  <si>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</si>
  <si>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</si>
  <si>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</si>
  <si>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</si>
  <si>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</si>
  <si>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</si>
  <si>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</si>
  <si>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</si>
  <si>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</si>
  <si>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</si>
  <si>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</si>
  <si>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</si>
  <si>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</si>
  <si>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</si>
  <si>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</si>
  <si>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Nombre de mois</t>
  </si>
  <si>
    <t>Commision par facturation</t>
  </si>
  <si>
    <t>Durée en années</t>
  </si>
  <si>
    <t>Nombre de paiemement</t>
  </si>
  <si>
    <t>Années</t>
  </si>
  <si>
    <t>jours</t>
  </si>
  <si>
    <t>facturations</t>
  </si>
  <si>
    <t>er</t>
  </si>
  <si>
    <t>2020</t>
  </si>
  <si>
    <t>Somme de Commision par facturation</t>
  </si>
  <si>
    <t>janv</t>
  </si>
  <si>
    <t>mars</t>
  </si>
  <si>
    <t>avr</t>
  </si>
  <si>
    <t>juil</t>
  </si>
  <si>
    <t>oct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</si>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</sst>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_ * #,##0.00_)\ &quot;€&quot;_ ;_ * \(#,##0.00\)\ &quot;€&quot;_ ;_ * &quot;-&quot;??_)\ &quot;€&quot;_ ;_ @_ "/>
    <numFmt numFmtId="165" formatCode="#,##0.00\ &quot;€&quot;"/>
    <numFmt numFmtId="166" formatCode="mmmm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5" fontId="0" fillId="0" borderId="0" xfId="1" applyNumberFormat="1" applyFon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NumberFormat="1"/>
    <xf numFmtId="7" fontId="0" fillId="0" borderId="0" xfId="0" applyNumberFormat="1"/>
  </cellXfs>
  <cellStyles count="2">
    <cellStyle name="Monétaire" xfId="1" builtinId="4"/>
    <cellStyle name="Normal" xfId="0" builtinId="0"/>
  </cellStyles>
  <dxfs count="20">
    <dxf>
      <numFmt numFmtId="11" formatCode="#,##0.00\ &quot;€&quot;;\-#,##0.00\ &quot;€&quot;"/>
    </dxf>
    <dxf>
      <numFmt numFmtId="19" formatCode="dd/mm/yyyy"/>
    </dxf>
    <dxf>
      <alignment horizontal="center"/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5" fmlaLink="D7" fmlaRange="$Y$3:$Y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830580</xdr:colOff>
          <xdr:row>14</xdr:row>
          <xdr:rowOff>106680</xdr:rowOff>
        </xdr:from>
        <xdr:to>
          <xdr:col>8</xdr:col>
          <xdr:colOff>251460</xdr:colOff>
          <xdr:row>17</xdr:row>
          <xdr:rowOff>182880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TESTER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6</xdr:row>
          <xdr:rowOff>15240</xdr:rowOff>
        </xdr:from>
        <xdr:to>
          <xdr:col>4</xdr:col>
          <xdr:colOff>22860</xdr:colOff>
          <xdr:row>7</xdr:row>
          <xdr:rowOff>15240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911.87262303241" createdVersion="6" refreshedVersion="6" minRefreshableVersion="3" recordCount="9" xr:uid="{00000000-000A-0000-FFFF-FFFF00000000}">
  <cacheSource type="worksheet">
    <worksheetSource name="T_base_données_contrats"/>
  </cacheSource>
  <cacheFields count="34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 en années" numFmtId="0">
      <sharedItems containsSemiMixedTypes="0" containsString="0" containsNumber="1" containsInteger="1" minValue="1" maxValue="4"/>
    </cacheField>
    <cacheField name="Facturation" numFmtId="14">
      <sharedItems/>
    </cacheField>
    <cacheField name="Montant TTC" numFmtId="165">
      <sharedItems containsSemiMixedTypes="0" containsString="0" containsNumber="1" containsInteger="1" minValue="5500" maxValue="24000"/>
    </cacheField>
    <cacheField name="Montant HT" numFmtId="165">
      <sharedItems containsSemiMixedTypes="0" containsString="0" containsNumber="1" minValue="4583.3333333333339" maxValue="20000"/>
    </cacheField>
    <cacheField name="Commision par facturation" numFmtId="165">
      <sharedItems containsSemiMixedTypes="0" containsString="0" containsNumber="1" minValue="7.3784722222222241" maxValue="187.5" count="8">
        <n v="88.541666666666686"/>
        <n v="119.58333333333336"/>
        <n v="93.75"/>
        <n v="79.861111111111128"/>
        <n v="41.666666666666664"/>
        <n v="187.5"/>
        <n v="19.097222222222225"/>
        <n v="7.3784722222222241"/>
      </sharedItems>
    </cacheField>
    <cacheField name="Date 1er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</cacheField>
    <cacheField name="Facturation 2" numFmtId="14">
      <sharedItems containsDate="1" containsMixedTypes="1" minDate="2020-10-16T00:00:00" maxDate="2022-06-16T00:00:00" count="6">
        <s v=""/>
        <d v="2021-01-28T00:00:00"/>
        <d v="2021-03-16T00:00:00"/>
        <d v="2022-06-15T00:00:00"/>
        <d v="2020-10-16T00:00:00"/>
        <d v="2021-01-24T00:00:00"/>
      </sharedItems>
    </cacheField>
    <cacheField name="Facturation 3" numFmtId="14">
      <sharedItems containsDate="1" containsMixedTypes="1" minDate="2021-01-16T00:00:00" maxDate="2023-06-16T00:00:00" count="5">
        <s v=""/>
        <d v="2022-03-16T00:00:00"/>
        <d v="2023-06-15T00:00:00"/>
        <d v="2021-01-16T00:00:00"/>
        <d v="2021-07-24T00:00:00"/>
      </sharedItems>
    </cacheField>
    <cacheField name="Facturation 4" numFmtId="14">
      <sharedItems containsDate="1" containsMixedTypes="1" minDate="2021-04-16T00:00:00" maxDate="2023-03-17T00:00:00" count="4">
        <s v=""/>
        <d v="2023-03-16T00:00:00"/>
        <d v="2021-04-16T00:00:00"/>
        <d v="2022-01-24T00:00:00"/>
      </sharedItems>
    </cacheField>
    <cacheField name="Facturation 5" numFmtId="14">
      <sharedItems containsDate="1" containsMixedTypes="1" minDate="2021-07-16T00:00:00" maxDate="2024-03-16T00:00:00" count="4">
        <s v=""/>
        <d v="2024-03-15T00:00:00"/>
        <d v="2021-07-16T00:00:00"/>
        <d v="2022-07-24T00:00:00"/>
      </sharedItems>
    </cacheField>
    <cacheField name="Facturation 6" numFmtId="14">
      <sharedItems containsDate="1" containsMixedTypes="1" minDate="2021-10-16T00:00:00" maxDate="2023-01-25T00:00:00" count="3">
        <s v=""/>
        <d v="2021-10-16T00:00:00"/>
        <d v="2023-01-24T00:00:00"/>
      </sharedItems>
    </cacheField>
    <cacheField name="Facturation 7" numFmtId="14">
      <sharedItems containsDate="1" containsMixedTypes="1" minDate="2022-01-16T00:00:00" maxDate="2022-01-17T00:00:00" count="2">
        <s v=""/>
        <d v="2022-01-16T00:00:00"/>
      </sharedItems>
    </cacheField>
    <cacheField name="Facturation 8" numFmtId="14">
      <sharedItems containsDate="1" containsMixedTypes="1" minDate="2022-04-16T00:00:00" maxDate="2022-04-17T00:00:00" count="2">
        <s v=""/>
        <d v="2022-04-16T00:00:00"/>
      </sharedItems>
    </cacheField>
    <cacheField name="Facturation 9" numFmtId="14">
      <sharedItems containsDate="1" containsMixedTypes="1" minDate="2022-07-16T00:00:00" maxDate="2022-07-17T00:00:00" count="2">
        <s v=""/>
        <d v="2022-07-16T00:00:00"/>
      </sharedItems>
    </cacheField>
    <cacheField name="Facturation 10" numFmtId="14">
      <sharedItems containsDate="1" containsMixedTypes="1" minDate="2022-10-16T00:00:00" maxDate="2022-10-17T00:00:00" count="2">
        <s v=""/>
        <d v="2022-10-16T00:00:00"/>
      </sharedItems>
    </cacheField>
    <cacheField name="Facturation 11" numFmtId="14">
      <sharedItems containsDate="1" containsMixedTypes="1" minDate="2023-01-16T00:00:00" maxDate="2023-01-17T00:00:00" count="2">
        <s v=""/>
        <d v="2023-01-16T00:00:00"/>
      </sharedItems>
    </cacheField>
    <cacheField name="Facturation 12" numFmtId="14">
      <sharedItems containsDate="1" containsMixedTypes="1" minDate="2023-04-16T00:00:00" maxDate="2023-04-17T00:00:00" count="2">
        <s v=""/>
        <d v="2023-04-16T00:00:00"/>
      </sharedItems>
    </cacheField>
    <cacheField name="Facturation 13" numFmtId="14">
      <sharedItems count="1">
        <s v=""/>
      </sharedItems>
    </cacheField>
    <cacheField name="Facturation 14" numFmtId="14">
      <sharedItems count="1">
        <s v=""/>
      </sharedItems>
    </cacheField>
    <cacheField name="Facturation 15" numFmtId="14">
      <sharedItems count="1">
        <s v=""/>
      </sharedItems>
    </cacheField>
    <cacheField name="Facturation 16" numFmtId="14">
      <sharedItems count="1">
        <s v=""/>
      </sharedItems>
    </cacheField>
    <cacheField name="Facturation 17" numFmtId="14">
      <sharedItems count="1">
        <s v=""/>
      </sharedItems>
    </cacheField>
    <cacheField name="Facturation 18" numFmtId="14">
      <sharedItems count="1">
        <s v=""/>
      </sharedItems>
    </cacheField>
    <cacheField name="Facturation 19" numFmtId="14">
      <sharedItems count="1">
        <s v=""/>
      </sharedItems>
    </cacheField>
    <cacheField name="Facturation 20" numFmtId="14">
      <sharedItems count="1"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sen Daniel" refreshedDate="43916.356522106478" createdVersion="6" refreshedVersion="6" minRefreshableVersion="3" recordCount="44" xr:uid="{D349AA35-528E-4DDB-8229-349C9C9709FB}">
  <cacheSource type="worksheet">
    <worksheetSource name="Tableau"/>
  </cacheSource>
  <cacheFields count="4">
    <cacheField name="Nombre unique" numFmtId="0">
      <sharedItems containsSemiMixedTypes="0" containsString="0" containsNumber="1" containsInteger="1" minValue="1" maxValue="10"/>
    </cacheField>
    <cacheField name="facturations" numFmtId="14">
      <sharedItems containsSemiMixedTypes="0" containsNonDate="0" containsDate="1" containsString="0" minDate="2020-01-23T00:00:00" maxDate="2025-04-17T00:00:00" count="42">
        <d v="2020-01-30T00:00:00"/>
        <d v="2020-01-28T00:00:00"/>
        <d v="2021-01-28T00:00:00"/>
        <d v="2020-01-23T00:00:00"/>
        <d v="2020-03-16T00:00:00"/>
        <d v="2021-03-16T00:00:00"/>
        <d v="2022-03-16T00:00:00"/>
        <d v="2023-03-16T00:00:00"/>
        <d v="2020-04-25T00:00:00"/>
        <d v="2021-06-15T00:00:00"/>
        <d v="2022-06-15T00:00:00"/>
        <d v="2023-06-15T00:00:00"/>
        <d v="2020-07-16T00:00:00"/>
        <d v="2020-10-16T00:00:00"/>
        <d v="2021-01-16T00:00:00"/>
        <d v="2021-04-16T00:00:00"/>
        <d v="2021-07-16T00:00:00"/>
        <d v="2021-10-16T00:00:00"/>
        <d v="2022-01-16T00:00:00"/>
        <d v="2022-04-16T00:00:00"/>
        <d v="2022-07-16T00:00:00"/>
        <d v="2022-10-16T00:00:00"/>
        <d v="2023-01-16T00:00:00"/>
        <d v="2023-04-16T00:00:00"/>
        <d v="2023-07-16T00:00:00"/>
        <d v="2023-10-16T00:00:00"/>
        <d v="2024-01-16T00:00:00"/>
        <d v="2024-04-16T00:00:00"/>
        <d v="2024-07-16T00:00:00"/>
        <d v="2024-10-16T00:00:00"/>
        <d v="2025-01-16T00:00:00"/>
        <d v="2025-04-16T00:00:00"/>
        <d v="2020-07-24T00:00:00"/>
        <d v="2021-01-24T00:00:00"/>
        <d v="2021-07-24T00:00:00"/>
        <d v="2022-01-24T00:00:00"/>
        <d v="2022-07-24T00:00:00"/>
        <d v="2023-01-24T00:00:00"/>
        <d v="2020-10-01T00:00:00"/>
        <d v="2021-04-01T00:00:00"/>
        <d v="2021-10-01T00:00:00"/>
        <d v="2022-04-01T00:00:00"/>
      </sharedItems>
      <fieldGroup par="3" base="1">
        <rangePr groupBy="months" startDate="2020-01-23T00:00:00" endDate="2025-04-17T00:00:00"/>
        <groupItems count="14">
          <s v="&lt;23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4/2025"/>
        </groupItems>
      </fieldGroup>
    </cacheField>
    <cacheField name="Commision par facturation" numFmtId="7">
      <sharedItems containsSemiMixedTypes="0" containsString="0" containsNumber="1" minValue="4.43" maxValue="187.5"/>
    </cacheField>
    <cacheField name="Années" numFmtId="0" databaseField="0">
      <fieldGroup base="1">
        <rangePr groupBy="years" startDate="2020-01-23T00:00:00" endDate="2025-04-17T00:00:00"/>
        <groupItems count="8">
          <s v="&lt;23/01/2020"/>
          <s v="2020"/>
          <s v="2021"/>
          <s v="2022"/>
          <s v="2023"/>
          <s v="2024"/>
          <s v="2025"/>
          <s v="&gt;17/04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MMFA"/>
    <s v="HU"/>
    <s v="."/>
    <s v="."/>
    <s v="HR+TC"/>
    <n v="746"/>
    <d v="2020-01-30T00:00:00"/>
    <d v="2021-01-30T00:00:00"/>
    <n v="1"/>
    <s v="annuelle"/>
    <n v="8500"/>
    <n v="7083.33333333333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s v="MMFA"/>
    <s v="LC"/>
    <s v="."/>
    <s v="."/>
    <s v="HR+TC"/>
    <n v="504"/>
    <d v="2020-01-28T00:00:00"/>
    <d v="2022-01-28T00:00:00"/>
    <n v="2"/>
    <s v="annuelle"/>
    <n v="22960"/>
    <n v="19133.333333333336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s v="MMFA"/>
    <s v="RD"/>
    <s v="."/>
    <s v="."/>
    <s v="HR+TC"/>
    <n v="170"/>
    <d v="2020-01-23T00:00:00"/>
    <d v="2021-01-23T00:00:00"/>
    <n v="1"/>
    <s v="annuelle"/>
    <n v="9000"/>
    <n v="750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s v="MMFAB"/>
    <s v="DR"/>
    <s v="."/>
    <s v="."/>
    <s v="HR+TC"/>
    <n v="555"/>
    <d v="2020-03-16T00:00:00"/>
    <d v="2022-03-16T00:00:00"/>
    <n v="2"/>
    <s v="annuelle"/>
    <n v="23000"/>
    <n v="19166.666666666668"/>
    <x v="3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4"/>
    <s v="MMFAB"/>
    <s v="BT"/>
    <s v="."/>
    <s v="."/>
    <s v="HR+TC"/>
    <n v="1123"/>
    <d v="2020-03-16T00:00:00"/>
    <d v="2024-03-16T00:00:00"/>
    <n v="4"/>
    <s v="annuelle"/>
    <n v="24000"/>
    <n v="20000"/>
    <x v="4"/>
    <x v="3"/>
    <x v="2"/>
    <x v="1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5"/>
    <s v="MMFA"/>
    <s v="QW"/>
    <s v="."/>
    <s v="."/>
    <s v="HR+TC"/>
    <n v="124"/>
    <d v="2020-04-25T00:00:00"/>
    <d v="2021-04-25T00:00:00"/>
    <n v="1"/>
    <s v="annuelle"/>
    <n v="18000"/>
    <n v="1500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s v="MMFA"/>
    <s v="RT"/>
    <s v="."/>
    <s v="."/>
    <s v="HR+TC"/>
    <n v="543"/>
    <d v="2020-06-15T00:00:00"/>
    <d v="2023-06-15T00:00:00"/>
    <n v="3"/>
    <s v="à terme échu"/>
    <n v="5500"/>
    <n v="4583.3333333333339"/>
    <x v="6"/>
    <x v="5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"/>
    <s v="MMFA"/>
    <s v="AS"/>
    <s v="."/>
    <s v="."/>
    <s v="HR+TC"/>
    <n v="765"/>
    <d v="2020-07-16T00:00:00"/>
    <d v="2023-07-16T00:00:00"/>
    <n v="3"/>
    <s v="trimestrielle"/>
    <n v="8500"/>
    <n v="7083.3333333333339"/>
    <x v="7"/>
    <x v="6"/>
    <x v="4"/>
    <x v="3"/>
    <x v="2"/>
    <x v="2"/>
    <x v="1"/>
    <x v="1"/>
    <x v="1"/>
    <x v="1"/>
    <x v="1"/>
    <x v="1"/>
    <x v="1"/>
    <x v="0"/>
    <x v="0"/>
    <x v="0"/>
    <x v="0"/>
    <x v="0"/>
    <x v="0"/>
    <x v="0"/>
    <x v="0"/>
  </r>
  <r>
    <x v="8"/>
    <s v="MMFA"/>
    <s v="ED"/>
    <s v="."/>
    <s v="."/>
    <s v="HR+TC"/>
    <n v="432"/>
    <d v="2020-07-24T00:00:00"/>
    <d v="2023-07-24T00:00:00"/>
    <n v="3"/>
    <s v="semestrielle"/>
    <n v="24000"/>
    <n v="20000"/>
    <x v="4"/>
    <x v="7"/>
    <x v="5"/>
    <x v="4"/>
    <x v="3"/>
    <x v="3"/>
    <x v="2"/>
    <x v="0"/>
    <x v="0"/>
    <x v="0"/>
    <x v="0"/>
    <x v="0"/>
    <x v="0"/>
    <x v="0"/>
    <x v="0"/>
    <x v="0"/>
    <x v="0"/>
    <x v="0"/>
    <x v="0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n v="1"/>
    <x v="0"/>
    <n v="88.54"/>
  </r>
  <r>
    <n v="2"/>
    <x v="1"/>
    <n v="119.58"/>
  </r>
  <r>
    <n v="2"/>
    <x v="2"/>
    <n v="119.58"/>
  </r>
  <r>
    <n v="3"/>
    <x v="3"/>
    <n v="93.75"/>
  </r>
  <r>
    <n v="4"/>
    <x v="4"/>
    <n v="79.86"/>
  </r>
  <r>
    <n v="4"/>
    <x v="5"/>
    <n v="79.86"/>
  </r>
  <r>
    <n v="5"/>
    <x v="4"/>
    <n v="41.67"/>
  </r>
  <r>
    <n v="5"/>
    <x v="5"/>
    <n v="41.67"/>
  </r>
  <r>
    <n v="5"/>
    <x v="6"/>
    <n v="41.67"/>
  </r>
  <r>
    <n v="5"/>
    <x v="7"/>
    <n v="41.67"/>
  </r>
  <r>
    <n v="6"/>
    <x v="8"/>
    <n v="187.5"/>
  </r>
  <r>
    <n v="7"/>
    <x v="9"/>
    <n v="19.100000000000001"/>
  </r>
  <r>
    <n v="7"/>
    <x v="10"/>
    <n v="19.100000000000001"/>
  </r>
  <r>
    <n v="7"/>
    <x v="11"/>
    <n v="19.100000000000001"/>
  </r>
  <r>
    <n v="8"/>
    <x v="12"/>
    <n v="4.43"/>
  </r>
  <r>
    <n v="8"/>
    <x v="13"/>
    <n v="4.43"/>
  </r>
  <r>
    <n v="8"/>
    <x v="14"/>
    <n v="4.43"/>
  </r>
  <r>
    <n v="8"/>
    <x v="15"/>
    <n v="4.43"/>
  </r>
  <r>
    <n v="8"/>
    <x v="16"/>
    <n v="4.43"/>
  </r>
  <r>
    <n v="8"/>
    <x v="17"/>
    <n v="4.43"/>
  </r>
  <r>
    <n v="8"/>
    <x v="18"/>
    <n v="4.43"/>
  </r>
  <r>
    <n v="8"/>
    <x v="19"/>
    <n v="4.43"/>
  </r>
  <r>
    <n v="8"/>
    <x v="20"/>
    <n v="4.43"/>
  </r>
  <r>
    <n v="8"/>
    <x v="21"/>
    <n v="4.43"/>
  </r>
  <r>
    <n v="8"/>
    <x v="22"/>
    <n v="4.43"/>
  </r>
  <r>
    <n v="8"/>
    <x v="23"/>
    <n v="4.43"/>
  </r>
  <r>
    <n v="8"/>
    <x v="24"/>
    <n v="4.43"/>
  </r>
  <r>
    <n v="8"/>
    <x v="25"/>
    <n v="4.43"/>
  </r>
  <r>
    <n v="8"/>
    <x v="26"/>
    <n v="4.43"/>
  </r>
  <r>
    <n v="8"/>
    <x v="27"/>
    <n v="4.43"/>
  </r>
  <r>
    <n v="8"/>
    <x v="28"/>
    <n v="4.43"/>
  </r>
  <r>
    <n v="8"/>
    <x v="29"/>
    <n v="4.43"/>
  </r>
  <r>
    <n v="8"/>
    <x v="30"/>
    <n v="4.43"/>
  </r>
  <r>
    <n v="8"/>
    <x v="31"/>
    <n v="4.43"/>
  </r>
  <r>
    <n v="9"/>
    <x v="32"/>
    <n v="41.67"/>
  </r>
  <r>
    <n v="9"/>
    <x v="33"/>
    <n v="41.67"/>
  </r>
  <r>
    <n v="9"/>
    <x v="34"/>
    <n v="41.67"/>
  </r>
  <r>
    <n v="9"/>
    <x v="35"/>
    <n v="41.67"/>
  </r>
  <r>
    <n v="9"/>
    <x v="36"/>
    <n v="41.67"/>
  </r>
  <r>
    <n v="9"/>
    <x v="37"/>
    <n v="41.67"/>
  </r>
  <r>
    <n v="10"/>
    <x v="38"/>
    <n v="39.06"/>
  </r>
  <r>
    <n v="10"/>
    <x v="39"/>
    <n v="39.06"/>
  </r>
  <r>
    <n v="10"/>
    <x v="40"/>
    <n v="39.06"/>
  </r>
  <r>
    <n v="10"/>
    <x v="41"/>
    <n v="39.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2:AA11" firstHeaderRow="1" firstDataRow="1" firstDataCol="1"/>
  <pivotFields count="3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showAll="0"/>
    <pivotField showAll="0"/>
    <pivotField numFmtId="165" showAll="0"/>
    <pivotField numFmtId="165" showAll="0"/>
    <pivotField numFmtId="165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E56620-B277-4AFA-AF37-9F77B1893B4C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F9" firstHeaderRow="1" firstDataRow="1" firstDataCol="1" rowPageCount="1" colPageCount="1"/>
  <pivotFields count="4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Page" multipleItemSelectionAllowed="1" showAll="0">
      <items count="9">
        <item h="1" x="0"/>
        <item x="1"/>
        <item h="1" x="2"/>
        <item h="1" x="3"/>
        <item h="1" x="4"/>
        <item h="1" x="5"/>
        <item h="1" x="6"/>
        <item h="1" x="7"/>
        <item t="default"/>
      </items>
    </pivotField>
  </pivotFields>
  <rowFields count="1">
    <field x="1"/>
  </rowFields>
  <rowItems count="6">
    <i>
      <x v="1"/>
    </i>
    <i>
      <x v="3"/>
    </i>
    <i>
      <x v="4"/>
    </i>
    <i>
      <x v="7"/>
    </i>
    <i>
      <x v="10"/>
    </i>
    <i t="grand">
      <x/>
    </i>
  </rowItems>
  <colItems count="1">
    <i/>
  </colItems>
  <pageFields count="1">
    <pageField fld="3" hier="-1"/>
  </pageFields>
  <dataFields count="1">
    <dataField name="Somme de Commision par facturation" fld="2" baseField="0" baseItem="0"/>
  </dataFields>
  <formats count="1">
    <format dxfId="2">
      <pivotArea dataOnly="0" labelOnly="1" outline="0" fieldPosition="0">
        <references count="1">
          <reference field="3" count="0"/>
        </references>
      </pivotArea>
    </format>
  </formats>
  <pivotTableStyleInfo name="PivotStyleDark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_données_contrats" displayName="T_base_données_contrats" ref="A1:N11" totalsRowShown="0" headerRowDxfId="19" dataDxfId="18">
  <autoFilter ref="A1:N11" xr:uid="{00000000-0009-0000-0100-000001000000}"/>
  <tableColumns count="14">
    <tableColumn id="14" xr3:uid="{00000000-0010-0000-0000-00000E000000}" name="Nombre unique" dataDxfId="17"/>
    <tableColumn id="1" xr3:uid="{00000000-0010-0000-0000-000001000000}" name="Responsable" dataDxfId="16"/>
    <tableColumn id="2" xr3:uid="{00000000-0010-0000-0000-000002000000}" name="Etablissement" dataDxfId="15"/>
    <tableColumn id="3" xr3:uid="{00000000-0010-0000-0000-000003000000}" name="Contact" dataDxfId="14"/>
    <tableColumn id="4" xr3:uid="{00000000-0010-0000-0000-000004000000}" name="Adresse email" dataDxfId="13"/>
    <tableColumn id="5" xr3:uid="{00000000-0010-0000-0000-000005000000}" name="Appareils" dataDxfId="12"/>
    <tableColumn id="6" xr3:uid="{00000000-0010-0000-0000-000006000000}" name="Numéro de série" dataDxfId="11"/>
    <tableColumn id="7" xr3:uid="{00000000-0010-0000-0000-000007000000}" name="Date  de début" dataDxfId="10"/>
    <tableColumn id="8" xr3:uid="{00000000-0010-0000-0000-000008000000}" name="Date de fin" dataDxfId="9"/>
    <tableColumn id="9" xr3:uid="{00000000-0010-0000-0000-000009000000}" name="Durée en années" dataDxfId="8">
      <calculatedColumnFormula>DATEDIF(H2,I2,"Y")</calculatedColumnFormula>
    </tableColumn>
    <tableColumn id="15" xr3:uid="{00000000-0010-0000-0000-00000F000000}" name="Facturation" dataDxfId="7"/>
    <tableColumn id="12" xr3:uid="{00000000-0010-0000-0000-00000C000000}" name="Montant TTC" dataDxfId="6"/>
    <tableColumn id="11" xr3:uid="{00000000-0010-0000-0000-00000B000000}" name="Montant HT" dataDxfId="5">
      <calculatedColumnFormula>L2/1.2</calculatedColumnFormula>
    </tableColumn>
    <tableColumn id="13" xr3:uid="{00000000-0010-0000-0000-00000D000000}" name="Commision par facturation" dataDxfId="4">
      <calculatedColumnFormula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source_facturation" displayName="T_source_facturation" ref="R9:T13" totalsRowShown="0">
  <autoFilter ref="R9:T13" xr:uid="{00000000-0009-0000-0100-000003000000}"/>
  <tableColumns count="3">
    <tableColumn id="1" xr3:uid="{00000000-0010-0000-0100-000001000000}" name="Type_facturation"/>
    <tableColumn id="2" xr3:uid="{00000000-0010-0000-0100-000002000000}" name="Nombre de mois" dataDxfId="3"/>
    <tableColumn id="3" xr3:uid="{00000000-0010-0000-0100-000003000000}" name="Nombre de paiem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ref_années" displayName="T_ref_années" ref="R2:S6" totalsRowShown="0">
  <autoFilter ref="R2:S6" xr:uid="{00000000-0009-0000-0100-000004000000}"/>
  <tableColumns count="2">
    <tableColumn id="1" xr3:uid="{00000000-0010-0000-0200-000001000000}" name="Années"/>
    <tableColumn id="2" xr3:uid="{00000000-0010-0000-0200-000002000000}" name="jours">
      <calculatedColumnFormula>S2+365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Liste_années" displayName="Liste_années" ref="Y2:Y7" totalsRowShown="0">
  <autoFilter ref="Y2:Y7" xr:uid="{00000000-0009-0000-0100-000002000000}"/>
  <tableColumns count="1">
    <tableColumn id="1" xr3:uid="{00000000-0010-0000-0300-000001000000}" name="Anné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71AEA23-E002-4D8B-80EC-5B985FF739C7}" name="Tableau" displayName="Tableau" ref="A1:C45" totalsRowShown="0">
  <autoFilter ref="A1:C45" xr:uid="{346531E4-E044-4168-AA28-5A09654C4D50}"/>
  <tableColumns count="3">
    <tableColumn id="1" xr3:uid="{940CD4E7-FCAB-4B64-92F6-4B0694938D5D}" name="Nombre unique"/>
    <tableColumn id="2" xr3:uid="{148C49AD-1A1A-4BBC-95BD-AAA686409F9C}" name="facturations" dataDxfId="1"/>
    <tableColumn id="3" xr3:uid="{6237722B-A133-4134-9D08-9CF2FB30F42A}" name="Commision par facturation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W13"/>
  <sheetViews>
    <sheetView tabSelected="1" topLeftCell="E1" workbookViewId="0">
      <selection activeCell="K21" sqref="K21"/>
    </sheetView>
  </sheetViews>
  <sheetFormatPr baseColWidth="10" defaultRowHeight="15.6" x14ac:dyDescent="0.3"/>
  <cols>
    <col min="1" max="1" width="16.296875" bestFit="1" customWidth="1"/>
    <col min="2" max="2" width="16.796875" bestFit="1" customWidth="1"/>
    <col min="3" max="3" width="17.5" bestFit="1" customWidth="1"/>
    <col min="4" max="5" width="28.296875" bestFit="1" customWidth="1"/>
    <col min="6" max="6" width="24.5" bestFit="1" customWidth="1"/>
    <col min="7" max="7" width="17.19921875" customWidth="1"/>
    <col min="8" max="8" width="15.5" customWidth="1"/>
    <col min="9" max="9" width="12.5" customWidth="1"/>
    <col min="10" max="10" width="17.19921875" bestFit="1" customWidth="1"/>
    <col min="11" max="11" width="14.19921875" style="3" bestFit="1" customWidth="1"/>
    <col min="12" max="12" width="14.19921875" style="3" customWidth="1"/>
    <col min="13" max="13" width="13.5" style="2" bestFit="1" customWidth="1"/>
    <col min="14" max="14" width="26.796875" style="11" bestFit="1" customWidth="1"/>
    <col min="16" max="16" width="18" bestFit="1" customWidth="1"/>
    <col min="18" max="18" width="17.69921875" bestFit="1" customWidth="1"/>
    <col min="19" max="19" width="17.296875" bestFit="1" customWidth="1"/>
    <col min="20" max="20" width="24.19921875" bestFit="1" customWidth="1"/>
  </cols>
  <sheetData>
    <row r="1" spans="1:23" s="9" customFormat="1" x14ac:dyDescent="0.3">
      <c r="A1" s="9" t="s">
        <v>14</v>
      </c>
      <c r="B1" s="9" t="s">
        <v>8</v>
      </c>
      <c r="C1" s="9" t="s">
        <v>0</v>
      </c>
      <c r="D1" s="9" t="s">
        <v>1</v>
      </c>
      <c r="E1" s="9" t="s">
        <v>2</v>
      </c>
      <c r="F1" s="9" t="s">
        <v>10</v>
      </c>
      <c r="G1" s="9" t="s">
        <v>3</v>
      </c>
      <c r="H1" s="9" t="s">
        <v>5</v>
      </c>
      <c r="I1" s="9" t="s">
        <v>4</v>
      </c>
      <c r="J1" s="9" t="s">
        <v>34</v>
      </c>
      <c r="K1" s="9" t="s">
        <v>22</v>
      </c>
      <c r="L1" s="13" t="s">
        <v>7</v>
      </c>
      <c r="M1" s="11" t="s">
        <v>6</v>
      </c>
      <c r="N1" s="11" t="s">
        <v>33</v>
      </c>
    </row>
    <row r="2" spans="1:23" x14ac:dyDescent="0.3">
      <c r="A2" s="9">
        <v>1</v>
      </c>
      <c r="B2" s="9" t="s">
        <v>9</v>
      </c>
      <c r="C2" s="9" t="s">
        <v>15</v>
      </c>
      <c r="D2" s="9" t="s">
        <v>19</v>
      </c>
      <c r="E2" s="9" t="s">
        <v>19</v>
      </c>
      <c r="F2" s="12" t="s">
        <v>20</v>
      </c>
      <c r="G2" s="9">
        <v>746</v>
      </c>
      <c r="H2" s="10">
        <v>43860</v>
      </c>
      <c r="I2" s="10">
        <v>44226</v>
      </c>
      <c r="J2" s="9">
        <f>DATEDIF(H2,I2,"Y")</f>
        <v>1</v>
      </c>
      <c r="K2" s="10" t="s">
        <v>24</v>
      </c>
      <c r="L2" s="13">
        <v>8500</v>
      </c>
      <c r="M2" s="11">
        <f>L2/1.2</f>
        <v>7083.3333333333339</v>
      </c>
      <c r="N2" s="11">
        <f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f>
        <v>88.541666666666686</v>
      </c>
      <c r="O2" s="10"/>
      <c r="P2" s="10"/>
      <c r="R2" t="s">
        <v>36</v>
      </c>
      <c r="S2" t="s">
        <v>37</v>
      </c>
    </row>
    <row r="3" spans="1:23" x14ac:dyDescent="0.3">
      <c r="A3" s="9">
        <v>2</v>
      </c>
      <c r="B3" s="9" t="s">
        <v>9</v>
      </c>
      <c r="C3" s="9" t="s">
        <v>16</v>
      </c>
      <c r="D3" s="9" t="s">
        <v>19</v>
      </c>
      <c r="E3" s="9" t="s">
        <v>19</v>
      </c>
      <c r="F3" s="12" t="s">
        <v>20</v>
      </c>
      <c r="G3" s="9">
        <v>504</v>
      </c>
      <c r="H3" s="10">
        <v>43858</v>
      </c>
      <c r="I3" s="10">
        <v>44589</v>
      </c>
      <c r="J3" s="9">
        <f>DATEDIF(H3,I3,"Y")</f>
        <v>2</v>
      </c>
      <c r="K3" s="10" t="s">
        <v>24</v>
      </c>
      <c r="L3" s="13">
        <v>22960</v>
      </c>
      <c r="M3" s="11">
        <f>L3/1.2</f>
        <v>19133.333333333336</v>
      </c>
      <c r="N3" s="11">
        <f>IF(AND(J3&gt;=1,T_base_données_contrats[[#This Row],[Responsable]]="MMFA",OR(VLOOKUP(K3,T_source_facturation[],2,FALSE)&gt;1,VLOOKUP(K3,T_source_facturation[],2,FALSE)&lt;11)),((((M3*0.025)/T_base_données_contrats[[#This Row],[Durée en années]])/VLOOKUP(T_base_données_contrats[[#This Row],[Facturation]],T_source_facturation[],3,FALSE)))/2,((((M3*0.025)/T_base_données_contrats[[#This Row],[Durée en années]])/VLOOKUP(T_base_données_contrats[[#This Row],[Facturation]],T_source_facturation[],3,FALSE)))/3)</f>
        <v>119.58333333333336</v>
      </c>
      <c r="O3" s="10"/>
      <c r="P3" s="10"/>
      <c r="R3">
        <v>2</v>
      </c>
      <c r="S3">
        <v>365</v>
      </c>
      <c r="W3" s="1">
        <f ca="1">TODAY()</f>
        <v>43916</v>
      </c>
    </row>
    <row r="4" spans="1:23" x14ac:dyDescent="0.3">
      <c r="A4" s="9">
        <v>3</v>
      </c>
      <c r="B4" s="9" t="s">
        <v>9</v>
      </c>
      <c r="C4" s="9" t="s">
        <v>17</v>
      </c>
      <c r="D4" s="9" t="s">
        <v>19</v>
      </c>
      <c r="E4" s="9" t="s">
        <v>19</v>
      </c>
      <c r="F4" s="12" t="s">
        <v>20</v>
      </c>
      <c r="G4" s="9">
        <v>170</v>
      </c>
      <c r="H4" s="10">
        <v>43853</v>
      </c>
      <c r="I4" s="10">
        <v>44219</v>
      </c>
      <c r="J4" s="9">
        <f t="shared" ref="J4" si="0">DATEDIF(H4,I4,"Y")</f>
        <v>1</v>
      </c>
      <c r="K4" s="10" t="s">
        <v>24</v>
      </c>
      <c r="L4" s="13">
        <v>9000</v>
      </c>
      <c r="M4" s="11">
        <f>L4/1.2</f>
        <v>7500</v>
      </c>
      <c r="N4" s="11">
        <f>IF(AND(J4&gt;=1,T_base_données_contrats[[#This Row],[Responsable]]="MMFA",OR(VLOOKUP(K4,T_source_facturation[],2,FALSE)&gt;1,VLOOKUP(K4,T_source_facturation[],2,FALSE)&lt;11)),((((M4*0.025)/T_base_données_contrats[[#This Row],[Durée en années]])/VLOOKUP(T_base_données_contrats[[#This Row],[Facturation]],T_source_facturation[],3,FALSE)))/2,((((M4*0.025)/T_base_données_contrats[[#This Row],[Durée en années]])/VLOOKUP(T_base_données_contrats[[#This Row],[Facturation]],T_source_facturation[],3,FALSE)))/3)</f>
        <v>93.75</v>
      </c>
      <c r="O4" s="10"/>
      <c r="P4" s="10"/>
      <c r="R4">
        <v>3</v>
      </c>
      <c r="S4">
        <f>S3+365</f>
        <v>730</v>
      </c>
      <c r="W4" s="1">
        <v>44037</v>
      </c>
    </row>
    <row r="5" spans="1:23" x14ac:dyDescent="0.3">
      <c r="A5" s="9">
        <v>4</v>
      </c>
      <c r="B5" s="9" t="s">
        <v>11</v>
      </c>
      <c r="C5" s="9" t="s">
        <v>21</v>
      </c>
      <c r="D5" s="9" t="s">
        <v>19</v>
      </c>
      <c r="E5" s="9" t="s">
        <v>19</v>
      </c>
      <c r="F5" s="12" t="s">
        <v>20</v>
      </c>
      <c r="G5" s="9">
        <v>555</v>
      </c>
      <c r="H5" s="10">
        <v>43906</v>
      </c>
      <c r="I5" s="10">
        <v>44636</v>
      </c>
      <c r="J5" s="9">
        <f>DATEDIF(H5,I5,"Y")</f>
        <v>2</v>
      </c>
      <c r="K5" s="10" t="s">
        <v>24</v>
      </c>
      <c r="L5" s="13">
        <v>23000</v>
      </c>
      <c r="M5" s="11">
        <f>L5/1.2</f>
        <v>19166.666666666668</v>
      </c>
      <c r="N5" s="11">
        <f>IF(AND(J5&gt;=1,T_base_données_contrats[[#This Row],[Responsable]]="MMFA",OR(VLOOKUP(K5,T_source_facturation[],2,FALSE)&gt;1,VLOOKUP(K5,T_source_facturation[],2,FALSE)&lt;11)),((((M5*0.025)/T_base_données_contrats[[#This Row],[Durée en années]])/VLOOKUP(T_base_données_contrats[[#This Row],[Facturation]],T_source_facturation[],3,FALSE)))/2,((((M5*0.025)/T_base_données_contrats[[#This Row],[Durée en années]])/VLOOKUP(T_base_données_contrats[[#This Row],[Facturation]],T_source_facturation[],3,FALSE)))/3)</f>
        <v>79.861111111111128</v>
      </c>
      <c r="O5" s="10"/>
      <c r="P5" s="10"/>
      <c r="R5">
        <v>4</v>
      </c>
      <c r="S5">
        <f>S4+365</f>
        <v>1095</v>
      </c>
    </row>
    <row r="6" spans="1:23" x14ac:dyDescent="0.3">
      <c r="A6" s="9">
        <v>5</v>
      </c>
      <c r="B6" s="9" t="s">
        <v>11</v>
      </c>
      <c r="C6" s="9" t="s">
        <v>18</v>
      </c>
      <c r="D6" s="9" t="s">
        <v>19</v>
      </c>
      <c r="E6" s="9" t="s">
        <v>19</v>
      </c>
      <c r="F6" s="12" t="s">
        <v>20</v>
      </c>
      <c r="G6" s="9">
        <v>1123</v>
      </c>
      <c r="H6" s="10">
        <v>43906</v>
      </c>
      <c r="I6" s="10">
        <v>45367</v>
      </c>
      <c r="J6" s="9">
        <f>DATEDIF(H6,I6,"Y")</f>
        <v>4</v>
      </c>
      <c r="K6" s="10" t="s">
        <v>24</v>
      </c>
      <c r="L6" s="13">
        <v>24000</v>
      </c>
      <c r="M6" s="11">
        <f>L6/1.2</f>
        <v>20000</v>
      </c>
      <c r="N6" s="11">
        <f>IF(AND(J6&gt;=1,T_base_données_contrats[[#This Row],[Responsable]]="MMFA",OR(VLOOKUP(K6,T_source_facturation[],2,FALSE)&gt;1,VLOOKUP(K6,T_source_facturation[],2,FALSE)&lt;11)),((((M6*0.025)/T_base_données_contrats[[#This Row],[Durée en années]])/VLOOKUP(T_base_données_contrats[[#This Row],[Facturation]],T_source_facturation[],3,FALSE)))/2,((((M6*0.025)/T_base_données_contrats[[#This Row],[Durée en années]])/VLOOKUP(T_base_données_contrats[[#This Row],[Facturation]],T_source_facturation[],3,FALSE)))/3)</f>
        <v>41.666666666666664</v>
      </c>
      <c r="O6" s="10"/>
      <c r="P6" s="10"/>
      <c r="R6">
        <v>5</v>
      </c>
      <c r="S6">
        <f>S5+365</f>
        <v>1460</v>
      </c>
    </row>
    <row r="7" spans="1:23" x14ac:dyDescent="0.3">
      <c r="A7" s="9">
        <v>6</v>
      </c>
      <c r="B7" s="9" t="s">
        <v>9</v>
      </c>
      <c r="C7" s="9" t="s">
        <v>31</v>
      </c>
      <c r="D7" s="9" t="s">
        <v>19</v>
      </c>
      <c r="E7" s="9" t="s">
        <v>19</v>
      </c>
      <c r="F7" s="12" t="s">
        <v>20</v>
      </c>
      <c r="G7" s="9">
        <v>124</v>
      </c>
      <c r="H7" s="10">
        <v>43946</v>
      </c>
      <c r="I7" s="10">
        <v>44311</v>
      </c>
      <c r="J7" s="9">
        <f t="shared" ref="J7:J10" si="1">DATEDIF(H7,I7,"Y")</f>
        <v>1</v>
      </c>
      <c r="K7" s="10" t="s">
        <v>24</v>
      </c>
      <c r="L7" s="11">
        <v>18000</v>
      </c>
      <c r="M7" s="11">
        <f t="shared" ref="M7:M10" si="2">L7/1.2</f>
        <v>15000</v>
      </c>
      <c r="N7" s="11">
        <f>IF(AND(J7&gt;=1,T_base_données_contrats[[#This Row],[Responsable]]="MMFA",OR(VLOOKUP(K7,T_source_facturation[],2,FALSE)&gt;1,VLOOKUP(K7,T_source_facturation[],2,FALSE)&lt;11)),((((M7*0.025)/T_base_données_contrats[[#This Row],[Durée en années]])/VLOOKUP(T_base_données_contrats[[#This Row],[Facturation]],T_source_facturation[],3,FALSE)))/2,((((M7*0.025)/T_base_données_contrats[[#This Row],[Durée en années]])/VLOOKUP(T_base_données_contrats[[#This Row],[Facturation]],T_source_facturation[],3,FALSE)))/3)</f>
        <v>187.5</v>
      </c>
      <c r="O7" s="10"/>
      <c r="P7" s="10"/>
    </row>
    <row r="8" spans="1:23" x14ac:dyDescent="0.3">
      <c r="A8" s="9">
        <v>7</v>
      </c>
      <c r="B8" s="9" t="s">
        <v>9</v>
      </c>
      <c r="C8" s="9" t="s">
        <v>28</v>
      </c>
      <c r="D8" s="9" t="s">
        <v>19</v>
      </c>
      <c r="E8" s="9" t="s">
        <v>19</v>
      </c>
      <c r="F8" s="12" t="s">
        <v>20</v>
      </c>
      <c r="G8" s="9">
        <v>543</v>
      </c>
      <c r="H8" s="10">
        <v>43997</v>
      </c>
      <c r="I8" s="10">
        <v>45092</v>
      </c>
      <c r="J8" s="9">
        <f t="shared" si="1"/>
        <v>3</v>
      </c>
      <c r="K8" s="10" t="s">
        <v>27</v>
      </c>
      <c r="L8" s="11">
        <v>5500</v>
      </c>
      <c r="M8" s="11">
        <f t="shared" si="2"/>
        <v>4583.3333333333339</v>
      </c>
      <c r="N8" s="11">
        <f>IF(AND(J8&gt;=1,T_base_données_contrats[[#This Row],[Responsable]]="MMFA",OR(VLOOKUP(K8,T_source_facturation[],2,FALSE)&gt;1,VLOOKUP(K8,T_source_facturation[],2,FALSE)&lt;11)),((((M8*0.025)/T_base_données_contrats[[#This Row],[Durée en années]])/VLOOKUP(T_base_données_contrats[[#This Row],[Facturation]],T_source_facturation[],3,FALSE)))/2,((((M8*0.025)/T_base_données_contrats[[#This Row],[Durée en années]])/VLOOKUP(T_base_données_contrats[[#This Row],[Facturation]],T_source_facturation[],3,FALSE)))/3)</f>
        <v>19.097222222222225</v>
      </c>
      <c r="O8" s="10"/>
      <c r="P8" s="10"/>
    </row>
    <row r="9" spans="1:23" x14ac:dyDescent="0.3">
      <c r="A9" s="9">
        <v>8</v>
      </c>
      <c r="B9" s="9" t="s">
        <v>9</v>
      </c>
      <c r="C9" s="9" t="s">
        <v>30</v>
      </c>
      <c r="D9" s="9" t="s">
        <v>19</v>
      </c>
      <c r="E9" s="9" t="s">
        <v>19</v>
      </c>
      <c r="F9" s="12" t="s">
        <v>20</v>
      </c>
      <c r="G9" s="9">
        <v>765</v>
      </c>
      <c r="H9" s="10">
        <v>44028</v>
      </c>
      <c r="I9" s="10">
        <v>45854</v>
      </c>
      <c r="J9" s="9">
        <f t="shared" si="1"/>
        <v>5</v>
      </c>
      <c r="K9" s="10" t="s">
        <v>26</v>
      </c>
      <c r="L9" s="11">
        <v>8500</v>
      </c>
      <c r="M9" s="11">
        <f t="shared" si="2"/>
        <v>7083.3333333333339</v>
      </c>
      <c r="N9" s="11">
        <f>IF(AND(J9&gt;=1,T_base_données_contrats[[#This Row],[Responsable]]="MMFA",OR(VLOOKUP(K9,T_source_facturation[],2,FALSE)&gt;1,VLOOKUP(K9,T_source_facturation[],2,FALSE)&lt;11)),((((M9*0.025)/T_base_données_contrats[[#This Row],[Durée en années]])/VLOOKUP(T_base_données_contrats[[#This Row],[Facturation]],T_source_facturation[],3,FALSE)))/2,((((M9*0.025)/T_base_données_contrats[[#This Row],[Durée en années]])/VLOOKUP(T_base_données_contrats[[#This Row],[Facturation]],T_source_facturation[],3,FALSE)))/3)</f>
        <v>4.4270833333333339</v>
      </c>
      <c r="O9" s="10"/>
      <c r="P9" s="10"/>
      <c r="R9" t="s">
        <v>23</v>
      </c>
      <c r="S9" t="s">
        <v>32</v>
      </c>
      <c r="T9" t="s">
        <v>35</v>
      </c>
    </row>
    <row r="10" spans="1:23" x14ac:dyDescent="0.3">
      <c r="A10" s="9">
        <v>9</v>
      </c>
      <c r="B10" s="9" t="s">
        <v>9</v>
      </c>
      <c r="C10" s="9" t="s">
        <v>29</v>
      </c>
      <c r="D10" s="9" t="s">
        <v>19</v>
      </c>
      <c r="E10" s="9" t="s">
        <v>19</v>
      </c>
      <c r="F10" s="12" t="s">
        <v>20</v>
      </c>
      <c r="G10" s="9">
        <v>432</v>
      </c>
      <c r="H10" s="10">
        <v>44036</v>
      </c>
      <c r="I10" s="10">
        <v>45131</v>
      </c>
      <c r="J10" s="9">
        <f t="shared" si="1"/>
        <v>3</v>
      </c>
      <c r="K10" s="10" t="s">
        <v>25</v>
      </c>
      <c r="L10" s="11">
        <v>24000</v>
      </c>
      <c r="M10" s="11">
        <f t="shared" si="2"/>
        <v>20000</v>
      </c>
      <c r="N10" s="11">
        <f>IF(AND(J10&gt;=1,T_base_données_contrats[[#This Row],[Responsable]]="MMFA",OR(VLOOKUP(K10,T_source_facturation[],2,FALSE)&gt;1,VLOOKUP(K10,T_source_facturation[],2,FALSE)&lt;11)),((((M10*0.025)/T_base_données_contrats[[#This Row],[Durée en années]])/VLOOKUP(T_base_données_contrats[[#This Row],[Facturation]],T_source_facturation[],3,FALSE)))/2,((((M10*0.025)/T_base_données_contrats[[#This Row],[Durée en années]])/VLOOKUP(T_base_données_contrats[[#This Row],[Facturation]],T_source_facturation[],3,FALSE)))/3)</f>
        <v>41.666666666666664</v>
      </c>
      <c r="O10" s="10"/>
      <c r="P10" s="10"/>
      <c r="R10" t="s">
        <v>24</v>
      </c>
      <c r="S10" s="9">
        <v>0</v>
      </c>
      <c r="T10">
        <v>1</v>
      </c>
    </row>
    <row r="11" spans="1:23" x14ac:dyDescent="0.3">
      <c r="A11" s="9">
        <v>10</v>
      </c>
      <c r="B11" s="9" t="s">
        <v>9</v>
      </c>
      <c r="C11" s="9" t="s">
        <v>39</v>
      </c>
      <c r="D11" s="9" t="s">
        <v>19</v>
      </c>
      <c r="E11" s="9" t="s">
        <v>19</v>
      </c>
      <c r="F11" s="9" t="s">
        <v>19</v>
      </c>
      <c r="G11" s="9" t="s">
        <v>19</v>
      </c>
      <c r="H11" s="10">
        <v>44105</v>
      </c>
      <c r="I11" s="10">
        <v>44835</v>
      </c>
      <c r="J11" s="9">
        <f>DATEDIF(H11,I11,"Y")</f>
        <v>2</v>
      </c>
      <c r="K11" s="10" t="s">
        <v>25</v>
      </c>
      <c r="L11" s="13">
        <v>15000</v>
      </c>
      <c r="M11" s="11">
        <f>L11/1.2</f>
        <v>12500</v>
      </c>
      <c r="N11" s="11">
        <f>IF(AND(J11&gt;=1,T_base_données_contrats[[#This Row],[Responsable]]="MMFA",OR(VLOOKUP(K11,T_source_facturation[],2,FALSE)&gt;1,VLOOKUP(K11,T_source_facturation[],2,FALSE)&lt;11)),((((M11*0.025)/T_base_données_contrats[[#This Row],[Durée en années]])/VLOOKUP(T_base_données_contrats[[#This Row],[Facturation]],T_source_facturation[],3,FALSE)))/2,((((M11*0.025)/T_base_données_contrats[[#This Row],[Durée en années]])/VLOOKUP(T_base_données_contrats[[#This Row],[Facturation]],T_source_facturation[],3,FALSE)))/3)</f>
        <v>39.0625</v>
      </c>
      <c r="R11" t="s">
        <v>25</v>
      </c>
      <c r="S11" s="9">
        <v>6</v>
      </c>
      <c r="T11">
        <v>2</v>
      </c>
    </row>
    <row r="12" spans="1:23" x14ac:dyDescent="0.3">
      <c r="R12" t="s">
        <v>26</v>
      </c>
      <c r="S12" s="9">
        <v>3</v>
      </c>
      <c r="T12">
        <v>4</v>
      </c>
    </row>
    <row r="13" spans="1:23" x14ac:dyDescent="0.3">
      <c r="R13" t="s">
        <v>27</v>
      </c>
      <c r="S13" s="9">
        <v>12</v>
      </c>
      <c r="T13">
        <v>1</v>
      </c>
    </row>
  </sheetData>
  <phoneticPr fontId="3" type="noConversion"/>
  <dataValidations count="1">
    <dataValidation type="list" allowBlank="1" showInputMessage="1" showErrorMessage="1" sqref="K2:K11" xr:uid="{00000000-0002-0000-0000-000000000000}">
      <formula1>$R$10:$R$13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grouperFacturations">
                <anchor moveWithCells="1" sizeWithCells="1">
                  <from>
                    <xdr:col>6</xdr:col>
                    <xdr:colOff>830580</xdr:colOff>
                    <xdr:row>14</xdr:row>
                    <xdr:rowOff>106680</xdr:rowOff>
                  </from>
                  <to>
                    <xdr:col>8</xdr:col>
                    <xdr:colOff>251460</xdr:colOff>
                    <xdr:row>17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B2:AA11"/>
  <sheetViews>
    <sheetView workbookViewId="0"/>
  </sheetViews>
  <sheetFormatPr baseColWidth="10" defaultRowHeight="15.6" x14ac:dyDescent="0.3"/>
  <cols>
    <col min="2" max="13" width="15.796875" customWidth="1"/>
    <col min="22" max="23" width="33" bestFit="1" customWidth="1"/>
    <col min="24" max="24" width="22" bestFit="1" customWidth="1"/>
    <col min="27" max="27" width="20.19921875" bestFit="1" customWidth="1"/>
    <col min="28" max="28" width="19.796875" bestFit="1" customWidth="1"/>
    <col min="29" max="29" width="15.5" bestFit="1" customWidth="1"/>
  </cols>
  <sheetData>
    <row r="2" spans="2:27" x14ac:dyDescent="0.3">
      <c r="Y2" t="s">
        <v>13</v>
      </c>
      <c r="AA2" s="4" t="s">
        <v>12</v>
      </c>
    </row>
    <row r="3" spans="2:27" x14ac:dyDescent="0.3">
      <c r="Y3">
        <v>2020</v>
      </c>
      <c r="AA3" s="5">
        <v>1</v>
      </c>
    </row>
    <row r="4" spans="2:27" x14ac:dyDescent="0.3">
      <c r="Y4">
        <v>2021</v>
      </c>
      <c r="AA4" s="5">
        <v>2</v>
      </c>
    </row>
    <row r="5" spans="2:27" x14ac:dyDescent="0.3">
      <c r="Y5">
        <v>2022</v>
      </c>
      <c r="AA5" s="5">
        <v>3</v>
      </c>
    </row>
    <row r="6" spans="2:27" x14ac:dyDescent="0.3">
      <c r="Y6">
        <v>2023</v>
      </c>
      <c r="AA6" s="5">
        <v>4</v>
      </c>
    </row>
    <row r="7" spans="2:27" ht="21" x14ac:dyDescent="0.3">
      <c r="B7" s="8" t="s">
        <v>13</v>
      </c>
      <c r="C7" cm="1">
        <f t="array" ref="C7">INDEX(Liste_années[Année],D7,1)</f>
        <v>2020</v>
      </c>
      <c r="D7">
        <v>1</v>
      </c>
      <c r="Y7">
        <v>2024</v>
      </c>
      <c r="AA7" s="5">
        <v>5</v>
      </c>
    </row>
    <row r="8" spans="2:27" x14ac:dyDescent="0.3">
      <c r="AA8" s="5">
        <v>6</v>
      </c>
    </row>
    <row r="9" spans="2:27" x14ac:dyDescent="0.3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AA9" s="5">
        <v>7</v>
      </c>
    </row>
    <row r="10" spans="2:27" x14ac:dyDescent="0.3">
      <c r="AA10" s="5">
        <v>8</v>
      </c>
    </row>
    <row r="11" spans="2:27" ht="21" x14ac:dyDescent="0.3">
      <c r="B11" s="7" t="str">
        <f>TEXT(DATE($C$7,1,1),"mmmm")</f>
        <v>janvier</v>
      </c>
      <c r="C11" s="7" t="str">
        <f>TEXT(DATE($C$7,2,1),"mmmm")</f>
        <v>février</v>
      </c>
      <c r="D11" s="7" t="str">
        <f>TEXT(DATE($C$7,3,1),"mmmm")</f>
        <v>mars</v>
      </c>
      <c r="E11" s="7" t="str">
        <f>TEXT(DATE($C$7,4,1),"mmmm")</f>
        <v>avril</v>
      </c>
      <c r="F11" s="7" t="str">
        <f>TEXT(DATE($C$7,5,1),"mmmm")</f>
        <v>mai</v>
      </c>
      <c r="G11" s="7" t="str">
        <f>TEXT(DATE($C$7,6,1),"mmmm")</f>
        <v>juin</v>
      </c>
      <c r="H11" s="7" t="str">
        <f>TEXT(DATE($C$7,7,1),"mmmm")</f>
        <v>juillet</v>
      </c>
      <c r="I11" s="7" t="str">
        <f>TEXT(DATE($C$7,8,1),"mmmm")</f>
        <v>août</v>
      </c>
      <c r="J11" s="7" t="str">
        <f>TEXT(DATE($C$7,9,1),"mmmm")</f>
        <v>septembre</v>
      </c>
      <c r="K11" s="7" t="str">
        <f>TEXT(DATE($C$7,10,1),"mmmm")</f>
        <v>octobre</v>
      </c>
      <c r="L11" s="7" t="str">
        <f>TEXT(DATE($C$7,11,1),"mmmm")</f>
        <v>novembre</v>
      </c>
      <c r="M11" s="7" t="str">
        <f>TEXT(DATE($C$7,12,1),"mmmm")</f>
        <v>décembre</v>
      </c>
      <c r="AA11" s="5">
        <v>9</v>
      </c>
    </row>
  </sheetData>
  <phoneticPr fontId="3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15240</xdr:colOff>
                    <xdr:row>6</xdr:row>
                    <xdr:rowOff>15240</xdr:rowOff>
                  </from>
                  <to>
                    <xdr:col>4</xdr:col>
                    <xdr:colOff>22860</xdr:colOff>
                    <xdr:row>7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/>
  <dimension ref="A1:F45"/>
  <sheetViews>
    <sheetView workbookViewId="0">
      <selection activeCell="E18" sqref="E18"/>
    </sheetView>
  </sheetViews>
  <sheetFormatPr baseColWidth="10" defaultRowHeight="15.6" x14ac:dyDescent="0.3"/>
  <cols>
    <col min="1" max="1" width="15.796875" customWidth="1"/>
    <col min="2" max="2" width="12.69921875" customWidth="1"/>
    <col min="3" max="3" width="25.09765625" customWidth="1"/>
    <col min="4" max="4" width="15.796875" customWidth="1"/>
    <col min="5" max="5" width="19.5" bestFit="1" customWidth="1"/>
    <col min="6" max="6" width="33.09765625" bestFit="1" customWidth="1"/>
    <col min="7" max="7" width="15.796875" customWidth="1"/>
    <col min="8" max="8" width="19.5" bestFit="1" customWidth="1"/>
    <col min="9" max="9" width="33.09765625" bestFit="1" customWidth="1"/>
    <col min="10" max="10" width="15.796875" customWidth="1"/>
    <col min="11" max="11" width="19.5" bestFit="1" customWidth="1"/>
    <col min="12" max="12" width="33.09765625" bestFit="1" customWidth="1"/>
    <col min="13" max="13" width="15.796875" customWidth="1"/>
    <col min="14" max="14" width="19.5" bestFit="1" customWidth="1"/>
    <col min="15" max="15" width="33.09765625" bestFit="1" customWidth="1"/>
    <col min="16" max="16" width="15.796875" customWidth="1"/>
    <col min="17" max="17" width="19.5" bestFit="1" customWidth="1"/>
    <col min="18" max="18" width="33.09765625" bestFit="1" customWidth="1"/>
    <col min="19" max="19" width="15.796875" customWidth="1"/>
    <col min="20" max="20" width="19.5" bestFit="1" customWidth="1"/>
    <col min="21" max="21" width="33.09765625" bestFit="1" customWidth="1"/>
    <col min="22" max="22" width="15.796875" customWidth="1"/>
    <col min="23" max="23" width="19.5" bestFit="1" customWidth="1"/>
    <col min="24" max="24" width="33.09765625" bestFit="1" customWidth="1"/>
    <col min="25" max="25" width="15.796875" customWidth="1"/>
    <col min="26" max="26" width="19.5" bestFit="1" customWidth="1"/>
    <col min="27" max="27" width="33.09765625" bestFit="1" customWidth="1"/>
    <col min="28" max="28" width="15.796875" customWidth="1"/>
    <col min="29" max="29" width="12.69921875" customWidth="1"/>
    <col min="30" max="30" width="25.09765625" customWidth="1"/>
    <col min="31" max="31" width="15.796875" customWidth="1"/>
    <col min="32" max="32" width="12.69921875" customWidth="1"/>
    <col min="33" max="33" width="25.09765625" customWidth="1"/>
    <col min="34" max="34" width="15.796875" customWidth="1"/>
    <col min="35" max="35" width="19.5" bestFit="1" customWidth="1"/>
    <col min="36" max="36" width="33.09765625" bestFit="1" customWidth="1"/>
    <col min="37" max="37" width="15.796875" customWidth="1"/>
    <col min="38" max="38" width="12.69921875" customWidth="1"/>
    <col min="39" max="39" width="25.09765625" customWidth="1"/>
    <col min="40" max="40" width="33.09765625" bestFit="1" customWidth="1"/>
    <col min="41" max="41" width="19.5" bestFit="1" customWidth="1"/>
    <col min="42" max="42" width="33.09765625" bestFit="1" customWidth="1"/>
  </cols>
  <sheetData>
    <row r="1" spans="1:6" x14ac:dyDescent="0.3">
      <c r="A1" t="s">
        <v>14</v>
      </c>
      <c r="B1" t="s">
        <v>38</v>
      </c>
      <c r="C1" t="s">
        <v>33</v>
      </c>
      <c r="E1" s="4" t="s">
        <v>36</v>
      </c>
      <c r="F1" s="14" t="s">
        <v>40</v>
      </c>
    </row>
    <row r="2" spans="1:6" x14ac:dyDescent="0.3">
      <c r="A2">
        <v>1</v>
      </c>
      <c r="B2" s="1">
        <v>43860</v>
      </c>
      <c r="C2" s="17">
        <v>88.54</v>
      </c>
    </row>
    <row r="3" spans="1:6" x14ac:dyDescent="0.3">
      <c r="A3">
        <v>2</v>
      </c>
      <c r="B3" s="1">
        <v>43858</v>
      </c>
      <c r="C3" s="17">
        <v>119.58</v>
      </c>
      <c r="E3" s="4" t="s">
        <v>12</v>
      </c>
      <c r="F3" t="s">
        <v>41</v>
      </c>
    </row>
    <row r="4" spans="1:6" x14ac:dyDescent="0.3">
      <c r="A4">
        <v>2</v>
      </c>
      <c r="B4" s="1">
        <v>44224</v>
      </c>
      <c r="C4" s="17">
        <v>119.58</v>
      </c>
      <c r="E4" s="15" t="s">
        <v>42</v>
      </c>
      <c r="F4" s="16">
        <v>301.87</v>
      </c>
    </row>
    <row r="5" spans="1:6" x14ac:dyDescent="0.3">
      <c r="A5">
        <v>3</v>
      </c>
      <c r="B5" s="1">
        <v>43853</v>
      </c>
      <c r="C5" s="17">
        <v>93.75</v>
      </c>
      <c r="E5" s="15" t="s">
        <v>43</v>
      </c>
      <c r="F5" s="16">
        <v>121.53</v>
      </c>
    </row>
    <row r="6" spans="1:6" x14ac:dyDescent="0.3">
      <c r="A6">
        <v>4</v>
      </c>
      <c r="B6" s="1">
        <v>43906</v>
      </c>
      <c r="C6" s="17">
        <v>79.86</v>
      </c>
      <c r="E6" s="15" t="s">
        <v>44</v>
      </c>
      <c r="F6" s="16">
        <v>187.5</v>
      </c>
    </row>
    <row r="7" spans="1:6" x14ac:dyDescent="0.3">
      <c r="A7">
        <v>4</v>
      </c>
      <c r="B7" s="1">
        <v>44271</v>
      </c>
      <c r="C7" s="17">
        <v>79.86</v>
      </c>
      <c r="E7" s="15" t="s">
        <v>45</v>
      </c>
      <c r="F7" s="16">
        <v>46.1</v>
      </c>
    </row>
    <row r="8" spans="1:6" x14ac:dyDescent="0.3">
      <c r="A8">
        <v>5</v>
      </c>
      <c r="B8" s="1">
        <v>43906</v>
      </c>
      <c r="C8" s="17">
        <v>41.67</v>
      </c>
      <c r="E8" s="15" t="s">
        <v>46</v>
      </c>
      <c r="F8" s="16">
        <v>43.49</v>
      </c>
    </row>
    <row r="9" spans="1:6" x14ac:dyDescent="0.3">
      <c r="A9">
        <v>5</v>
      </c>
      <c r="B9" s="1">
        <v>44271</v>
      </c>
      <c r="C9" s="17">
        <v>41.67</v>
      </c>
      <c r="E9" s="15" t="s">
        <v>47</v>
      </c>
      <c r="F9" s="16">
        <v>700.49</v>
      </c>
    </row>
    <row r="10" spans="1:6" x14ac:dyDescent="0.3">
      <c r="A10">
        <v>5</v>
      </c>
      <c r="B10" s="1">
        <v>44636</v>
      </c>
      <c r="C10" s="17">
        <v>41.67</v>
      </c>
    </row>
    <row r="11" spans="1:6" x14ac:dyDescent="0.3">
      <c r="A11">
        <v>5</v>
      </c>
      <c r="B11" s="1">
        <v>45001</v>
      </c>
      <c r="C11" s="17">
        <v>41.67</v>
      </c>
    </row>
    <row r="12" spans="1:6" x14ac:dyDescent="0.3">
      <c r="A12">
        <v>6</v>
      </c>
      <c r="B12" s="1">
        <v>43946</v>
      </c>
      <c r="C12" s="17">
        <v>187.5</v>
      </c>
    </row>
    <row r="13" spans="1:6" x14ac:dyDescent="0.3">
      <c r="A13">
        <v>7</v>
      </c>
      <c r="B13" s="1">
        <v>44362</v>
      </c>
      <c r="C13" s="17">
        <v>19.100000000000001</v>
      </c>
    </row>
    <row r="14" spans="1:6" x14ac:dyDescent="0.3">
      <c r="A14">
        <v>7</v>
      </c>
      <c r="B14" s="1">
        <v>44727</v>
      </c>
      <c r="C14" s="17">
        <v>19.100000000000001</v>
      </c>
    </row>
    <row r="15" spans="1:6" x14ac:dyDescent="0.3">
      <c r="A15">
        <v>7</v>
      </c>
      <c r="B15" s="1">
        <v>45092</v>
      </c>
      <c r="C15" s="17">
        <v>19.100000000000001</v>
      </c>
    </row>
    <row r="16" spans="1:6" x14ac:dyDescent="0.3">
      <c r="A16">
        <v>8</v>
      </c>
      <c r="B16" s="1">
        <v>44028</v>
      </c>
      <c r="C16" s="17">
        <v>4.43</v>
      </c>
    </row>
    <row r="17" spans="1:3" x14ac:dyDescent="0.3">
      <c r="A17">
        <v>8</v>
      </c>
      <c r="B17" s="1">
        <v>44120</v>
      </c>
      <c r="C17" s="17">
        <v>4.43</v>
      </c>
    </row>
    <row r="18" spans="1:3" x14ac:dyDescent="0.3">
      <c r="A18">
        <v>8</v>
      </c>
      <c r="B18" s="1">
        <v>44212</v>
      </c>
      <c r="C18" s="17">
        <v>4.43</v>
      </c>
    </row>
    <row r="19" spans="1:3" x14ac:dyDescent="0.3">
      <c r="A19">
        <v>8</v>
      </c>
      <c r="B19" s="1">
        <v>44302</v>
      </c>
      <c r="C19" s="17">
        <v>4.43</v>
      </c>
    </row>
    <row r="20" spans="1:3" x14ac:dyDescent="0.3">
      <c r="A20">
        <v>8</v>
      </c>
      <c r="B20" s="1">
        <v>44393</v>
      </c>
      <c r="C20" s="17">
        <v>4.43</v>
      </c>
    </row>
    <row r="21" spans="1:3" x14ac:dyDescent="0.3">
      <c r="A21">
        <v>8</v>
      </c>
      <c r="B21" s="1">
        <v>44485</v>
      </c>
      <c r="C21" s="17">
        <v>4.43</v>
      </c>
    </row>
    <row r="22" spans="1:3" x14ac:dyDescent="0.3">
      <c r="A22">
        <v>8</v>
      </c>
      <c r="B22" s="1">
        <v>44577</v>
      </c>
      <c r="C22" s="17">
        <v>4.43</v>
      </c>
    </row>
    <row r="23" spans="1:3" x14ac:dyDescent="0.3">
      <c r="A23">
        <v>8</v>
      </c>
      <c r="B23" s="1">
        <v>44667</v>
      </c>
      <c r="C23" s="17">
        <v>4.43</v>
      </c>
    </row>
    <row r="24" spans="1:3" x14ac:dyDescent="0.3">
      <c r="A24">
        <v>8</v>
      </c>
      <c r="B24" s="1">
        <v>44758</v>
      </c>
      <c r="C24" s="17">
        <v>4.43</v>
      </c>
    </row>
    <row r="25" spans="1:3" x14ac:dyDescent="0.3">
      <c r="A25">
        <v>8</v>
      </c>
      <c r="B25" s="1">
        <v>44850</v>
      </c>
      <c r="C25" s="17">
        <v>4.43</v>
      </c>
    </row>
    <row r="26" spans="1:3" x14ac:dyDescent="0.3">
      <c r="A26">
        <v>8</v>
      </c>
      <c r="B26" s="1">
        <v>44942</v>
      </c>
      <c r="C26" s="17">
        <v>4.43</v>
      </c>
    </row>
    <row r="27" spans="1:3" x14ac:dyDescent="0.3">
      <c r="A27">
        <v>8</v>
      </c>
      <c r="B27" s="1">
        <v>45032</v>
      </c>
      <c r="C27" s="17">
        <v>4.43</v>
      </c>
    </row>
    <row r="28" spans="1:3" x14ac:dyDescent="0.3">
      <c r="A28">
        <v>8</v>
      </c>
      <c r="B28" s="1">
        <v>45123</v>
      </c>
      <c r="C28" s="17">
        <v>4.43</v>
      </c>
    </row>
    <row r="29" spans="1:3" x14ac:dyDescent="0.3">
      <c r="A29">
        <v>8</v>
      </c>
      <c r="B29" s="1">
        <v>45215</v>
      </c>
      <c r="C29" s="17">
        <v>4.43</v>
      </c>
    </row>
    <row r="30" spans="1:3" x14ac:dyDescent="0.3">
      <c r="A30">
        <v>8</v>
      </c>
      <c r="B30" s="1">
        <v>45307</v>
      </c>
      <c r="C30" s="17">
        <v>4.43</v>
      </c>
    </row>
    <row r="31" spans="1:3" x14ac:dyDescent="0.3">
      <c r="A31">
        <v>8</v>
      </c>
      <c r="B31" s="1">
        <v>45398</v>
      </c>
      <c r="C31" s="17">
        <v>4.43</v>
      </c>
    </row>
    <row r="32" spans="1:3" x14ac:dyDescent="0.3">
      <c r="A32">
        <v>8</v>
      </c>
      <c r="B32" s="1">
        <v>45489</v>
      </c>
      <c r="C32" s="17">
        <v>4.43</v>
      </c>
    </row>
    <row r="33" spans="1:3" x14ac:dyDescent="0.3">
      <c r="A33">
        <v>8</v>
      </c>
      <c r="B33" s="1">
        <v>45581</v>
      </c>
      <c r="C33" s="17">
        <v>4.43</v>
      </c>
    </row>
    <row r="34" spans="1:3" x14ac:dyDescent="0.3">
      <c r="A34">
        <v>8</v>
      </c>
      <c r="B34" s="1">
        <v>45673</v>
      </c>
      <c r="C34" s="17">
        <v>4.43</v>
      </c>
    </row>
    <row r="35" spans="1:3" x14ac:dyDescent="0.3">
      <c r="A35">
        <v>8</v>
      </c>
      <c r="B35" s="1">
        <v>45763</v>
      </c>
      <c r="C35" s="17">
        <v>4.43</v>
      </c>
    </row>
    <row r="36" spans="1:3" x14ac:dyDescent="0.3">
      <c r="A36">
        <v>9</v>
      </c>
      <c r="B36" s="1">
        <v>44036</v>
      </c>
      <c r="C36" s="17">
        <v>41.67</v>
      </c>
    </row>
    <row r="37" spans="1:3" x14ac:dyDescent="0.3">
      <c r="A37">
        <v>9</v>
      </c>
      <c r="B37" s="1">
        <v>44220</v>
      </c>
      <c r="C37" s="17">
        <v>41.67</v>
      </c>
    </row>
    <row r="38" spans="1:3" x14ac:dyDescent="0.3">
      <c r="A38">
        <v>9</v>
      </c>
      <c r="B38" s="1">
        <v>44401</v>
      </c>
      <c r="C38" s="17">
        <v>41.67</v>
      </c>
    </row>
    <row r="39" spans="1:3" x14ac:dyDescent="0.3">
      <c r="A39">
        <v>9</v>
      </c>
      <c r="B39" s="1">
        <v>44585</v>
      </c>
      <c r="C39" s="17">
        <v>41.67</v>
      </c>
    </row>
    <row r="40" spans="1:3" x14ac:dyDescent="0.3">
      <c r="A40">
        <v>9</v>
      </c>
      <c r="B40" s="1">
        <v>44766</v>
      </c>
      <c r="C40" s="17">
        <v>41.67</v>
      </c>
    </row>
    <row r="41" spans="1:3" x14ac:dyDescent="0.3">
      <c r="A41">
        <v>9</v>
      </c>
      <c r="B41" s="1">
        <v>44950</v>
      </c>
      <c r="C41" s="17">
        <v>41.67</v>
      </c>
    </row>
    <row r="42" spans="1:3" x14ac:dyDescent="0.3">
      <c r="A42">
        <v>10</v>
      </c>
      <c r="B42" s="1">
        <v>44105</v>
      </c>
      <c r="C42" s="17">
        <v>39.06</v>
      </c>
    </row>
    <row r="43" spans="1:3" x14ac:dyDescent="0.3">
      <c r="A43">
        <v>10</v>
      </c>
      <c r="B43" s="1">
        <v>44287</v>
      </c>
      <c r="C43" s="17">
        <v>39.06</v>
      </c>
    </row>
    <row r="44" spans="1:3" x14ac:dyDescent="0.3">
      <c r="A44">
        <v>10</v>
      </c>
      <c r="B44" s="1">
        <v>44470</v>
      </c>
      <c r="C44" s="17">
        <v>39.06</v>
      </c>
    </row>
    <row r="45" spans="1:3" x14ac:dyDescent="0.3">
      <c r="A45">
        <v>10</v>
      </c>
      <c r="B45" s="1">
        <v>44652</v>
      </c>
      <c r="C45" s="17">
        <v>39.06</v>
      </c>
    </row>
  </sheetData>
  <pageMargins left="0.7" right="0.7" top="0.78740157499999996" bottom="0.78740157499999996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donnees contrats</vt:lpstr>
      <vt:lpstr>Récapitulatif des commissions</vt:lpstr>
      <vt:lpstr>Resultat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Jorissen Daniel</cp:lastModifiedBy>
  <dcterms:created xsi:type="dcterms:W3CDTF">2020-02-29T10:30:02Z</dcterms:created>
  <dcterms:modified xsi:type="dcterms:W3CDTF">2020-03-26T07:36:58Z</dcterms:modified>
</cp:coreProperties>
</file>