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35" windowWidth="18915" windowHeight="6615"/>
  </bookViews>
  <sheets>
    <sheet name="Newfacture" sheetId="6" r:id="rId1"/>
    <sheet name="Tarrif" sheetId="1" r:id="rId2"/>
    <sheet name="BDDprix" sheetId="9" r:id="rId3"/>
    <sheet name="BDD" sheetId="7" r:id="rId4"/>
    <sheet name="Taxi" sheetId="3" r:id="rId5"/>
    <sheet name="Bus" sheetId="4" r:id="rId6"/>
    <sheet name="excursion" sheetId="5" r:id="rId7"/>
    <sheet name="Data" sheetId="8" r:id="rId8"/>
    <sheet name="liste deroulamte" sheetId="10" r:id="rId9"/>
  </sheets>
  <calcPr calcId="145621"/>
</workbook>
</file>

<file path=xl/calcChain.xml><?xml version="1.0" encoding="utf-8"?>
<calcChain xmlns="http://schemas.openxmlformats.org/spreadsheetml/2006/main">
  <c r="AM73" i="6" l="1"/>
  <c r="AM72" i="6"/>
  <c r="AM71" i="6"/>
  <c r="AM70" i="6"/>
  <c r="AM69" i="6"/>
  <c r="AM68" i="6"/>
  <c r="AM67" i="6"/>
  <c r="AM66" i="6"/>
  <c r="AM65" i="6"/>
  <c r="AM64" i="6"/>
  <c r="AM63" i="6"/>
  <c r="AM62" i="6"/>
  <c r="AM61" i="6"/>
  <c r="AM60" i="6"/>
  <c r="AM59" i="6"/>
  <c r="AM58" i="6"/>
  <c r="AM57" i="6"/>
  <c r="AM29" i="6"/>
  <c r="AM28" i="6"/>
  <c r="AM27" i="6"/>
  <c r="AM26" i="6"/>
  <c r="AM25" i="6"/>
  <c r="AM24" i="6"/>
  <c r="AM23" i="6"/>
  <c r="AM22" i="6"/>
  <c r="AM21" i="6"/>
  <c r="AM20" i="6"/>
  <c r="AM19" i="6"/>
  <c r="AM18" i="6"/>
  <c r="AM17" i="6"/>
  <c r="AM16" i="6"/>
  <c r="AM15" i="6"/>
  <c r="AM14" i="6"/>
  <c r="AM13" i="6"/>
  <c r="AM12" i="6"/>
  <c r="L12" i="6"/>
  <c r="AJ10" i="6" l="1"/>
  <c r="J10" i="6" s="1"/>
  <c r="R12" i="6" s="1"/>
  <c r="AL73" i="6"/>
  <c r="L73" i="6" s="1"/>
  <c r="AL72" i="6"/>
  <c r="L72" i="6" s="1"/>
  <c r="AL71" i="6"/>
  <c r="L71" i="6" s="1"/>
  <c r="AL70" i="6"/>
  <c r="L70" i="6" s="1"/>
  <c r="AL69" i="6"/>
  <c r="L69" i="6" s="1"/>
  <c r="AL68" i="6"/>
  <c r="L68" i="6" s="1"/>
  <c r="AL67" i="6"/>
  <c r="L67" i="6" s="1"/>
  <c r="AL66" i="6"/>
  <c r="L66" i="6" s="1"/>
  <c r="AL65" i="6"/>
  <c r="L65" i="6" s="1"/>
  <c r="AL64" i="6"/>
  <c r="L64" i="6" s="1"/>
  <c r="AL63" i="6"/>
  <c r="L63" i="6" s="1"/>
  <c r="AL62" i="6"/>
  <c r="L62" i="6" s="1"/>
  <c r="R62" i="6" s="1"/>
  <c r="AL61" i="6"/>
  <c r="L61" i="6" s="1"/>
  <c r="AL60" i="6"/>
  <c r="L60" i="6" s="1"/>
  <c r="R60" i="6" s="1"/>
  <c r="AL59" i="6"/>
  <c r="L59" i="6" s="1"/>
  <c r="AL58" i="6"/>
  <c r="L58" i="6" s="1"/>
  <c r="R58" i="6" s="1"/>
  <c r="AL57" i="6"/>
  <c r="L57" i="6" s="1"/>
  <c r="AL29" i="6"/>
  <c r="L29" i="6" s="1"/>
  <c r="R29" i="6" s="1"/>
  <c r="AL28" i="6"/>
  <c r="L28" i="6" s="1"/>
  <c r="AL27" i="6"/>
  <c r="L27" i="6" s="1"/>
  <c r="R27" i="6" s="1"/>
  <c r="AL26" i="6"/>
  <c r="L26" i="6" s="1"/>
  <c r="AL25" i="6"/>
  <c r="L25" i="6" s="1"/>
  <c r="R25" i="6" s="1"/>
  <c r="AL24" i="6"/>
  <c r="L24" i="6" s="1"/>
  <c r="AL23" i="6"/>
  <c r="L23" i="6" s="1"/>
  <c r="R23" i="6" s="1"/>
  <c r="AL22" i="6"/>
  <c r="L22" i="6" s="1"/>
  <c r="AL21" i="6"/>
  <c r="L21" i="6" s="1"/>
  <c r="R21" i="6" s="1"/>
  <c r="AL20" i="6"/>
  <c r="AL19" i="6"/>
  <c r="L19" i="6" s="1"/>
  <c r="R19" i="6" s="1"/>
  <c r="AL18" i="6"/>
  <c r="L18" i="6" s="1"/>
  <c r="AL17" i="6"/>
  <c r="L17" i="6" s="1"/>
  <c r="R17" i="6" s="1"/>
  <c r="AL16" i="6"/>
  <c r="L16" i="6" s="1"/>
  <c r="AL15" i="6"/>
  <c r="L15" i="6" s="1"/>
  <c r="R15" i="6" s="1"/>
  <c r="AL14" i="6"/>
  <c r="L14" i="6" s="1"/>
  <c r="AL13" i="6"/>
  <c r="L13" i="6" s="1"/>
  <c r="R13" i="6" s="1"/>
  <c r="L20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AL12" i="6"/>
  <c r="AJ12" i="6"/>
  <c r="R64" i="6" l="1"/>
  <c r="R66" i="6"/>
  <c r="R68" i="6"/>
  <c r="R70" i="6"/>
  <c r="R72" i="6"/>
  <c r="R20" i="6"/>
  <c r="R14" i="6"/>
  <c r="R16" i="6"/>
  <c r="R18" i="6"/>
  <c r="R22" i="6"/>
  <c r="R24" i="6"/>
  <c r="R26" i="6"/>
  <c r="R28" i="6"/>
  <c r="R57" i="6"/>
  <c r="R59" i="6"/>
  <c r="R61" i="6"/>
  <c r="AP12" i="6"/>
  <c r="AQ12" i="6"/>
  <c r="CJ16" i="6"/>
  <c r="CH16" i="6"/>
  <c r="CF16" i="6"/>
  <c r="CD16" i="6"/>
  <c r="CB16" i="6"/>
  <c r="BZ16" i="6"/>
  <c r="BX16" i="6"/>
  <c r="BV16" i="6"/>
  <c r="BT16" i="6"/>
  <c r="BR16" i="6"/>
  <c r="BP16" i="6"/>
  <c r="BN16" i="6"/>
  <c r="BL16" i="6"/>
  <c r="BJ16" i="6"/>
  <c r="BH16" i="6"/>
  <c r="BF16" i="6"/>
  <c r="BD16" i="6"/>
  <c r="BB16" i="6"/>
  <c r="AZ16" i="6"/>
  <c r="AX16" i="6"/>
  <c r="AV16" i="6"/>
  <c r="AT16" i="6"/>
  <c r="AR16" i="6"/>
  <c r="AP16" i="6"/>
  <c r="AO16" i="6" s="1"/>
  <c r="CL16" i="6" s="1"/>
  <c r="AN16" i="6" s="1"/>
  <c r="N16" i="6" s="1"/>
  <c r="P16" i="6" s="1"/>
  <c r="CK16" i="6"/>
  <c r="CI16" i="6"/>
  <c r="CG16" i="6"/>
  <c r="CE16" i="6"/>
  <c r="CC16" i="6"/>
  <c r="CA16" i="6"/>
  <c r="BY16" i="6"/>
  <c r="BW16" i="6"/>
  <c r="BU16" i="6"/>
  <c r="BS16" i="6"/>
  <c r="BQ16" i="6"/>
  <c r="BO16" i="6"/>
  <c r="BM16" i="6"/>
  <c r="BK16" i="6"/>
  <c r="BI16" i="6"/>
  <c r="BG16" i="6"/>
  <c r="BE16" i="6"/>
  <c r="BC16" i="6"/>
  <c r="BA16" i="6"/>
  <c r="AY16" i="6"/>
  <c r="AW16" i="6"/>
  <c r="AU16" i="6"/>
  <c r="AS16" i="6"/>
  <c r="AQ16" i="6"/>
  <c r="CJ20" i="6"/>
  <c r="CH20" i="6"/>
  <c r="CF20" i="6"/>
  <c r="CD20" i="6"/>
  <c r="CB20" i="6"/>
  <c r="BZ20" i="6"/>
  <c r="BX20" i="6"/>
  <c r="BV20" i="6"/>
  <c r="BT20" i="6"/>
  <c r="BR20" i="6"/>
  <c r="BP20" i="6"/>
  <c r="BN20" i="6"/>
  <c r="BL20" i="6"/>
  <c r="BJ20" i="6"/>
  <c r="BH20" i="6"/>
  <c r="BF20" i="6"/>
  <c r="BD20" i="6"/>
  <c r="BB20" i="6"/>
  <c r="AZ20" i="6"/>
  <c r="AX20" i="6"/>
  <c r="AV20" i="6"/>
  <c r="AT20" i="6"/>
  <c r="AR20" i="6"/>
  <c r="AP20" i="6"/>
  <c r="AO20" i="6" s="1"/>
  <c r="CL20" i="6" s="1"/>
  <c r="AN20" i="6" s="1"/>
  <c r="N20" i="6" s="1"/>
  <c r="P20" i="6" s="1"/>
  <c r="CK20" i="6"/>
  <c r="CI20" i="6"/>
  <c r="CG20" i="6"/>
  <c r="CE20" i="6"/>
  <c r="CC20" i="6"/>
  <c r="CA20" i="6"/>
  <c r="BY20" i="6"/>
  <c r="BW20" i="6"/>
  <c r="BU20" i="6"/>
  <c r="BS20" i="6"/>
  <c r="BQ20" i="6"/>
  <c r="BO20" i="6"/>
  <c r="BM20" i="6"/>
  <c r="BK20" i="6"/>
  <c r="BI20" i="6"/>
  <c r="BG20" i="6"/>
  <c r="BE20" i="6"/>
  <c r="BC20" i="6"/>
  <c r="BA20" i="6"/>
  <c r="AY20" i="6"/>
  <c r="AW20" i="6"/>
  <c r="AU20" i="6"/>
  <c r="AS20" i="6"/>
  <c r="AQ20" i="6"/>
  <c r="CJ24" i="6"/>
  <c r="CH24" i="6"/>
  <c r="CF24" i="6"/>
  <c r="CD24" i="6"/>
  <c r="CB24" i="6"/>
  <c r="BZ24" i="6"/>
  <c r="BX24" i="6"/>
  <c r="BV24" i="6"/>
  <c r="BT24" i="6"/>
  <c r="BR24" i="6"/>
  <c r="BP24" i="6"/>
  <c r="BN24" i="6"/>
  <c r="BL24" i="6"/>
  <c r="BJ24" i="6"/>
  <c r="BH24" i="6"/>
  <c r="BF24" i="6"/>
  <c r="BD24" i="6"/>
  <c r="BB24" i="6"/>
  <c r="AZ24" i="6"/>
  <c r="AX24" i="6"/>
  <c r="AV24" i="6"/>
  <c r="AT24" i="6"/>
  <c r="AR24" i="6"/>
  <c r="AP24" i="6"/>
  <c r="AO24" i="6" s="1"/>
  <c r="CL24" i="6" s="1"/>
  <c r="AN24" i="6" s="1"/>
  <c r="N24" i="6" s="1"/>
  <c r="P24" i="6" s="1"/>
  <c r="CK24" i="6"/>
  <c r="CI24" i="6"/>
  <c r="CG24" i="6"/>
  <c r="CE24" i="6"/>
  <c r="CC24" i="6"/>
  <c r="CA24" i="6"/>
  <c r="BY24" i="6"/>
  <c r="BW24" i="6"/>
  <c r="BU24" i="6"/>
  <c r="BS24" i="6"/>
  <c r="BQ24" i="6"/>
  <c r="BO24" i="6"/>
  <c r="BM24" i="6"/>
  <c r="BK24" i="6"/>
  <c r="BI24" i="6"/>
  <c r="BG24" i="6"/>
  <c r="BE24" i="6"/>
  <c r="BC24" i="6"/>
  <c r="BA24" i="6"/>
  <c r="AY24" i="6"/>
  <c r="AW24" i="6"/>
  <c r="AU24" i="6"/>
  <c r="AS24" i="6"/>
  <c r="AQ24" i="6"/>
  <c r="CK28" i="6"/>
  <c r="CI28" i="6"/>
  <c r="CG28" i="6"/>
  <c r="CE28" i="6"/>
  <c r="CC28" i="6"/>
  <c r="CA28" i="6"/>
  <c r="BY28" i="6"/>
  <c r="BW28" i="6"/>
  <c r="BU28" i="6"/>
  <c r="BS28" i="6"/>
  <c r="BQ28" i="6"/>
  <c r="BO28" i="6"/>
  <c r="BM28" i="6"/>
  <c r="BK28" i="6"/>
  <c r="BI28" i="6"/>
  <c r="BG28" i="6"/>
  <c r="BE28" i="6"/>
  <c r="BC28" i="6"/>
  <c r="BA28" i="6"/>
  <c r="AY28" i="6"/>
  <c r="AW28" i="6"/>
  <c r="AU28" i="6"/>
  <c r="AS28" i="6"/>
  <c r="AQ28" i="6"/>
  <c r="CJ28" i="6"/>
  <c r="CH28" i="6"/>
  <c r="CF28" i="6"/>
  <c r="CD28" i="6"/>
  <c r="CB28" i="6"/>
  <c r="BZ28" i="6"/>
  <c r="BX28" i="6"/>
  <c r="BV28" i="6"/>
  <c r="BT28" i="6"/>
  <c r="BR28" i="6"/>
  <c r="BP28" i="6"/>
  <c r="BN28" i="6"/>
  <c r="BL28" i="6"/>
  <c r="BJ28" i="6"/>
  <c r="BH28" i="6"/>
  <c r="BF28" i="6"/>
  <c r="BD28" i="6"/>
  <c r="BB28" i="6"/>
  <c r="AZ28" i="6"/>
  <c r="AX28" i="6"/>
  <c r="AV28" i="6"/>
  <c r="AT28" i="6"/>
  <c r="AR28" i="6"/>
  <c r="AP28" i="6"/>
  <c r="AO28" i="6" s="1"/>
  <c r="CL28" i="6" s="1"/>
  <c r="AN28" i="6" s="1"/>
  <c r="N28" i="6" s="1"/>
  <c r="P28" i="6" s="1"/>
  <c r="CJ14" i="6"/>
  <c r="CH14" i="6"/>
  <c r="CF14" i="6"/>
  <c r="CD14" i="6"/>
  <c r="CB14" i="6"/>
  <c r="BZ14" i="6"/>
  <c r="BX14" i="6"/>
  <c r="BV14" i="6"/>
  <c r="BT14" i="6"/>
  <c r="BR14" i="6"/>
  <c r="BP14" i="6"/>
  <c r="BN14" i="6"/>
  <c r="BL14" i="6"/>
  <c r="BJ14" i="6"/>
  <c r="BH14" i="6"/>
  <c r="BF14" i="6"/>
  <c r="BD14" i="6"/>
  <c r="BB14" i="6"/>
  <c r="AZ14" i="6"/>
  <c r="AX14" i="6"/>
  <c r="AV14" i="6"/>
  <c r="AT14" i="6"/>
  <c r="AR14" i="6"/>
  <c r="AP14" i="6"/>
  <c r="CK14" i="6"/>
  <c r="CI14" i="6"/>
  <c r="CG14" i="6"/>
  <c r="CE14" i="6"/>
  <c r="CC14" i="6"/>
  <c r="CA14" i="6"/>
  <c r="BY14" i="6"/>
  <c r="BW14" i="6"/>
  <c r="BU14" i="6"/>
  <c r="BS14" i="6"/>
  <c r="BQ14" i="6"/>
  <c r="BO14" i="6"/>
  <c r="BM14" i="6"/>
  <c r="BK14" i="6"/>
  <c r="BI14" i="6"/>
  <c r="BG14" i="6"/>
  <c r="BE14" i="6"/>
  <c r="BC14" i="6"/>
  <c r="BA14" i="6"/>
  <c r="AY14" i="6"/>
  <c r="AW14" i="6"/>
  <c r="AU14" i="6"/>
  <c r="AS14" i="6"/>
  <c r="AQ14" i="6"/>
  <c r="CJ18" i="6"/>
  <c r="CH18" i="6"/>
  <c r="CF18" i="6"/>
  <c r="CD18" i="6"/>
  <c r="CB18" i="6"/>
  <c r="BZ18" i="6"/>
  <c r="BX18" i="6"/>
  <c r="BV18" i="6"/>
  <c r="BT18" i="6"/>
  <c r="BR18" i="6"/>
  <c r="BP18" i="6"/>
  <c r="BN18" i="6"/>
  <c r="BL18" i="6"/>
  <c r="BJ18" i="6"/>
  <c r="BH18" i="6"/>
  <c r="BF18" i="6"/>
  <c r="BD18" i="6"/>
  <c r="BB18" i="6"/>
  <c r="AZ18" i="6"/>
  <c r="AX18" i="6"/>
  <c r="AV18" i="6"/>
  <c r="AT18" i="6"/>
  <c r="AR18" i="6"/>
  <c r="AP18" i="6"/>
  <c r="AO18" i="6" s="1"/>
  <c r="CL18" i="6" s="1"/>
  <c r="AN18" i="6" s="1"/>
  <c r="N18" i="6" s="1"/>
  <c r="P18" i="6" s="1"/>
  <c r="CK18" i="6"/>
  <c r="CI18" i="6"/>
  <c r="CG18" i="6"/>
  <c r="CE18" i="6"/>
  <c r="CC18" i="6"/>
  <c r="CA18" i="6"/>
  <c r="BY18" i="6"/>
  <c r="BW18" i="6"/>
  <c r="BU18" i="6"/>
  <c r="BS18" i="6"/>
  <c r="BQ18" i="6"/>
  <c r="BO18" i="6"/>
  <c r="BM18" i="6"/>
  <c r="BK18" i="6"/>
  <c r="BI18" i="6"/>
  <c r="BG18" i="6"/>
  <c r="BE18" i="6"/>
  <c r="BC18" i="6"/>
  <c r="BA18" i="6"/>
  <c r="AY18" i="6"/>
  <c r="AW18" i="6"/>
  <c r="AU18" i="6"/>
  <c r="AS18" i="6"/>
  <c r="AQ18" i="6"/>
  <c r="CJ22" i="6"/>
  <c r="CK22" i="6"/>
  <c r="CI22" i="6"/>
  <c r="CH22" i="6"/>
  <c r="CF22" i="6"/>
  <c r="CD22" i="6"/>
  <c r="CB22" i="6"/>
  <c r="BZ22" i="6"/>
  <c r="BX22" i="6"/>
  <c r="BV22" i="6"/>
  <c r="BT22" i="6"/>
  <c r="BR22" i="6"/>
  <c r="BP22" i="6"/>
  <c r="BN22" i="6"/>
  <c r="BL22" i="6"/>
  <c r="BJ22" i="6"/>
  <c r="BH22" i="6"/>
  <c r="BF22" i="6"/>
  <c r="BD22" i="6"/>
  <c r="BB22" i="6"/>
  <c r="AZ22" i="6"/>
  <c r="AX22" i="6"/>
  <c r="AV22" i="6"/>
  <c r="AT22" i="6"/>
  <c r="AR22" i="6"/>
  <c r="AP22" i="6"/>
  <c r="CG22" i="6"/>
  <c r="CE22" i="6"/>
  <c r="CC22" i="6"/>
  <c r="CA22" i="6"/>
  <c r="BY22" i="6"/>
  <c r="BW22" i="6"/>
  <c r="BU22" i="6"/>
  <c r="BS22" i="6"/>
  <c r="BQ22" i="6"/>
  <c r="BO22" i="6"/>
  <c r="BM22" i="6"/>
  <c r="BK22" i="6"/>
  <c r="BI22" i="6"/>
  <c r="BG22" i="6"/>
  <c r="BE22" i="6"/>
  <c r="BC22" i="6"/>
  <c r="BA22" i="6"/>
  <c r="AY22" i="6"/>
  <c r="AW22" i="6"/>
  <c r="AU22" i="6"/>
  <c r="AS22" i="6"/>
  <c r="AQ22" i="6"/>
  <c r="CK26" i="6"/>
  <c r="CI26" i="6"/>
  <c r="CG26" i="6"/>
  <c r="CE26" i="6"/>
  <c r="CC26" i="6"/>
  <c r="CA26" i="6"/>
  <c r="BY26" i="6"/>
  <c r="BW26" i="6"/>
  <c r="BU26" i="6"/>
  <c r="BS26" i="6"/>
  <c r="BQ26" i="6"/>
  <c r="BO26" i="6"/>
  <c r="CJ26" i="6"/>
  <c r="CH26" i="6"/>
  <c r="CF26" i="6"/>
  <c r="CD26" i="6"/>
  <c r="CB26" i="6"/>
  <c r="BZ26" i="6"/>
  <c r="BX26" i="6"/>
  <c r="BV26" i="6"/>
  <c r="BT26" i="6"/>
  <c r="BR26" i="6"/>
  <c r="BP26" i="6"/>
  <c r="BN26" i="6"/>
  <c r="BL26" i="6"/>
  <c r="BM26" i="6"/>
  <c r="BJ26" i="6"/>
  <c r="BH26" i="6"/>
  <c r="BF26" i="6"/>
  <c r="BD26" i="6"/>
  <c r="BB26" i="6"/>
  <c r="AZ26" i="6"/>
  <c r="AX26" i="6"/>
  <c r="AV26" i="6"/>
  <c r="AT26" i="6"/>
  <c r="AR26" i="6"/>
  <c r="AP26" i="6"/>
  <c r="BK26" i="6"/>
  <c r="BI26" i="6"/>
  <c r="BG26" i="6"/>
  <c r="BE26" i="6"/>
  <c r="BC26" i="6"/>
  <c r="BA26" i="6"/>
  <c r="AY26" i="6"/>
  <c r="AW26" i="6"/>
  <c r="AU26" i="6"/>
  <c r="AS26" i="6"/>
  <c r="AQ26" i="6"/>
  <c r="CJ13" i="6"/>
  <c r="CH13" i="6"/>
  <c r="CF13" i="6"/>
  <c r="CD13" i="6"/>
  <c r="CB13" i="6"/>
  <c r="BZ13" i="6"/>
  <c r="BX13" i="6"/>
  <c r="BV13" i="6"/>
  <c r="BT13" i="6"/>
  <c r="BR13" i="6"/>
  <c r="BP13" i="6"/>
  <c r="BN13" i="6"/>
  <c r="BL13" i="6"/>
  <c r="BJ13" i="6"/>
  <c r="BH13" i="6"/>
  <c r="BF13" i="6"/>
  <c r="BD13" i="6"/>
  <c r="BB13" i="6"/>
  <c r="AZ13" i="6"/>
  <c r="AX13" i="6"/>
  <c r="AV13" i="6"/>
  <c r="AT13" i="6"/>
  <c r="AR13" i="6"/>
  <c r="AP13" i="6"/>
  <c r="CK13" i="6"/>
  <c r="CI13" i="6"/>
  <c r="CG13" i="6"/>
  <c r="CE13" i="6"/>
  <c r="CC13" i="6"/>
  <c r="CA13" i="6"/>
  <c r="BY13" i="6"/>
  <c r="BW13" i="6"/>
  <c r="BU13" i="6"/>
  <c r="BS13" i="6"/>
  <c r="BQ13" i="6"/>
  <c r="BO13" i="6"/>
  <c r="BM13" i="6"/>
  <c r="BK13" i="6"/>
  <c r="BI13" i="6"/>
  <c r="BG13" i="6"/>
  <c r="BE13" i="6"/>
  <c r="BC13" i="6"/>
  <c r="BA13" i="6"/>
  <c r="AY13" i="6"/>
  <c r="AW13" i="6"/>
  <c r="AU13" i="6"/>
  <c r="AS13" i="6"/>
  <c r="AQ13" i="6"/>
  <c r="CJ15" i="6"/>
  <c r="CH15" i="6"/>
  <c r="CF15" i="6"/>
  <c r="CK15" i="6"/>
  <c r="CI15" i="6"/>
  <c r="CG15" i="6"/>
  <c r="CE15" i="6"/>
  <c r="CD15" i="6"/>
  <c r="CB15" i="6"/>
  <c r="BZ15" i="6"/>
  <c r="BX15" i="6"/>
  <c r="BV15" i="6"/>
  <c r="BT15" i="6"/>
  <c r="BR15" i="6"/>
  <c r="BP15" i="6"/>
  <c r="BN15" i="6"/>
  <c r="BL15" i="6"/>
  <c r="BJ15" i="6"/>
  <c r="BH15" i="6"/>
  <c r="BF15" i="6"/>
  <c r="BD15" i="6"/>
  <c r="BB15" i="6"/>
  <c r="AZ15" i="6"/>
  <c r="AX15" i="6"/>
  <c r="AV15" i="6"/>
  <c r="AT15" i="6"/>
  <c r="AR15" i="6"/>
  <c r="AP15" i="6"/>
  <c r="AO15" i="6" s="1"/>
  <c r="CL15" i="6" s="1"/>
  <c r="AN15" i="6" s="1"/>
  <c r="N15" i="6" s="1"/>
  <c r="P15" i="6" s="1"/>
  <c r="CC15" i="6"/>
  <c r="CA15" i="6"/>
  <c r="BY15" i="6"/>
  <c r="BW15" i="6"/>
  <c r="BU15" i="6"/>
  <c r="BS15" i="6"/>
  <c r="BQ15" i="6"/>
  <c r="BO15" i="6"/>
  <c r="BM15" i="6"/>
  <c r="BK15" i="6"/>
  <c r="BI15" i="6"/>
  <c r="BG15" i="6"/>
  <c r="BE15" i="6"/>
  <c r="BC15" i="6"/>
  <c r="BA15" i="6"/>
  <c r="AY15" i="6"/>
  <c r="AW15" i="6"/>
  <c r="AU15" i="6"/>
  <c r="AS15" i="6"/>
  <c r="AQ15" i="6"/>
  <c r="CJ17" i="6"/>
  <c r="CH17" i="6"/>
  <c r="CF17" i="6"/>
  <c r="CD17" i="6"/>
  <c r="CB17" i="6"/>
  <c r="BZ17" i="6"/>
  <c r="BX17" i="6"/>
  <c r="BV17" i="6"/>
  <c r="BT17" i="6"/>
  <c r="BR17" i="6"/>
  <c r="BP17" i="6"/>
  <c r="BN17" i="6"/>
  <c r="BL17" i="6"/>
  <c r="BJ17" i="6"/>
  <c r="BH17" i="6"/>
  <c r="BF17" i="6"/>
  <c r="BD17" i="6"/>
  <c r="BB17" i="6"/>
  <c r="AZ17" i="6"/>
  <c r="AX17" i="6"/>
  <c r="AV17" i="6"/>
  <c r="AT17" i="6"/>
  <c r="AR17" i="6"/>
  <c r="AP17" i="6"/>
  <c r="AO17" i="6" s="1"/>
  <c r="CL17" i="6" s="1"/>
  <c r="AN17" i="6" s="1"/>
  <c r="N17" i="6" s="1"/>
  <c r="P17" i="6" s="1"/>
  <c r="CK17" i="6"/>
  <c r="CI17" i="6"/>
  <c r="CG17" i="6"/>
  <c r="CE17" i="6"/>
  <c r="CC17" i="6"/>
  <c r="CA17" i="6"/>
  <c r="BY17" i="6"/>
  <c r="BW17" i="6"/>
  <c r="BU17" i="6"/>
  <c r="BS17" i="6"/>
  <c r="BQ17" i="6"/>
  <c r="BO17" i="6"/>
  <c r="BM17" i="6"/>
  <c r="BK17" i="6"/>
  <c r="BI17" i="6"/>
  <c r="BG17" i="6"/>
  <c r="BE17" i="6"/>
  <c r="BC17" i="6"/>
  <c r="BA17" i="6"/>
  <c r="AY17" i="6"/>
  <c r="AW17" i="6"/>
  <c r="AU17" i="6"/>
  <c r="AS17" i="6"/>
  <c r="AQ17" i="6"/>
  <c r="CJ19" i="6"/>
  <c r="CH19" i="6"/>
  <c r="CF19" i="6"/>
  <c r="CD19" i="6"/>
  <c r="CB19" i="6"/>
  <c r="BZ19" i="6"/>
  <c r="BX19" i="6"/>
  <c r="BV19" i="6"/>
  <c r="BT19" i="6"/>
  <c r="BR19" i="6"/>
  <c r="BP19" i="6"/>
  <c r="BN19" i="6"/>
  <c r="BL19" i="6"/>
  <c r="BJ19" i="6"/>
  <c r="BH19" i="6"/>
  <c r="BF19" i="6"/>
  <c r="BD19" i="6"/>
  <c r="BB19" i="6"/>
  <c r="AZ19" i="6"/>
  <c r="AX19" i="6"/>
  <c r="AV19" i="6"/>
  <c r="AT19" i="6"/>
  <c r="AR19" i="6"/>
  <c r="AP19" i="6"/>
  <c r="AO19" i="6" s="1"/>
  <c r="CL19" i="6" s="1"/>
  <c r="AN19" i="6" s="1"/>
  <c r="N19" i="6" s="1"/>
  <c r="P19" i="6" s="1"/>
  <c r="CK19" i="6"/>
  <c r="CI19" i="6"/>
  <c r="CG19" i="6"/>
  <c r="CE19" i="6"/>
  <c r="CC19" i="6"/>
  <c r="CA19" i="6"/>
  <c r="BY19" i="6"/>
  <c r="BW19" i="6"/>
  <c r="BU19" i="6"/>
  <c r="BS19" i="6"/>
  <c r="BQ19" i="6"/>
  <c r="BO19" i="6"/>
  <c r="BM19" i="6"/>
  <c r="BK19" i="6"/>
  <c r="BI19" i="6"/>
  <c r="BG19" i="6"/>
  <c r="BE19" i="6"/>
  <c r="BC19" i="6"/>
  <c r="BA19" i="6"/>
  <c r="AY19" i="6"/>
  <c r="AW19" i="6"/>
  <c r="AU19" i="6"/>
  <c r="AS19" i="6"/>
  <c r="AQ19" i="6"/>
  <c r="CJ21" i="6"/>
  <c r="CH21" i="6"/>
  <c r="CF21" i="6"/>
  <c r="CD21" i="6"/>
  <c r="CB21" i="6"/>
  <c r="BZ21" i="6"/>
  <c r="BX21" i="6"/>
  <c r="BV21" i="6"/>
  <c r="BT21" i="6"/>
  <c r="BR21" i="6"/>
  <c r="BP21" i="6"/>
  <c r="BN21" i="6"/>
  <c r="BL21" i="6"/>
  <c r="BJ21" i="6"/>
  <c r="BH21" i="6"/>
  <c r="BF21" i="6"/>
  <c r="BD21" i="6"/>
  <c r="BB21" i="6"/>
  <c r="AZ21" i="6"/>
  <c r="AX21" i="6"/>
  <c r="AV21" i="6"/>
  <c r="AT21" i="6"/>
  <c r="AR21" i="6"/>
  <c r="AP21" i="6"/>
  <c r="CK21" i="6"/>
  <c r="CI21" i="6"/>
  <c r="CG21" i="6"/>
  <c r="CE21" i="6"/>
  <c r="CC21" i="6"/>
  <c r="CA21" i="6"/>
  <c r="BY21" i="6"/>
  <c r="BW21" i="6"/>
  <c r="BU21" i="6"/>
  <c r="BS21" i="6"/>
  <c r="BQ21" i="6"/>
  <c r="BO21" i="6"/>
  <c r="BM21" i="6"/>
  <c r="BK21" i="6"/>
  <c r="BI21" i="6"/>
  <c r="BG21" i="6"/>
  <c r="BE21" i="6"/>
  <c r="BC21" i="6"/>
  <c r="BA21" i="6"/>
  <c r="AY21" i="6"/>
  <c r="AW21" i="6"/>
  <c r="AU21" i="6"/>
  <c r="AS21" i="6"/>
  <c r="AQ21" i="6"/>
  <c r="CJ23" i="6"/>
  <c r="CH23" i="6"/>
  <c r="CF23" i="6"/>
  <c r="CD23" i="6"/>
  <c r="CB23" i="6"/>
  <c r="BZ23" i="6"/>
  <c r="BX23" i="6"/>
  <c r="BV23" i="6"/>
  <c r="BT23" i="6"/>
  <c r="BR23" i="6"/>
  <c r="BP23" i="6"/>
  <c r="BN23" i="6"/>
  <c r="BL23" i="6"/>
  <c r="BJ23" i="6"/>
  <c r="BH23" i="6"/>
  <c r="BF23" i="6"/>
  <c r="BD23" i="6"/>
  <c r="BB23" i="6"/>
  <c r="AZ23" i="6"/>
  <c r="AX23" i="6"/>
  <c r="AV23" i="6"/>
  <c r="AT23" i="6"/>
  <c r="AR23" i="6"/>
  <c r="AP23" i="6"/>
  <c r="AO23" i="6" s="1"/>
  <c r="CL23" i="6" s="1"/>
  <c r="AN23" i="6" s="1"/>
  <c r="N23" i="6" s="1"/>
  <c r="P23" i="6" s="1"/>
  <c r="CK23" i="6"/>
  <c r="CI23" i="6"/>
  <c r="CG23" i="6"/>
  <c r="CE23" i="6"/>
  <c r="CC23" i="6"/>
  <c r="CA23" i="6"/>
  <c r="BY23" i="6"/>
  <c r="BW23" i="6"/>
  <c r="BU23" i="6"/>
  <c r="BS23" i="6"/>
  <c r="BQ23" i="6"/>
  <c r="BO23" i="6"/>
  <c r="BM23" i="6"/>
  <c r="BK23" i="6"/>
  <c r="BI23" i="6"/>
  <c r="BG23" i="6"/>
  <c r="BE23" i="6"/>
  <c r="BC23" i="6"/>
  <c r="BA23" i="6"/>
  <c r="AY23" i="6"/>
  <c r="AW23" i="6"/>
  <c r="AU23" i="6"/>
  <c r="AS23" i="6"/>
  <c r="AQ23" i="6"/>
  <c r="CJ25" i="6"/>
  <c r="CH25" i="6"/>
  <c r="CF25" i="6"/>
  <c r="CD25" i="6"/>
  <c r="CB25" i="6"/>
  <c r="BZ25" i="6"/>
  <c r="BX25" i="6"/>
  <c r="BV25" i="6"/>
  <c r="BT25" i="6"/>
  <c r="BR25" i="6"/>
  <c r="BP25" i="6"/>
  <c r="BN25" i="6"/>
  <c r="BL25" i="6"/>
  <c r="BJ25" i="6"/>
  <c r="BH25" i="6"/>
  <c r="BF25" i="6"/>
  <c r="BD25" i="6"/>
  <c r="BB25" i="6"/>
  <c r="AZ25" i="6"/>
  <c r="AX25" i="6"/>
  <c r="AV25" i="6"/>
  <c r="AT25" i="6"/>
  <c r="AR25" i="6"/>
  <c r="AP25" i="6"/>
  <c r="AO25" i="6" s="1"/>
  <c r="CL25" i="6" s="1"/>
  <c r="AN25" i="6" s="1"/>
  <c r="N25" i="6" s="1"/>
  <c r="P25" i="6" s="1"/>
  <c r="CK25" i="6"/>
  <c r="CI25" i="6"/>
  <c r="CG25" i="6"/>
  <c r="CE25" i="6"/>
  <c r="CC25" i="6"/>
  <c r="CA25" i="6"/>
  <c r="BY25" i="6"/>
  <c r="BW25" i="6"/>
  <c r="BU25" i="6"/>
  <c r="BS25" i="6"/>
  <c r="BQ25" i="6"/>
  <c r="BO25" i="6"/>
  <c r="BM25" i="6"/>
  <c r="BK25" i="6"/>
  <c r="BI25" i="6"/>
  <c r="BG25" i="6"/>
  <c r="BE25" i="6"/>
  <c r="BC25" i="6"/>
  <c r="BA25" i="6"/>
  <c r="AY25" i="6"/>
  <c r="AW25" i="6"/>
  <c r="AU25" i="6"/>
  <c r="AS25" i="6"/>
  <c r="AQ25" i="6"/>
  <c r="CK27" i="6"/>
  <c r="CI27" i="6"/>
  <c r="CG27" i="6"/>
  <c r="CE27" i="6"/>
  <c r="CC27" i="6"/>
  <c r="CA27" i="6"/>
  <c r="BY27" i="6"/>
  <c r="BW27" i="6"/>
  <c r="BU27" i="6"/>
  <c r="BS27" i="6"/>
  <c r="BQ27" i="6"/>
  <c r="BO27" i="6"/>
  <c r="BM27" i="6"/>
  <c r="BK27" i="6"/>
  <c r="BI27" i="6"/>
  <c r="BG27" i="6"/>
  <c r="BE27" i="6"/>
  <c r="BC27" i="6"/>
  <c r="BA27" i="6"/>
  <c r="AY27" i="6"/>
  <c r="AW27" i="6"/>
  <c r="AU27" i="6"/>
  <c r="AS27" i="6"/>
  <c r="AQ27" i="6"/>
  <c r="CJ27" i="6"/>
  <c r="CH27" i="6"/>
  <c r="CF27" i="6"/>
  <c r="CD27" i="6"/>
  <c r="CB27" i="6"/>
  <c r="BZ27" i="6"/>
  <c r="BX27" i="6"/>
  <c r="BV27" i="6"/>
  <c r="BT27" i="6"/>
  <c r="BR27" i="6"/>
  <c r="BP27" i="6"/>
  <c r="BN27" i="6"/>
  <c r="BL27" i="6"/>
  <c r="BJ27" i="6"/>
  <c r="BH27" i="6"/>
  <c r="BF27" i="6"/>
  <c r="BD27" i="6"/>
  <c r="BB27" i="6"/>
  <c r="AZ27" i="6"/>
  <c r="AX27" i="6"/>
  <c r="AV27" i="6"/>
  <c r="AT27" i="6"/>
  <c r="AR27" i="6"/>
  <c r="AP27" i="6"/>
  <c r="AO27" i="6" s="1"/>
  <c r="CL27" i="6" s="1"/>
  <c r="AN27" i="6" s="1"/>
  <c r="N27" i="6" s="1"/>
  <c r="P27" i="6" s="1"/>
  <c r="CK29" i="6"/>
  <c r="CI29" i="6"/>
  <c r="CG29" i="6"/>
  <c r="CE29" i="6"/>
  <c r="CC29" i="6"/>
  <c r="CA29" i="6"/>
  <c r="BY29" i="6"/>
  <c r="BW29" i="6"/>
  <c r="BU29" i="6"/>
  <c r="BS29" i="6"/>
  <c r="BQ29" i="6"/>
  <c r="BO29" i="6"/>
  <c r="BM29" i="6"/>
  <c r="BK29" i="6"/>
  <c r="BI29" i="6"/>
  <c r="BG29" i="6"/>
  <c r="BE29" i="6"/>
  <c r="BC29" i="6"/>
  <c r="BA29" i="6"/>
  <c r="AY29" i="6"/>
  <c r="AW29" i="6"/>
  <c r="AU29" i="6"/>
  <c r="AS29" i="6"/>
  <c r="AQ29" i="6"/>
  <c r="CJ29" i="6"/>
  <c r="CH29" i="6"/>
  <c r="CF29" i="6"/>
  <c r="CD29" i="6"/>
  <c r="CB29" i="6"/>
  <c r="BZ29" i="6"/>
  <c r="BX29" i="6"/>
  <c r="BV29" i="6"/>
  <c r="BT29" i="6"/>
  <c r="BR29" i="6"/>
  <c r="BP29" i="6"/>
  <c r="BN29" i="6"/>
  <c r="BL29" i="6"/>
  <c r="BJ29" i="6"/>
  <c r="BH29" i="6"/>
  <c r="BF29" i="6"/>
  <c r="BD29" i="6"/>
  <c r="BB29" i="6"/>
  <c r="AZ29" i="6"/>
  <c r="AX29" i="6"/>
  <c r="AV29" i="6"/>
  <c r="AT29" i="6"/>
  <c r="AR29" i="6"/>
  <c r="AP29" i="6"/>
  <c r="R63" i="6"/>
  <c r="R65" i="6"/>
  <c r="R67" i="6"/>
  <c r="R69" i="6"/>
  <c r="R71" i="6"/>
  <c r="R73" i="6"/>
  <c r="R36" i="6"/>
  <c r="R32" i="6"/>
  <c r="R30" i="6"/>
  <c r="AO29" i="6"/>
  <c r="CL29" i="6" s="1"/>
  <c r="AN29" i="6" s="1"/>
  <c r="N29" i="6" s="1"/>
  <c r="P29" i="6" s="1"/>
  <c r="AO21" i="6"/>
  <c r="CL21" i="6" s="1"/>
  <c r="AN21" i="6" s="1"/>
  <c r="N21" i="6" s="1"/>
  <c r="P21" i="6" s="1"/>
  <c r="AO13" i="6"/>
  <c r="CL13" i="6" s="1"/>
  <c r="AN13" i="6" s="1"/>
  <c r="N13" i="6" s="1"/>
  <c r="P13" i="6" s="1"/>
  <c r="R33" i="6"/>
  <c r="R31" i="6"/>
  <c r="AO26" i="6"/>
  <c r="CL26" i="6" s="1"/>
  <c r="AN26" i="6" s="1"/>
  <c r="N26" i="6" s="1"/>
  <c r="P26" i="6" s="1"/>
  <c r="AO22" i="6"/>
  <c r="CL22" i="6" s="1"/>
  <c r="AN22" i="6" s="1"/>
  <c r="N22" i="6" s="1"/>
  <c r="P22" i="6" s="1"/>
  <c r="AO14" i="6"/>
  <c r="CL14" i="6" s="1"/>
  <c r="AN14" i="6" s="1"/>
  <c r="N14" i="6" s="1"/>
  <c r="P14" i="6" s="1"/>
  <c r="CK58" i="6"/>
  <c r="CI58" i="6"/>
  <c r="CG58" i="6"/>
  <c r="CE58" i="6"/>
  <c r="CC58" i="6"/>
  <c r="CA58" i="6"/>
  <c r="BY58" i="6"/>
  <c r="BW58" i="6"/>
  <c r="BU58" i="6"/>
  <c r="BS58" i="6"/>
  <c r="BQ58" i="6"/>
  <c r="BO58" i="6"/>
  <c r="BM58" i="6"/>
  <c r="BK58" i="6"/>
  <c r="BI58" i="6"/>
  <c r="BG58" i="6"/>
  <c r="BE58" i="6"/>
  <c r="BC58" i="6"/>
  <c r="BA58" i="6"/>
  <c r="AY58" i="6"/>
  <c r="AW58" i="6"/>
  <c r="AU58" i="6"/>
  <c r="AS58" i="6"/>
  <c r="AQ58" i="6"/>
  <c r="CJ58" i="6"/>
  <c r="CH58" i="6"/>
  <c r="CF58" i="6"/>
  <c r="CD58" i="6"/>
  <c r="CB58" i="6"/>
  <c r="BZ58" i="6"/>
  <c r="BX58" i="6"/>
  <c r="BV58" i="6"/>
  <c r="BT58" i="6"/>
  <c r="BR58" i="6"/>
  <c r="BP58" i="6"/>
  <c r="BN58" i="6"/>
  <c r="BL58" i="6"/>
  <c r="BJ58" i="6"/>
  <c r="BH58" i="6"/>
  <c r="BF58" i="6"/>
  <c r="BD58" i="6"/>
  <c r="BB58" i="6"/>
  <c r="AZ58" i="6"/>
  <c r="AX58" i="6"/>
  <c r="AV58" i="6"/>
  <c r="AT58" i="6"/>
  <c r="AR58" i="6"/>
  <c r="AP58" i="6"/>
  <c r="AO58" i="6" s="1"/>
  <c r="CL58" i="6" s="1"/>
  <c r="AN58" i="6" s="1"/>
  <c r="N58" i="6" s="1"/>
  <c r="P58" i="6" s="1"/>
  <c r="CK60" i="6"/>
  <c r="CI60" i="6"/>
  <c r="CG60" i="6"/>
  <c r="CE60" i="6"/>
  <c r="CC60" i="6"/>
  <c r="CA60" i="6"/>
  <c r="BY60" i="6"/>
  <c r="BW60" i="6"/>
  <c r="BU60" i="6"/>
  <c r="BS60" i="6"/>
  <c r="BQ60" i="6"/>
  <c r="BO60" i="6"/>
  <c r="BM60" i="6"/>
  <c r="BK60" i="6"/>
  <c r="BI60" i="6"/>
  <c r="BG60" i="6"/>
  <c r="BE60" i="6"/>
  <c r="BC60" i="6"/>
  <c r="BA60" i="6"/>
  <c r="AY60" i="6"/>
  <c r="AW60" i="6"/>
  <c r="AU60" i="6"/>
  <c r="AS60" i="6"/>
  <c r="AQ60" i="6"/>
  <c r="CJ60" i="6"/>
  <c r="CH60" i="6"/>
  <c r="CF60" i="6"/>
  <c r="CD60" i="6"/>
  <c r="CB60" i="6"/>
  <c r="BZ60" i="6"/>
  <c r="BX60" i="6"/>
  <c r="BV60" i="6"/>
  <c r="BT60" i="6"/>
  <c r="BR60" i="6"/>
  <c r="BP60" i="6"/>
  <c r="BN60" i="6"/>
  <c r="BL60" i="6"/>
  <c r="BJ60" i="6"/>
  <c r="BH60" i="6"/>
  <c r="BF60" i="6"/>
  <c r="BD60" i="6"/>
  <c r="BB60" i="6"/>
  <c r="AZ60" i="6"/>
  <c r="AX60" i="6"/>
  <c r="AV60" i="6"/>
  <c r="AT60" i="6"/>
  <c r="AR60" i="6"/>
  <c r="AP60" i="6"/>
  <c r="AO60" i="6" s="1"/>
  <c r="CL60" i="6" s="1"/>
  <c r="AN60" i="6" s="1"/>
  <c r="N60" i="6" s="1"/>
  <c r="P60" i="6" s="1"/>
  <c r="CJ62" i="6"/>
  <c r="CH62" i="6"/>
  <c r="CF62" i="6"/>
  <c r="CD62" i="6"/>
  <c r="CB62" i="6"/>
  <c r="BZ62" i="6"/>
  <c r="BX62" i="6"/>
  <c r="BV62" i="6"/>
  <c r="BT62" i="6"/>
  <c r="BR62" i="6"/>
  <c r="BP62" i="6"/>
  <c r="BN62" i="6"/>
  <c r="BL62" i="6"/>
  <c r="BJ62" i="6"/>
  <c r="BH62" i="6"/>
  <c r="BF62" i="6"/>
  <c r="BD62" i="6"/>
  <c r="BB62" i="6"/>
  <c r="AZ62" i="6"/>
  <c r="AX62" i="6"/>
  <c r="AV62" i="6"/>
  <c r="AT62" i="6"/>
  <c r="AR62" i="6"/>
  <c r="AP62" i="6"/>
  <c r="AO62" i="6" s="1"/>
  <c r="CL62" i="6" s="1"/>
  <c r="AN62" i="6" s="1"/>
  <c r="N62" i="6" s="1"/>
  <c r="P62" i="6" s="1"/>
  <c r="CI62" i="6"/>
  <c r="CE62" i="6"/>
  <c r="CA62" i="6"/>
  <c r="BW62" i="6"/>
  <c r="BS62" i="6"/>
  <c r="BO62" i="6"/>
  <c r="BK62" i="6"/>
  <c r="BG62" i="6"/>
  <c r="BC62" i="6"/>
  <c r="AY62" i="6"/>
  <c r="AU62" i="6"/>
  <c r="AQ62" i="6"/>
  <c r="CK62" i="6"/>
  <c r="CG62" i="6"/>
  <c r="CC62" i="6"/>
  <c r="BY62" i="6"/>
  <c r="BU62" i="6"/>
  <c r="BQ62" i="6"/>
  <c r="BM62" i="6"/>
  <c r="BI62" i="6"/>
  <c r="BE62" i="6"/>
  <c r="BA62" i="6"/>
  <c r="AW62" i="6"/>
  <c r="AS62" i="6"/>
  <c r="CJ64" i="6"/>
  <c r="CH64" i="6"/>
  <c r="CF64" i="6"/>
  <c r="CD64" i="6"/>
  <c r="CB64" i="6"/>
  <c r="BZ64" i="6"/>
  <c r="BX64" i="6"/>
  <c r="BV64" i="6"/>
  <c r="BT64" i="6"/>
  <c r="BR64" i="6"/>
  <c r="BP64" i="6"/>
  <c r="BN64" i="6"/>
  <c r="BL64" i="6"/>
  <c r="BJ64" i="6"/>
  <c r="BH64" i="6"/>
  <c r="BF64" i="6"/>
  <c r="BD64" i="6"/>
  <c r="BB64" i="6"/>
  <c r="AZ64" i="6"/>
  <c r="AX64" i="6"/>
  <c r="AV64" i="6"/>
  <c r="AT64" i="6"/>
  <c r="AR64" i="6"/>
  <c r="AP64" i="6"/>
  <c r="AO64" i="6" s="1"/>
  <c r="CL64" i="6" s="1"/>
  <c r="AN64" i="6" s="1"/>
  <c r="N64" i="6" s="1"/>
  <c r="P64" i="6" s="1"/>
  <c r="CK64" i="6"/>
  <c r="CI64" i="6"/>
  <c r="CG64" i="6"/>
  <c r="CE64" i="6"/>
  <c r="CC64" i="6"/>
  <c r="CA64" i="6"/>
  <c r="BY64" i="6"/>
  <c r="BW64" i="6"/>
  <c r="BU64" i="6"/>
  <c r="BS64" i="6"/>
  <c r="BO64" i="6"/>
  <c r="BK64" i="6"/>
  <c r="BG64" i="6"/>
  <c r="BC64" i="6"/>
  <c r="AY64" i="6"/>
  <c r="AU64" i="6"/>
  <c r="AQ64" i="6"/>
  <c r="BQ64" i="6"/>
  <c r="BM64" i="6"/>
  <c r="BI64" i="6"/>
  <c r="BE64" i="6"/>
  <c r="BA64" i="6"/>
  <c r="AW64" i="6"/>
  <c r="AS64" i="6"/>
  <c r="CJ66" i="6"/>
  <c r="CH66" i="6"/>
  <c r="CF66" i="6"/>
  <c r="CD66" i="6"/>
  <c r="CB66" i="6"/>
  <c r="BZ66" i="6"/>
  <c r="BX66" i="6"/>
  <c r="BV66" i="6"/>
  <c r="BT66" i="6"/>
  <c r="BR66" i="6"/>
  <c r="BP66" i="6"/>
  <c r="BN66" i="6"/>
  <c r="BL66" i="6"/>
  <c r="BJ66" i="6"/>
  <c r="BH66" i="6"/>
  <c r="BF66" i="6"/>
  <c r="BD66" i="6"/>
  <c r="BB66" i="6"/>
  <c r="AZ66" i="6"/>
  <c r="AX66" i="6"/>
  <c r="AV66" i="6"/>
  <c r="AT66" i="6"/>
  <c r="AR66" i="6"/>
  <c r="AP66" i="6"/>
  <c r="AO66" i="6" s="1"/>
  <c r="CL66" i="6" s="1"/>
  <c r="AN66" i="6" s="1"/>
  <c r="N66" i="6" s="1"/>
  <c r="P66" i="6" s="1"/>
  <c r="CK66" i="6"/>
  <c r="CI66" i="6"/>
  <c r="CG66" i="6"/>
  <c r="CE66" i="6"/>
  <c r="CC66" i="6"/>
  <c r="CA66" i="6"/>
  <c r="BY66" i="6"/>
  <c r="BW66" i="6"/>
  <c r="BU66" i="6"/>
  <c r="BS66" i="6"/>
  <c r="BQ66" i="6"/>
  <c r="BO66" i="6"/>
  <c r="BM66" i="6"/>
  <c r="BK66" i="6"/>
  <c r="BI66" i="6"/>
  <c r="BG66" i="6"/>
  <c r="BE66" i="6"/>
  <c r="BC66" i="6"/>
  <c r="BA66" i="6"/>
  <c r="AY66" i="6"/>
  <c r="AW66" i="6"/>
  <c r="AU66" i="6"/>
  <c r="AS66" i="6"/>
  <c r="AQ66" i="6"/>
  <c r="CJ68" i="6"/>
  <c r="CH68" i="6"/>
  <c r="CF68" i="6"/>
  <c r="CD68" i="6"/>
  <c r="CB68" i="6"/>
  <c r="BZ68" i="6"/>
  <c r="BX68" i="6"/>
  <c r="BV68" i="6"/>
  <c r="BT68" i="6"/>
  <c r="BR68" i="6"/>
  <c r="BP68" i="6"/>
  <c r="BN68" i="6"/>
  <c r="BL68" i="6"/>
  <c r="BJ68" i="6"/>
  <c r="BH68" i="6"/>
  <c r="BF68" i="6"/>
  <c r="BD68" i="6"/>
  <c r="BB68" i="6"/>
  <c r="AZ68" i="6"/>
  <c r="CK68" i="6"/>
  <c r="CI68" i="6"/>
  <c r="CG68" i="6"/>
  <c r="CE68" i="6"/>
  <c r="CC68" i="6"/>
  <c r="CA68" i="6"/>
  <c r="BY68" i="6"/>
  <c r="BW68" i="6"/>
  <c r="BU68" i="6"/>
  <c r="BS68" i="6"/>
  <c r="BQ68" i="6"/>
  <c r="BO68" i="6"/>
  <c r="BM68" i="6"/>
  <c r="BK68" i="6"/>
  <c r="BI68" i="6"/>
  <c r="BG68" i="6"/>
  <c r="BE68" i="6"/>
  <c r="BC68" i="6"/>
  <c r="BA68" i="6"/>
  <c r="AY68" i="6"/>
  <c r="AW68" i="6"/>
  <c r="AU68" i="6"/>
  <c r="AS68" i="6"/>
  <c r="AQ68" i="6"/>
  <c r="AX68" i="6"/>
  <c r="AT68" i="6"/>
  <c r="AP68" i="6"/>
  <c r="AO68" i="6" s="1"/>
  <c r="CL68" i="6" s="1"/>
  <c r="AN68" i="6" s="1"/>
  <c r="N68" i="6" s="1"/>
  <c r="P68" i="6" s="1"/>
  <c r="AV68" i="6"/>
  <c r="AR68" i="6"/>
  <c r="CJ70" i="6"/>
  <c r="CH70" i="6"/>
  <c r="CF70" i="6"/>
  <c r="CD70" i="6"/>
  <c r="CB70" i="6"/>
  <c r="BZ70" i="6"/>
  <c r="BX70" i="6"/>
  <c r="BV70" i="6"/>
  <c r="BT70" i="6"/>
  <c r="BR70" i="6"/>
  <c r="BP70" i="6"/>
  <c r="BN70" i="6"/>
  <c r="BL70" i="6"/>
  <c r="CK70" i="6"/>
  <c r="CG70" i="6"/>
  <c r="CC70" i="6"/>
  <c r="BY70" i="6"/>
  <c r="BU70" i="6"/>
  <c r="BQ70" i="6"/>
  <c r="BM70" i="6"/>
  <c r="BJ70" i="6"/>
  <c r="BH70" i="6"/>
  <c r="BF70" i="6"/>
  <c r="BD70" i="6"/>
  <c r="BB70" i="6"/>
  <c r="AZ70" i="6"/>
  <c r="AX70" i="6"/>
  <c r="AV70" i="6"/>
  <c r="AT70" i="6"/>
  <c r="AR70" i="6"/>
  <c r="AP70" i="6"/>
  <c r="AO70" i="6" s="1"/>
  <c r="CL70" i="6" s="1"/>
  <c r="AN70" i="6" s="1"/>
  <c r="N70" i="6" s="1"/>
  <c r="P70" i="6" s="1"/>
  <c r="CI70" i="6"/>
  <c r="CE70" i="6"/>
  <c r="CA70" i="6"/>
  <c r="BW70" i="6"/>
  <c r="BS70" i="6"/>
  <c r="BO70" i="6"/>
  <c r="BK70" i="6"/>
  <c r="BI70" i="6"/>
  <c r="BG70" i="6"/>
  <c r="BE70" i="6"/>
  <c r="BC70" i="6"/>
  <c r="BA70" i="6"/>
  <c r="AY70" i="6"/>
  <c r="AW70" i="6"/>
  <c r="AU70" i="6"/>
  <c r="AS70" i="6"/>
  <c r="AQ70" i="6"/>
  <c r="CJ72" i="6"/>
  <c r="CH72" i="6"/>
  <c r="CF72" i="6"/>
  <c r="CD72" i="6"/>
  <c r="CB72" i="6"/>
  <c r="BZ72" i="6"/>
  <c r="BX72" i="6"/>
  <c r="BV72" i="6"/>
  <c r="BT72" i="6"/>
  <c r="BR72" i="6"/>
  <c r="BP72" i="6"/>
  <c r="BN72" i="6"/>
  <c r="BL72" i="6"/>
  <c r="BJ72" i="6"/>
  <c r="BH72" i="6"/>
  <c r="BF72" i="6"/>
  <c r="BD72" i="6"/>
  <c r="BB72" i="6"/>
  <c r="AZ72" i="6"/>
  <c r="AX72" i="6"/>
  <c r="AV72" i="6"/>
  <c r="AT72" i="6"/>
  <c r="AR72" i="6"/>
  <c r="AP72" i="6"/>
  <c r="AO72" i="6" s="1"/>
  <c r="CL72" i="6" s="1"/>
  <c r="AN72" i="6" s="1"/>
  <c r="N72" i="6" s="1"/>
  <c r="P72" i="6" s="1"/>
  <c r="CK72" i="6"/>
  <c r="CG72" i="6"/>
  <c r="CC72" i="6"/>
  <c r="BY72" i="6"/>
  <c r="BU72" i="6"/>
  <c r="BQ72" i="6"/>
  <c r="BM72" i="6"/>
  <c r="BI72" i="6"/>
  <c r="BE72" i="6"/>
  <c r="BA72" i="6"/>
  <c r="AW72" i="6"/>
  <c r="AS72" i="6"/>
  <c r="CI72" i="6"/>
  <c r="CE72" i="6"/>
  <c r="CA72" i="6"/>
  <c r="BW72" i="6"/>
  <c r="BS72" i="6"/>
  <c r="BO72" i="6"/>
  <c r="BK72" i="6"/>
  <c r="BG72" i="6"/>
  <c r="BC72" i="6"/>
  <c r="AY72" i="6"/>
  <c r="AU72" i="6"/>
  <c r="AQ72" i="6"/>
  <c r="CK57" i="6"/>
  <c r="CI57" i="6"/>
  <c r="CG57" i="6"/>
  <c r="CE57" i="6"/>
  <c r="CC57" i="6"/>
  <c r="CA57" i="6"/>
  <c r="BY57" i="6"/>
  <c r="BW57" i="6"/>
  <c r="BU57" i="6"/>
  <c r="BS57" i="6"/>
  <c r="BQ57" i="6"/>
  <c r="BO57" i="6"/>
  <c r="BM57" i="6"/>
  <c r="BK57" i="6"/>
  <c r="BI57" i="6"/>
  <c r="BG57" i="6"/>
  <c r="BE57" i="6"/>
  <c r="BC57" i="6"/>
  <c r="BA57" i="6"/>
  <c r="AY57" i="6"/>
  <c r="AW57" i="6"/>
  <c r="AU57" i="6"/>
  <c r="AS57" i="6"/>
  <c r="AQ57" i="6"/>
  <c r="CJ57" i="6"/>
  <c r="CH57" i="6"/>
  <c r="CF57" i="6"/>
  <c r="CD57" i="6"/>
  <c r="CB57" i="6"/>
  <c r="BZ57" i="6"/>
  <c r="BX57" i="6"/>
  <c r="BV57" i="6"/>
  <c r="BT57" i="6"/>
  <c r="BR57" i="6"/>
  <c r="BP57" i="6"/>
  <c r="BN57" i="6"/>
  <c r="BL57" i="6"/>
  <c r="BJ57" i="6"/>
  <c r="BH57" i="6"/>
  <c r="BF57" i="6"/>
  <c r="BD57" i="6"/>
  <c r="BB57" i="6"/>
  <c r="AZ57" i="6"/>
  <c r="AX57" i="6"/>
  <c r="AV57" i="6"/>
  <c r="AT57" i="6"/>
  <c r="AR57" i="6"/>
  <c r="AP57" i="6"/>
  <c r="AO57" i="6" s="1"/>
  <c r="CL57" i="6" s="1"/>
  <c r="AN57" i="6" s="1"/>
  <c r="N57" i="6" s="1"/>
  <c r="P57" i="6" s="1"/>
  <c r="CK59" i="6"/>
  <c r="CI59" i="6"/>
  <c r="CG59" i="6"/>
  <c r="CE59" i="6"/>
  <c r="CC59" i="6"/>
  <c r="CA59" i="6"/>
  <c r="BY59" i="6"/>
  <c r="BW59" i="6"/>
  <c r="BU59" i="6"/>
  <c r="BS59" i="6"/>
  <c r="BQ59" i="6"/>
  <c r="BO59" i="6"/>
  <c r="BM59" i="6"/>
  <c r="BK59" i="6"/>
  <c r="BI59" i="6"/>
  <c r="BG59" i="6"/>
  <c r="BE59" i="6"/>
  <c r="BC59" i="6"/>
  <c r="BA59" i="6"/>
  <c r="AY59" i="6"/>
  <c r="AW59" i="6"/>
  <c r="AU59" i="6"/>
  <c r="AS59" i="6"/>
  <c r="AQ59" i="6"/>
  <c r="CJ59" i="6"/>
  <c r="CH59" i="6"/>
  <c r="CF59" i="6"/>
  <c r="CD59" i="6"/>
  <c r="CB59" i="6"/>
  <c r="BZ59" i="6"/>
  <c r="BX59" i="6"/>
  <c r="BV59" i="6"/>
  <c r="BT59" i="6"/>
  <c r="BR59" i="6"/>
  <c r="BP59" i="6"/>
  <c r="BN59" i="6"/>
  <c r="BL59" i="6"/>
  <c r="BJ59" i="6"/>
  <c r="BH59" i="6"/>
  <c r="BF59" i="6"/>
  <c r="BD59" i="6"/>
  <c r="BB59" i="6"/>
  <c r="AZ59" i="6"/>
  <c r="AX59" i="6"/>
  <c r="AV59" i="6"/>
  <c r="AT59" i="6"/>
  <c r="AR59" i="6"/>
  <c r="AP59" i="6"/>
  <c r="AO59" i="6" s="1"/>
  <c r="CL59" i="6" s="1"/>
  <c r="AN59" i="6" s="1"/>
  <c r="N59" i="6" s="1"/>
  <c r="P59" i="6" s="1"/>
  <c r="CJ61" i="6"/>
  <c r="CH61" i="6"/>
  <c r="CF61" i="6"/>
  <c r="CD61" i="6"/>
  <c r="CB61" i="6"/>
  <c r="BZ61" i="6"/>
  <c r="BX61" i="6"/>
  <c r="BV61" i="6"/>
  <c r="BT61" i="6"/>
  <c r="BR61" i="6"/>
  <c r="BP61" i="6"/>
  <c r="BN61" i="6"/>
  <c r="BL61" i="6"/>
  <c r="BJ61" i="6"/>
  <c r="BH61" i="6"/>
  <c r="BF61" i="6"/>
  <c r="BD61" i="6"/>
  <c r="BB61" i="6"/>
  <c r="AZ61" i="6"/>
  <c r="AX61" i="6"/>
  <c r="AV61" i="6"/>
  <c r="AT61" i="6"/>
  <c r="AR61" i="6"/>
  <c r="CI61" i="6"/>
  <c r="CE61" i="6"/>
  <c r="CA61" i="6"/>
  <c r="BW61" i="6"/>
  <c r="BS61" i="6"/>
  <c r="BO61" i="6"/>
  <c r="BK61" i="6"/>
  <c r="BG61" i="6"/>
  <c r="BC61" i="6"/>
  <c r="AY61" i="6"/>
  <c r="AU61" i="6"/>
  <c r="AQ61" i="6"/>
  <c r="CK61" i="6"/>
  <c r="CG61" i="6"/>
  <c r="CC61" i="6"/>
  <c r="BY61" i="6"/>
  <c r="BU61" i="6"/>
  <c r="BQ61" i="6"/>
  <c r="BM61" i="6"/>
  <c r="BI61" i="6"/>
  <c r="BE61" i="6"/>
  <c r="BA61" i="6"/>
  <c r="AW61" i="6"/>
  <c r="AS61" i="6"/>
  <c r="AP61" i="6"/>
  <c r="AO61" i="6" s="1"/>
  <c r="CL61" i="6" s="1"/>
  <c r="AN61" i="6" s="1"/>
  <c r="N61" i="6" s="1"/>
  <c r="P61" i="6" s="1"/>
  <c r="CJ63" i="6"/>
  <c r="CH63" i="6"/>
  <c r="CF63" i="6"/>
  <c r="CD63" i="6"/>
  <c r="CB63" i="6"/>
  <c r="BZ63" i="6"/>
  <c r="BX63" i="6"/>
  <c r="BV63" i="6"/>
  <c r="BT63" i="6"/>
  <c r="BR63" i="6"/>
  <c r="BP63" i="6"/>
  <c r="BN63" i="6"/>
  <c r="BL63" i="6"/>
  <c r="BJ63" i="6"/>
  <c r="BH63" i="6"/>
  <c r="BF63" i="6"/>
  <c r="BD63" i="6"/>
  <c r="BB63" i="6"/>
  <c r="AZ63" i="6"/>
  <c r="AX63" i="6"/>
  <c r="AV63" i="6"/>
  <c r="AT63" i="6"/>
  <c r="AR63" i="6"/>
  <c r="AP63" i="6"/>
  <c r="AO63" i="6" s="1"/>
  <c r="CL63" i="6" s="1"/>
  <c r="AN63" i="6" s="1"/>
  <c r="N63" i="6" s="1"/>
  <c r="P63" i="6" s="1"/>
  <c r="CI63" i="6"/>
  <c r="CE63" i="6"/>
  <c r="CA63" i="6"/>
  <c r="BW63" i="6"/>
  <c r="BS63" i="6"/>
  <c r="BO63" i="6"/>
  <c r="BK63" i="6"/>
  <c r="BG63" i="6"/>
  <c r="BC63" i="6"/>
  <c r="AY63" i="6"/>
  <c r="AU63" i="6"/>
  <c r="AQ63" i="6"/>
  <c r="CK63" i="6"/>
  <c r="CG63" i="6"/>
  <c r="CC63" i="6"/>
  <c r="BY63" i="6"/>
  <c r="BU63" i="6"/>
  <c r="BQ63" i="6"/>
  <c r="BM63" i="6"/>
  <c r="BI63" i="6"/>
  <c r="BE63" i="6"/>
  <c r="BA63" i="6"/>
  <c r="AW63" i="6"/>
  <c r="AS63" i="6"/>
  <c r="CJ65" i="6"/>
  <c r="CH65" i="6"/>
  <c r="CF65" i="6"/>
  <c r="CD65" i="6"/>
  <c r="CB65" i="6"/>
  <c r="BZ65" i="6"/>
  <c r="BX65" i="6"/>
  <c r="BV65" i="6"/>
  <c r="BT65" i="6"/>
  <c r="BR65" i="6"/>
  <c r="BP65" i="6"/>
  <c r="BN65" i="6"/>
  <c r="BL65" i="6"/>
  <c r="BJ65" i="6"/>
  <c r="BH65" i="6"/>
  <c r="BF65" i="6"/>
  <c r="BD65" i="6"/>
  <c r="BB65" i="6"/>
  <c r="AZ65" i="6"/>
  <c r="AX65" i="6"/>
  <c r="AV65" i="6"/>
  <c r="AT65" i="6"/>
  <c r="AR65" i="6"/>
  <c r="AP65" i="6"/>
  <c r="AO65" i="6" s="1"/>
  <c r="CL65" i="6" s="1"/>
  <c r="AN65" i="6" s="1"/>
  <c r="N65" i="6" s="1"/>
  <c r="P65" i="6" s="1"/>
  <c r="CK65" i="6"/>
  <c r="CI65" i="6"/>
  <c r="CG65" i="6"/>
  <c r="CE65" i="6"/>
  <c r="CC65" i="6"/>
  <c r="CA65" i="6"/>
  <c r="BY65" i="6"/>
  <c r="BW65" i="6"/>
  <c r="BU65" i="6"/>
  <c r="BS65" i="6"/>
  <c r="BQ65" i="6"/>
  <c r="BO65" i="6"/>
  <c r="BM65" i="6"/>
  <c r="BK65" i="6"/>
  <c r="BI65" i="6"/>
  <c r="BG65" i="6"/>
  <c r="BE65" i="6"/>
  <c r="BC65" i="6"/>
  <c r="BA65" i="6"/>
  <c r="AY65" i="6"/>
  <c r="AW65" i="6"/>
  <c r="AU65" i="6"/>
  <c r="AS65" i="6"/>
  <c r="AQ65" i="6"/>
  <c r="CJ67" i="6"/>
  <c r="CH67" i="6"/>
  <c r="CF67" i="6"/>
  <c r="CD67" i="6"/>
  <c r="CB67" i="6"/>
  <c r="BZ67" i="6"/>
  <c r="BX67" i="6"/>
  <c r="BV67" i="6"/>
  <c r="BT67" i="6"/>
  <c r="BR67" i="6"/>
  <c r="BP67" i="6"/>
  <c r="BN67" i="6"/>
  <c r="BL67" i="6"/>
  <c r="BJ67" i="6"/>
  <c r="BH67" i="6"/>
  <c r="BF67" i="6"/>
  <c r="BD67" i="6"/>
  <c r="BB67" i="6"/>
  <c r="AZ67" i="6"/>
  <c r="AX67" i="6"/>
  <c r="AV67" i="6"/>
  <c r="AT67" i="6"/>
  <c r="AR67" i="6"/>
  <c r="AP67" i="6"/>
  <c r="AO67" i="6" s="1"/>
  <c r="CL67" i="6" s="1"/>
  <c r="AN67" i="6" s="1"/>
  <c r="N67" i="6" s="1"/>
  <c r="P67" i="6" s="1"/>
  <c r="CK67" i="6"/>
  <c r="CI67" i="6"/>
  <c r="CG67" i="6"/>
  <c r="CE67" i="6"/>
  <c r="CC67" i="6"/>
  <c r="CA67" i="6"/>
  <c r="BY67" i="6"/>
  <c r="BW67" i="6"/>
  <c r="BU67" i="6"/>
  <c r="BS67" i="6"/>
  <c r="BQ67" i="6"/>
  <c r="BO67" i="6"/>
  <c r="BM67" i="6"/>
  <c r="BK67" i="6"/>
  <c r="BI67" i="6"/>
  <c r="BG67" i="6"/>
  <c r="BE67" i="6"/>
  <c r="BC67" i="6"/>
  <c r="BA67" i="6"/>
  <c r="AY67" i="6"/>
  <c r="AW67" i="6"/>
  <c r="AU67" i="6"/>
  <c r="AS67" i="6"/>
  <c r="AQ67" i="6"/>
  <c r="CJ69" i="6"/>
  <c r="CH69" i="6"/>
  <c r="CF69" i="6"/>
  <c r="CD69" i="6"/>
  <c r="CB69" i="6"/>
  <c r="BZ69" i="6"/>
  <c r="BX69" i="6"/>
  <c r="BV69" i="6"/>
  <c r="BT69" i="6"/>
  <c r="BR69" i="6"/>
  <c r="BP69" i="6"/>
  <c r="BN69" i="6"/>
  <c r="BL69" i="6"/>
  <c r="BJ69" i="6"/>
  <c r="BH69" i="6"/>
  <c r="BF69" i="6"/>
  <c r="BD69" i="6"/>
  <c r="BB69" i="6"/>
  <c r="AZ69" i="6"/>
  <c r="AX69" i="6"/>
  <c r="AV69" i="6"/>
  <c r="AT69" i="6"/>
  <c r="AR69" i="6"/>
  <c r="AP69" i="6"/>
  <c r="AO69" i="6" s="1"/>
  <c r="CL69" i="6" s="1"/>
  <c r="AN69" i="6" s="1"/>
  <c r="N69" i="6" s="1"/>
  <c r="P69" i="6" s="1"/>
  <c r="CK69" i="6"/>
  <c r="CI69" i="6"/>
  <c r="CG69" i="6"/>
  <c r="CE69" i="6"/>
  <c r="CC69" i="6"/>
  <c r="CA69" i="6"/>
  <c r="BY69" i="6"/>
  <c r="BW69" i="6"/>
  <c r="BU69" i="6"/>
  <c r="BS69" i="6"/>
  <c r="BQ69" i="6"/>
  <c r="BO69" i="6"/>
  <c r="BM69" i="6"/>
  <c r="BK69" i="6"/>
  <c r="BI69" i="6"/>
  <c r="BG69" i="6"/>
  <c r="BE69" i="6"/>
  <c r="BC69" i="6"/>
  <c r="BA69" i="6"/>
  <c r="AY69" i="6"/>
  <c r="AW69" i="6"/>
  <c r="AU69" i="6"/>
  <c r="AS69" i="6"/>
  <c r="AQ69" i="6"/>
  <c r="CJ71" i="6"/>
  <c r="CH71" i="6"/>
  <c r="CF71" i="6"/>
  <c r="CD71" i="6"/>
  <c r="CB71" i="6"/>
  <c r="BZ71" i="6"/>
  <c r="BX71" i="6"/>
  <c r="BV71" i="6"/>
  <c r="BT71" i="6"/>
  <c r="BR71" i="6"/>
  <c r="BP71" i="6"/>
  <c r="BN71" i="6"/>
  <c r="BL71" i="6"/>
  <c r="BJ71" i="6"/>
  <c r="BH71" i="6"/>
  <c r="BF71" i="6"/>
  <c r="BD71" i="6"/>
  <c r="BB71" i="6"/>
  <c r="AZ71" i="6"/>
  <c r="AX71" i="6"/>
  <c r="AV71" i="6"/>
  <c r="AT71" i="6"/>
  <c r="AR71" i="6"/>
  <c r="AP71" i="6"/>
  <c r="AO71" i="6" s="1"/>
  <c r="CL71" i="6" s="1"/>
  <c r="AN71" i="6" s="1"/>
  <c r="N71" i="6" s="1"/>
  <c r="P71" i="6" s="1"/>
  <c r="CK71" i="6"/>
  <c r="CG71" i="6"/>
  <c r="CC71" i="6"/>
  <c r="BY71" i="6"/>
  <c r="BU71" i="6"/>
  <c r="BQ71" i="6"/>
  <c r="BM71" i="6"/>
  <c r="BI71" i="6"/>
  <c r="BE71" i="6"/>
  <c r="BA71" i="6"/>
  <c r="AW71" i="6"/>
  <c r="AS71" i="6"/>
  <c r="CI71" i="6"/>
  <c r="CE71" i="6"/>
  <c r="CA71" i="6"/>
  <c r="BW71" i="6"/>
  <c r="BS71" i="6"/>
  <c r="BO71" i="6"/>
  <c r="BK71" i="6"/>
  <c r="BG71" i="6"/>
  <c r="BC71" i="6"/>
  <c r="AY71" i="6"/>
  <c r="AU71" i="6"/>
  <c r="AQ71" i="6"/>
  <c r="CK73" i="6"/>
  <c r="CI73" i="6"/>
  <c r="CG73" i="6"/>
  <c r="CE73" i="6"/>
  <c r="CC73" i="6"/>
  <c r="CA73" i="6"/>
  <c r="BY73" i="6"/>
  <c r="BW73" i="6"/>
  <c r="BU73" i="6"/>
  <c r="BS73" i="6"/>
  <c r="BQ73" i="6"/>
  <c r="BO73" i="6"/>
  <c r="BM73" i="6"/>
  <c r="BK73" i="6"/>
  <c r="BI73" i="6"/>
  <c r="BG73" i="6"/>
  <c r="BE73" i="6"/>
  <c r="BC73" i="6"/>
  <c r="BA73" i="6"/>
  <c r="AY73" i="6"/>
  <c r="AW73" i="6"/>
  <c r="AU73" i="6"/>
  <c r="AS73" i="6"/>
  <c r="AQ73" i="6"/>
  <c r="CJ73" i="6"/>
  <c r="CH73" i="6"/>
  <c r="CF73" i="6"/>
  <c r="CD73" i="6"/>
  <c r="CB73" i="6"/>
  <c r="BZ73" i="6"/>
  <c r="BX73" i="6"/>
  <c r="BV73" i="6"/>
  <c r="BT73" i="6"/>
  <c r="BR73" i="6"/>
  <c r="BP73" i="6"/>
  <c r="BN73" i="6"/>
  <c r="BL73" i="6"/>
  <c r="BJ73" i="6"/>
  <c r="BH73" i="6"/>
  <c r="BF73" i="6"/>
  <c r="BD73" i="6"/>
  <c r="BB73" i="6"/>
  <c r="AZ73" i="6"/>
  <c r="AX73" i="6"/>
  <c r="AV73" i="6"/>
  <c r="AT73" i="6"/>
  <c r="AR73" i="6"/>
  <c r="AP73" i="6"/>
  <c r="AO73" i="6" s="1"/>
  <c r="CL73" i="6" s="1"/>
  <c r="AN73" i="6" s="1"/>
  <c r="N73" i="6" s="1"/>
  <c r="P73" i="6" s="1"/>
  <c r="BM12" i="6"/>
  <c r="BC12" i="6"/>
  <c r="BW12" i="6"/>
  <c r="BH12" i="6"/>
  <c r="CB12" i="6"/>
  <c r="CG12" i="6"/>
  <c r="BB12" i="6"/>
  <c r="AZ12" i="6"/>
  <c r="AX12" i="6"/>
  <c r="AV12" i="6"/>
  <c r="AT12" i="6"/>
  <c r="AR12" i="6"/>
  <c r="BA12" i="6"/>
  <c r="AY12" i="6"/>
  <c r="AW12" i="6"/>
  <c r="AU12" i="6"/>
  <c r="AS12" i="6"/>
  <c r="AK73" i="6"/>
  <c r="J73" i="6" s="1"/>
  <c r="AK72" i="6"/>
  <c r="J72" i="6" s="1"/>
  <c r="AK71" i="6"/>
  <c r="J71" i="6" s="1"/>
  <c r="Q71" i="6" s="1"/>
  <c r="AK70" i="6"/>
  <c r="J70" i="6" s="1"/>
  <c r="Q70" i="6" s="1"/>
  <c r="AK69" i="6"/>
  <c r="J69" i="6" s="1"/>
  <c r="Q69" i="6" s="1"/>
  <c r="AK68" i="6"/>
  <c r="J68" i="6" s="1"/>
  <c r="AK67" i="6"/>
  <c r="J67" i="6" s="1"/>
  <c r="Q67" i="6" s="1"/>
  <c r="AK66" i="6"/>
  <c r="AK65" i="6"/>
  <c r="J65" i="6" s="1"/>
  <c r="Q65" i="6" s="1"/>
  <c r="AK64" i="6"/>
  <c r="J64" i="6" s="1"/>
  <c r="AK63" i="6"/>
  <c r="J63" i="6" s="1"/>
  <c r="Q63" i="6" s="1"/>
  <c r="AK62" i="6"/>
  <c r="J62" i="6" s="1"/>
  <c r="AK61" i="6"/>
  <c r="J61" i="6" s="1"/>
  <c r="Q61" i="6" s="1"/>
  <c r="AK60" i="6"/>
  <c r="J60" i="6" s="1"/>
  <c r="AK59" i="6"/>
  <c r="J59" i="6" s="1"/>
  <c r="Q59" i="6" s="1"/>
  <c r="AK58" i="6"/>
  <c r="J58" i="6" s="1"/>
  <c r="AK57" i="6"/>
  <c r="J57" i="6" s="1"/>
  <c r="Q57" i="6" s="1"/>
  <c r="AK29" i="6"/>
  <c r="J29" i="6" s="1"/>
  <c r="AK28" i="6"/>
  <c r="J28" i="6" s="1"/>
  <c r="AK27" i="6"/>
  <c r="J27" i="6" s="1"/>
  <c r="AK26" i="6"/>
  <c r="J26" i="6" s="1"/>
  <c r="AK25" i="6"/>
  <c r="J25" i="6" s="1"/>
  <c r="AK24" i="6"/>
  <c r="J24" i="6" s="1"/>
  <c r="AK23" i="6"/>
  <c r="J23" i="6" s="1"/>
  <c r="AK22" i="6"/>
  <c r="J22" i="6" s="1"/>
  <c r="Q22" i="6" s="1"/>
  <c r="AK21" i="6"/>
  <c r="J21" i="6" s="1"/>
  <c r="AK20" i="6"/>
  <c r="J20" i="6" s="1"/>
  <c r="AK19" i="6"/>
  <c r="AK18" i="6"/>
  <c r="AK17" i="6"/>
  <c r="J17" i="6" s="1"/>
  <c r="AK16" i="6"/>
  <c r="AK15" i="6"/>
  <c r="J15" i="6" s="1"/>
  <c r="AK14" i="6"/>
  <c r="J14" i="6" s="1"/>
  <c r="Q14" i="6" s="1"/>
  <c r="AK13" i="6"/>
  <c r="J13" i="6" s="1"/>
  <c r="AK12" i="6"/>
  <c r="J12" i="6" s="1"/>
  <c r="A2" i="10"/>
  <c r="J66" i="6"/>
  <c r="Q66" i="6" s="1"/>
  <c r="J19" i="6"/>
  <c r="J18" i="6"/>
  <c r="J16" i="6"/>
  <c r="AJ72" i="6"/>
  <c r="AJ73" i="6"/>
  <c r="AJ71" i="6"/>
  <c r="AJ70" i="6"/>
  <c r="AJ69" i="6"/>
  <c r="AJ68" i="6"/>
  <c r="A32" i="10"/>
  <c r="AJ67" i="6"/>
  <c r="AJ66" i="6"/>
  <c r="AJ65" i="6"/>
  <c r="AJ64" i="6"/>
  <c r="A27" i="10" s="1"/>
  <c r="AJ63" i="6"/>
  <c r="AJ62" i="6"/>
  <c r="AJ61" i="6"/>
  <c r="AJ60" i="6"/>
  <c r="AJ59" i="6"/>
  <c r="AJ58" i="6"/>
  <c r="AJ57" i="6"/>
  <c r="A33" i="10"/>
  <c r="AJ29" i="6"/>
  <c r="AJ28" i="6"/>
  <c r="AJ27" i="6"/>
  <c r="AJ26" i="6"/>
  <c r="AJ25" i="6"/>
  <c r="AJ24" i="6"/>
  <c r="AJ23" i="6"/>
  <c r="AJ22" i="6"/>
  <c r="AJ21" i="6"/>
  <c r="AJ20" i="6"/>
  <c r="AJ19" i="6"/>
  <c r="AJ18" i="6"/>
  <c r="AJ17" i="6"/>
  <c r="AJ16" i="6"/>
  <c r="AJ15" i="6"/>
  <c r="AJ14" i="6"/>
  <c r="AJ13" i="6"/>
  <c r="A3" i="10" s="1"/>
  <c r="A9" i="10"/>
  <c r="AC29" i="6"/>
  <c r="AD29" i="6" s="1"/>
  <c r="AE29" i="6" s="1"/>
  <c r="E56" i="6" s="1"/>
  <c r="A73" i="6"/>
  <c r="B73" i="6" s="1"/>
  <c r="A72" i="6"/>
  <c r="B72" i="6" s="1"/>
  <c r="A71" i="6"/>
  <c r="B71" i="6" s="1"/>
  <c r="A70" i="6"/>
  <c r="B70" i="6" s="1"/>
  <c r="A69" i="6"/>
  <c r="B69" i="6" s="1"/>
  <c r="A68" i="6"/>
  <c r="B68" i="6" s="1"/>
  <c r="A67" i="6"/>
  <c r="B67" i="6" s="1"/>
  <c r="A66" i="6"/>
  <c r="B66" i="6" s="1"/>
  <c r="A65" i="6"/>
  <c r="B65" i="6" s="1"/>
  <c r="A64" i="6"/>
  <c r="B64" i="6" s="1"/>
  <c r="A63" i="6"/>
  <c r="B63" i="6" s="1"/>
  <c r="A62" i="6"/>
  <c r="B62" i="6" s="1"/>
  <c r="A61" i="6"/>
  <c r="B61" i="6" s="1"/>
  <c r="A60" i="6"/>
  <c r="B60" i="6" s="1"/>
  <c r="A59" i="6"/>
  <c r="A58" i="6"/>
  <c r="B58" i="6" s="1"/>
  <c r="B59" i="6"/>
  <c r="A57" i="6"/>
  <c r="B57" i="6" s="1"/>
  <c r="A22" i="6"/>
  <c r="B22" i="6" s="1"/>
  <c r="A23" i="6"/>
  <c r="B23" i="6" s="1"/>
  <c r="A24" i="6"/>
  <c r="B24" i="6" s="1"/>
  <c r="A25" i="6"/>
  <c r="B25" i="6" s="1"/>
  <c r="A26" i="6"/>
  <c r="B26" i="6" s="1"/>
  <c r="A27" i="6"/>
  <c r="B27" i="6" s="1"/>
  <c r="A28" i="6"/>
  <c r="B28" i="6" s="1"/>
  <c r="A29" i="6"/>
  <c r="B29" i="6" s="1"/>
  <c r="A17" i="6"/>
  <c r="B17" i="6" s="1"/>
  <c r="A14" i="6"/>
  <c r="B14" i="6" s="1"/>
  <c r="A15" i="6"/>
  <c r="B15" i="6" s="1"/>
  <c r="A13" i="6"/>
  <c r="B13" i="6" s="1"/>
  <c r="A21" i="6"/>
  <c r="B21" i="6" s="1"/>
  <c r="A20" i="6"/>
  <c r="B20" i="6" s="1"/>
  <c r="A19" i="6"/>
  <c r="B19" i="6" s="1"/>
  <c r="A18" i="6"/>
  <c r="B18" i="6" s="1"/>
  <c r="A16" i="6"/>
  <c r="B16" i="6" s="1"/>
  <c r="A12" i="6"/>
  <c r="B12" i="6" s="1"/>
  <c r="Q18" i="6" l="1"/>
  <c r="Q26" i="6"/>
  <c r="Q73" i="6"/>
  <c r="Q20" i="6"/>
  <c r="Q24" i="6"/>
  <c r="Q28" i="6"/>
  <c r="AO12" i="6"/>
  <c r="CL12" i="6" s="1"/>
  <c r="Q16" i="6"/>
  <c r="Q19" i="6"/>
  <c r="Q13" i="6"/>
  <c r="Q15" i="6"/>
  <c r="Q17" i="6"/>
  <c r="Q21" i="6"/>
  <c r="Q23" i="6"/>
  <c r="Q25" i="6"/>
  <c r="Q27" i="6"/>
  <c r="Q29" i="6"/>
  <c r="Q58" i="6"/>
  <c r="Q60" i="6"/>
  <c r="Q62" i="6"/>
  <c r="Q64" i="6"/>
  <c r="Q68" i="6"/>
  <c r="Q72" i="6"/>
  <c r="A5" i="10"/>
  <c r="A7" i="10"/>
  <c r="A11" i="10"/>
  <c r="A13" i="10"/>
  <c r="A15" i="10"/>
  <c r="A17" i="10"/>
  <c r="A19" i="10"/>
  <c r="A21" i="10"/>
  <c r="F21" i="10" s="1"/>
  <c r="A23" i="10"/>
  <c r="H23" i="10" s="1"/>
  <c r="A25" i="10"/>
  <c r="F25" i="10" s="1"/>
  <c r="A29" i="10"/>
  <c r="H29" i="10" s="1"/>
  <c r="A34" i="10"/>
  <c r="I34" i="10" s="1"/>
  <c r="A35" i="10"/>
  <c r="H35" i="10" s="1"/>
  <c r="A4" i="10"/>
  <c r="B4" i="10" s="1"/>
  <c r="A6" i="10"/>
  <c r="F6" i="10" s="1"/>
  <c r="A8" i="10"/>
  <c r="B8" i="10" s="1"/>
  <c r="A10" i="10"/>
  <c r="F10" i="10" s="1"/>
  <c r="A12" i="10"/>
  <c r="F12" i="10" s="1"/>
  <c r="A14" i="10"/>
  <c r="F14" i="10" s="1"/>
  <c r="A16" i="10"/>
  <c r="F16" i="10" s="1"/>
  <c r="A18" i="10"/>
  <c r="H18" i="10" s="1"/>
  <c r="A20" i="10"/>
  <c r="I20" i="10" s="1"/>
  <c r="A22" i="10"/>
  <c r="B22" i="10" s="1"/>
  <c r="A24" i="10"/>
  <c r="I24" i="10" s="1"/>
  <c r="A26" i="10"/>
  <c r="B26" i="10" s="1"/>
  <c r="A28" i="10"/>
  <c r="I28" i="10" s="1"/>
  <c r="A30" i="10"/>
  <c r="B30" i="10" s="1"/>
  <c r="A31" i="10"/>
  <c r="F31" i="10" s="1"/>
  <c r="A36" i="10"/>
  <c r="B36" i="10" s="1"/>
  <c r="B9" i="10"/>
  <c r="I9" i="10"/>
  <c r="G9" i="10"/>
  <c r="E9" i="10"/>
  <c r="C9" i="10"/>
  <c r="H9" i="10"/>
  <c r="F9" i="10"/>
  <c r="D9" i="10"/>
  <c r="F4" i="10"/>
  <c r="F3" i="10"/>
  <c r="I3" i="10"/>
  <c r="G3" i="10"/>
  <c r="E3" i="10"/>
  <c r="C3" i="10"/>
  <c r="B3" i="10"/>
  <c r="H3" i="10"/>
  <c r="D3" i="10"/>
  <c r="H27" i="10"/>
  <c r="F27" i="10"/>
  <c r="D27" i="10"/>
  <c r="B27" i="10"/>
  <c r="I27" i="10"/>
  <c r="G27" i="10"/>
  <c r="E27" i="10"/>
  <c r="C27" i="10"/>
  <c r="H33" i="10"/>
  <c r="F33" i="10"/>
  <c r="D33" i="10"/>
  <c r="B33" i="10"/>
  <c r="I33" i="10"/>
  <c r="G33" i="10"/>
  <c r="E33" i="10"/>
  <c r="C33" i="10"/>
  <c r="B32" i="10"/>
  <c r="I32" i="10"/>
  <c r="G32" i="10"/>
  <c r="E32" i="10"/>
  <c r="C32" i="10"/>
  <c r="H32" i="10"/>
  <c r="F32" i="10"/>
  <c r="D32" i="10"/>
  <c r="I2" i="10"/>
  <c r="G2" i="10"/>
  <c r="E2" i="10"/>
  <c r="C2" i="10"/>
  <c r="H2" i="10"/>
  <c r="F2" i="10"/>
  <c r="D2" i="10"/>
  <c r="B2" i="10"/>
  <c r="AN12" i="6" l="1"/>
  <c r="N12" i="6" s="1"/>
  <c r="P12" i="6" s="1"/>
  <c r="B12" i="10"/>
  <c r="B18" i="10"/>
  <c r="B16" i="10"/>
  <c r="F8" i="10"/>
  <c r="C16" i="10"/>
  <c r="C12" i="10"/>
  <c r="G8" i="10"/>
  <c r="G4" i="10"/>
  <c r="B20" i="10"/>
  <c r="C10" i="10"/>
  <c r="G16" i="10"/>
  <c r="G12" i="10"/>
  <c r="C8" i="10"/>
  <c r="C4" i="10"/>
  <c r="E22" i="10"/>
  <c r="C18" i="10"/>
  <c r="C14" i="10"/>
  <c r="C6" i="10"/>
  <c r="F23" i="10"/>
  <c r="G18" i="10"/>
  <c r="F18" i="10"/>
  <c r="B14" i="10"/>
  <c r="B10" i="10"/>
  <c r="B6" i="10"/>
  <c r="F35" i="10"/>
  <c r="E30" i="10"/>
  <c r="B29" i="10"/>
  <c r="E36" i="10"/>
  <c r="H26" i="10"/>
  <c r="B28" i="10"/>
  <c r="G35" i="10"/>
  <c r="C29" i="10"/>
  <c r="G23" i="10"/>
  <c r="D36" i="10"/>
  <c r="D30" i="10"/>
  <c r="I26" i="10"/>
  <c r="H25" i="10"/>
  <c r="B34" i="10"/>
  <c r="H21" i="10"/>
  <c r="C35" i="10"/>
  <c r="B35" i="10"/>
  <c r="G29" i="10"/>
  <c r="F29" i="10"/>
  <c r="C23" i="10"/>
  <c r="B23" i="10"/>
  <c r="H36" i="10"/>
  <c r="I36" i="10"/>
  <c r="H30" i="10"/>
  <c r="I30" i="10"/>
  <c r="D26" i="10"/>
  <c r="E26" i="10"/>
  <c r="D22" i="10"/>
  <c r="H31" i="10"/>
  <c r="B24" i="10"/>
  <c r="C34" i="10"/>
  <c r="I25" i="10"/>
  <c r="I21" i="10"/>
  <c r="I31" i="10"/>
  <c r="C28" i="10"/>
  <c r="C24" i="10"/>
  <c r="C20" i="10"/>
  <c r="F34" i="10"/>
  <c r="G34" i="10"/>
  <c r="E25" i="10"/>
  <c r="D25" i="10"/>
  <c r="E21" i="10"/>
  <c r="D21" i="10"/>
  <c r="E31" i="10"/>
  <c r="D31" i="10"/>
  <c r="F28" i="10"/>
  <c r="G28" i="10"/>
  <c r="F24" i="10"/>
  <c r="G24" i="10"/>
  <c r="F20" i="10"/>
  <c r="G20" i="10"/>
  <c r="E35" i="10"/>
  <c r="I35" i="10"/>
  <c r="D35" i="10"/>
  <c r="E29" i="10"/>
  <c r="I29" i="10"/>
  <c r="D29" i="10"/>
  <c r="E23" i="10"/>
  <c r="I23" i="10"/>
  <c r="D23" i="10"/>
  <c r="F36" i="10"/>
  <c r="C36" i="10"/>
  <c r="G36" i="10"/>
  <c r="F30" i="10"/>
  <c r="C30" i="10"/>
  <c r="G30" i="10"/>
  <c r="F26" i="10"/>
  <c r="C26" i="10"/>
  <c r="G26" i="10"/>
  <c r="H22" i="10"/>
  <c r="I22" i="10"/>
  <c r="D34" i="10"/>
  <c r="H34" i="10"/>
  <c r="E34" i="10"/>
  <c r="C25" i="10"/>
  <c r="G25" i="10"/>
  <c r="B25" i="10"/>
  <c r="C21" i="10"/>
  <c r="G21" i="10"/>
  <c r="B21" i="10"/>
  <c r="C31" i="10"/>
  <c r="G31" i="10"/>
  <c r="B31" i="10"/>
  <c r="D28" i="10"/>
  <c r="H28" i="10"/>
  <c r="E28" i="10"/>
  <c r="D24" i="10"/>
  <c r="H24" i="10"/>
  <c r="E24" i="10"/>
  <c r="D20" i="10"/>
  <c r="H20" i="10"/>
  <c r="E20" i="10"/>
  <c r="F22" i="10"/>
  <c r="C22" i="10"/>
  <c r="G22" i="10"/>
  <c r="E18" i="10"/>
  <c r="I18" i="10"/>
  <c r="D18" i="10"/>
  <c r="G14" i="10"/>
  <c r="G10" i="10"/>
  <c r="G6" i="10"/>
  <c r="H16" i="10"/>
  <c r="D16" i="10"/>
  <c r="I16" i="10"/>
  <c r="E16" i="10"/>
  <c r="H12" i="10"/>
  <c r="D12" i="10"/>
  <c r="I12" i="10"/>
  <c r="E12" i="10"/>
  <c r="H8" i="10"/>
  <c r="D8" i="10"/>
  <c r="I8" i="10"/>
  <c r="E8" i="10"/>
  <c r="H4" i="10"/>
  <c r="D4" i="10"/>
  <c r="I4" i="10"/>
  <c r="E4" i="10"/>
  <c r="B17" i="10"/>
  <c r="G17" i="10"/>
  <c r="C17" i="10"/>
  <c r="F17" i="10"/>
  <c r="I17" i="10"/>
  <c r="E17" i="10"/>
  <c r="H17" i="10"/>
  <c r="D17" i="10"/>
  <c r="B13" i="10"/>
  <c r="G13" i="10"/>
  <c r="C13" i="10"/>
  <c r="F13" i="10"/>
  <c r="I13" i="10"/>
  <c r="E13" i="10"/>
  <c r="H13" i="10"/>
  <c r="D13" i="10"/>
  <c r="B7" i="10"/>
  <c r="G7" i="10"/>
  <c r="C7" i="10"/>
  <c r="F7" i="10"/>
  <c r="I7" i="10"/>
  <c r="E7" i="10"/>
  <c r="H7" i="10"/>
  <c r="D7" i="10"/>
  <c r="H14" i="10"/>
  <c r="D14" i="10"/>
  <c r="I14" i="10"/>
  <c r="E14" i="10"/>
  <c r="H10" i="10"/>
  <c r="D10" i="10"/>
  <c r="I10" i="10"/>
  <c r="E10" i="10"/>
  <c r="H6" i="10"/>
  <c r="D6" i="10"/>
  <c r="I6" i="10"/>
  <c r="E6" i="10"/>
  <c r="B19" i="10"/>
  <c r="G19" i="10"/>
  <c r="C19" i="10"/>
  <c r="F19" i="10"/>
  <c r="I19" i="10"/>
  <c r="E19" i="10"/>
  <c r="H19" i="10"/>
  <c r="D19" i="10"/>
  <c r="B15" i="10"/>
  <c r="G15" i="10"/>
  <c r="C15" i="10"/>
  <c r="F15" i="10"/>
  <c r="I15" i="10"/>
  <c r="E15" i="10"/>
  <c r="H15" i="10"/>
  <c r="D15" i="10"/>
  <c r="B11" i="10"/>
  <c r="G11" i="10"/>
  <c r="C11" i="10"/>
  <c r="F11" i="10"/>
  <c r="I11" i="10"/>
  <c r="E11" i="10"/>
  <c r="H11" i="10"/>
  <c r="D11" i="10"/>
  <c r="B5" i="10"/>
  <c r="G5" i="10"/>
  <c r="C5" i="10"/>
  <c r="F5" i="10"/>
  <c r="I5" i="10"/>
  <c r="E5" i="10"/>
  <c r="H5" i="10"/>
  <c r="D5" i="10"/>
  <c r="AG31" i="6"/>
  <c r="Q12" i="6" l="1"/>
  <c r="AW3" i="9"/>
  <c r="CK12" i="6" s="1"/>
  <c r="AV3" i="9"/>
  <c r="CJ12" i="6" s="1"/>
  <c r="AU3" i="9"/>
  <c r="CI12" i="6" s="1"/>
  <c r="AT3" i="9"/>
  <c r="CH12" i="6" s="1"/>
  <c r="AR3" i="9"/>
  <c r="CF12" i="6" s="1"/>
  <c r="AQ3" i="9"/>
  <c r="CE12" i="6" s="1"/>
  <c r="AP3" i="9"/>
  <c r="CD12" i="6" s="1"/>
  <c r="AO3" i="9"/>
  <c r="CC12" i="6" s="1"/>
  <c r="AM3" i="9"/>
  <c r="CA12" i="6" s="1"/>
  <c r="AL3" i="9"/>
  <c r="BZ12" i="6" s="1"/>
  <c r="AK3" i="9"/>
  <c r="BY12" i="6" s="1"/>
  <c r="AJ3" i="9"/>
  <c r="BX12" i="6" s="1"/>
  <c r="AH3" i="9"/>
  <c r="BV12" i="6" s="1"/>
  <c r="AG3" i="9"/>
  <c r="BU12" i="6" s="1"/>
  <c r="AF3" i="9"/>
  <c r="BT12" i="6" s="1"/>
  <c r="AE3" i="9"/>
  <c r="BS12" i="6" s="1"/>
  <c r="AC3" i="9"/>
  <c r="BQ12" i="6" s="1"/>
  <c r="AB3" i="9"/>
  <c r="BP12" i="6" s="1"/>
  <c r="AA3" i="9"/>
  <c r="BO12" i="6" s="1"/>
  <c r="Z3" i="9"/>
  <c r="X3" i="9"/>
  <c r="BL12" i="6" s="1"/>
  <c r="W3" i="9"/>
  <c r="BK12" i="6" s="1"/>
  <c r="V3" i="9"/>
  <c r="BJ12" i="6" s="1"/>
  <c r="U3" i="9"/>
  <c r="BI12" i="6" s="1"/>
  <c r="S3" i="9"/>
  <c r="BG12" i="6" s="1"/>
  <c r="R3" i="9"/>
  <c r="BF12" i="6" s="1"/>
  <c r="Q3" i="9"/>
  <c r="BE12" i="6" s="1"/>
  <c r="P3" i="9"/>
  <c r="BD12" i="6" s="1"/>
  <c r="N3" i="9"/>
  <c r="M3" i="9"/>
  <c r="L3" i="9"/>
  <c r="K3" i="9"/>
  <c r="BR12" i="6" l="1"/>
  <c r="BN12" i="6"/>
  <c r="AL2" i="6"/>
  <c r="AL9" i="6" l="1"/>
  <c r="AM9" i="6" s="1"/>
  <c r="J9" i="6" s="1"/>
  <c r="AL8" i="6"/>
  <c r="AM8" i="6" s="1"/>
  <c r="J8" i="6" s="1"/>
  <c r="AL3" i="6"/>
  <c r="AM3" i="6" s="1"/>
  <c r="J3" i="6" s="1"/>
  <c r="AP3" i="6"/>
  <c r="AR3" i="6"/>
  <c r="AL4" i="6"/>
  <c r="AM4" i="6" s="1"/>
  <c r="J4" i="6" s="1"/>
  <c r="AL6" i="6"/>
  <c r="AM6" i="6" s="1"/>
  <c r="J6" i="6" s="1"/>
  <c r="AL5" i="6"/>
  <c r="AM5" i="6" s="1"/>
  <c r="J5" i="6" s="1"/>
  <c r="AR6" i="6"/>
  <c r="AP6" i="6"/>
  <c r="AR5" i="6"/>
  <c r="AP5" i="6"/>
  <c r="AR4" i="6"/>
  <c r="AP4" i="6"/>
  <c r="AJ8" i="6"/>
  <c r="AK8" i="6" s="1"/>
  <c r="F8" i="6" s="1"/>
  <c r="AJ7" i="6"/>
  <c r="AK7" i="6" s="1"/>
  <c r="F7" i="6" s="1"/>
  <c r="AJ6" i="6"/>
  <c r="AK6" i="6" s="1"/>
  <c r="F6" i="6" s="1"/>
  <c r="AJ5" i="6"/>
  <c r="AK5" i="6" s="1"/>
  <c r="F5" i="6" s="1"/>
  <c r="AJ4" i="6" l="1"/>
  <c r="AK4" i="6" s="1"/>
  <c r="F4" i="6" s="1"/>
  <c r="E7" i="6"/>
  <c r="E6" i="6"/>
  <c r="T44" i="6"/>
  <c r="AJ3" i="6"/>
  <c r="AK3" i="6" s="1"/>
  <c r="E9" i="6" l="1"/>
  <c r="U5" i="6"/>
  <c r="D9" i="6" l="1"/>
  <c r="D4" i="6"/>
  <c r="D8" i="6"/>
  <c r="D3" i="6"/>
  <c r="D7" i="6"/>
  <c r="D5" i="6"/>
  <c r="D6" i="6"/>
  <c r="T2" i="6"/>
  <c r="AH2" i="6" s="1"/>
  <c r="U9" i="6" l="1"/>
  <c r="U7" i="6"/>
  <c r="M30" i="6" l="1"/>
  <c r="AG56" i="6"/>
  <c r="AG53" i="6"/>
  <c r="AG51" i="6"/>
  <c r="AG47" i="6"/>
  <c r="AG45" i="6"/>
  <c r="AG49" i="6"/>
  <c r="R76" i="6" l="1"/>
  <c r="R75" i="6"/>
  <c r="R74" i="6"/>
  <c r="R77" i="6"/>
  <c r="AG43" i="6"/>
  <c r="AG41" i="6"/>
  <c r="AG39" i="6"/>
  <c r="AG37" i="6"/>
  <c r="AG35" i="6"/>
  <c r="AG33" i="6"/>
  <c r="P56" i="6" l="1"/>
  <c r="M74" i="6" l="1"/>
  <c r="R44" i="6"/>
  <c r="E55" i="6" l="1"/>
  <c r="I55" i="6"/>
  <c r="H55" i="6"/>
  <c r="G55" i="6"/>
  <c r="R86" i="6"/>
  <c r="S83" i="6"/>
  <c r="Q81" i="6"/>
  <c r="P86" i="6"/>
  <c r="C86" i="6"/>
  <c r="E85" i="6"/>
  <c r="H84" i="6"/>
  <c r="P82" i="6"/>
  <c r="P80" i="6"/>
  <c r="H79" i="6"/>
  <c r="H78" i="6"/>
  <c r="K77" i="6"/>
  <c r="O76" i="6"/>
  <c r="A76" i="6"/>
  <c r="H74" i="6"/>
  <c r="P55" i="6"/>
  <c r="M53" i="6"/>
  <c r="R81" i="6"/>
  <c r="G85" i="6"/>
  <c r="I78" i="6"/>
  <c r="C76" i="6"/>
  <c r="O55" i="6"/>
  <c r="K46" i="6"/>
  <c r="M49" i="6"/>
  <c r="M46" i="6"/>
  <c r="K51" i="6"/>
  <c r="R88" i="6"/>
  <c r="S85" i="6"/>
  <c r="Q83" i="6"/>
  <c r="P87" i="6"/>
  <c r="M86" i="6"/>
  <c r="P85" i="6"/>
  <c r="A85" i="6"/>
  <c r="E84" i="6"/>
  <c r="M82" i="6"/>
  <c r="A80" i="6"/>
  <c r="A79" i="6"/>
  <c r="E78" i="6"/>
  <c r="H77" i="6"/>
  <c r="K76" i="6"/>
  <c r="O75" i="6"/>
  <c r="A75" i="6"/>
  <c r="E74" i="6"/>
  <c r="M55" i="6"/>
  <c r="O54" i="6"/>
  <c r="A54" i="6"/>
  <c r="Q86" i="6"/>
  <c r="R83" i="6"/>
  <c r="S80" i="6"/>
  <c r="O86" i="6"/>
  <c r="A86" i="6"/>
  <c r="C85" i="6"/>
  <c r="G84" i="6"/>
  <c r="O82" i="6"/>
  <c r="O80" i="6"/>
  <c r="G79" i="6"/>
  <c r="G78" i="6"/>
  <c r="I77" i="6"/>
  <c r="M76" i="6"/>
  <c r="P75" i="6"/>
  <c r="C75" i="6"/>
  <c r="C74" i="6"/>
  <c r="K55" i="6"/>
  <c r="M54" i="6"/>
  <c r="S53" i="6"/>
  <c r="H53" i="6"/>
  <c r="H45" i="6"/>
  <c r="S87" i="6"/>
  <c r="Q85" i="6"/>
  <c r="R82" i="6"/>
  <c r="M87" i="6"/>
  <c r="I86" i="6"/>
  <c r="O84" i="6"/>
  <c r="P83" i="6"/>
  <c r="P81" i="6"/>
  <c r="O79" i="6"/>
  <c r="O78" i="6"/>
  <c r="A78" i="6"/>
  <c r="E77" i="6"/>
  <c r="H76" i="6"/>
  <c r="K75" i="6"/>
  <c r="O74" i="6"/>
  <c r="A74" i="6"/>
  <c r="C55" i="6"/>
  <c r="K54" i="6"/>
  <c r="R53" i="6"/>
  <c r="G53" i="6"/>
  <c r="R85" i="6"/>
  <c r="S82" i="6"/>
  <c r="O87" i="6"/>
  <c r="K86" i="6"/>
  <c r="O85" i="6"/>
  <c r="P84" i="6"/>
  <c r="A84" i="6"/>
  <c r="A82" i="6"/>
  <c r="P79" i="6"/>
  <c r="P78" i="6"/>
  <c r="C78" i="6"/>
  <c r="G77" i="6"/>
  <c r="I76" i="6"/>
  <c r="M75" i="6"/>
  <c r="P74" i="6"/>
  <c r="S55" i="6"/>
  <c r="A55" i="6"/>
  <c r="I54" i="6"/>
  <c r="E53" i="6"/>
  <c r="K45" i="6"/>
  <c r="E46" i="6"/>
  <c r="Q46" i="6"/>
  <c r="A48" i="6"/>
  <c r="R49" i="6"/>
  <c r="C51" i="6"/>
  <c r="P51" i="6"/>
  <c r="H52" i="6"/>
  <c r="S52" i="6"/>
  <c r="M45" i="6"/>
  <c r="G46" i="6"/>
  <c r="R46" i="6"/>
  <c r="C48" i="6"/>
  <c r="P48" i="6"/>
  <c r="H49" i="6"/>
  <c r="S49" i="6"/>
  <c r="M50" i="6"/>
  <c r="Q51" i="6"/>
  <c r="C53" i="6"/>
  <c r="Q84" i="6"/>
  <c r="E86" i="6"/>
  <c r="A83" i="6"/>
  <c r="I79" i="6"/>
  <c r="P76" i="6"/>
  <c r="G74" i="6"/>
  <c r="C54" i="6"/>
  <c r="R45" i="6"/>
  <c r="P47" i="6"/>
  <c r="H48" i="6"/>
  <c r="A52" i="6"/>
  <c r="S45" i="6"/>
  <c r="A49" i="6"/>
  <c r="R50" i="6"/>
  <c r="P52" i="6"/>
  <c r="Q87" i="6"/>
  <c r="R84" i="6"/>
  <c r="S81" i="6"/>
  <c r="G87" i="6"/>
  <c r="G86" i="6"/>
  <c r="I85" i="6"/>
  <c r="K84" i="6"/>
  <c r="M83" i="6"/>
  <c r="M81" i="6"/>
  <c r="K79" i="6"/>
  <c r="K78" i="6"/>
  <c r="O77" i="6"/>
  <c r="A77" i="6"/>
  <c r="E76" i="6"/>
  <c r="H75" i="6"/>
  <c r="K74" i="6"/>
  <c r="R55" i="6"/>
  <c r="S54" i="6"/>
  <c r="H54" i="6"/>
  <c r="P53" i="6"/>
  <c r="R87" i="6"/>
  <c r="S84" i="6"/>
  <c r="Q82" i="6"/>
  <c r="K87" i="6"/>
  <c r="H86" i="6"/>
  <c r="K85" i="6"/>
  <c r="M84" i="6"/>
  <c r="O83" i="6"/>
  <c r="O81" i="6"/>
  <c r="M79" i="6"/>
  <c r="M78" i="6"/>
  <c r="P77" i="6"/>
  <c r="C77" i="6"/>
  <c r="G76" i="6"/>
  <c r="I75" i="6"/>
  <c r="I74" i="6"/>
  <c r="Q55" i="6"/>
  <c r="G54" i="6"/>
  <c r="A53" i="6"/>
  <c r="O45" i="6"/>
  <c r="H46" i="6"/>
  <c r="S46" i="6"/>
  <c r="M47" i="6"/>
  <c r="A50" i="6"/>
  <c r="R51" i="6"/>
  <c r="C45" i="6"/>
  <c r="Q45" i="6"/>
  <c r="I46" i="6"/>
  <c r="A47" i="6"/>
  <c r="R48" i="6"/>
  <c r="C50" i="6"/>
  <c r="P50" i="6"/>
  <c r="H51" i="6"/>
  <c r="S51" i="6"/>
  <c r="M52" i="6"/>
  <c r="A45" i="6"/>
  <c r="E54" i="6"/>
  <c r="S86" i="6"/>
  <c r="A87" i="6"/>
  <c r="I84" i="6"/>
  <c r="A81" i="6"/>
  <c r="M77" i="6"/>
  <c r="G75" i="6"/>
  <c r="P54" i="6"/>
  <c r="E45" i="6"/>
  <c r="C47" i="6"/>
  <c r="S48" i="6"/>
  <c r="I51" i="6"/>
  <c r="G45" i="6"/>
  <c r="E47" i="6"/>
  <c r="C52" i="6"/>
  <c r="R47" i="6"/>
  <c r="H50" i="6"/>
  <c r="H47" i="6"/>
  <c r="A46" i="6"/>
  <c r="S50" i="6"/>
  <c r="I45" i="6"/>
  <c r="S47" i="6"/>
  <c r="R52" i="6"/>
  <c r="O46" i="6"/>
  <c r="C49" i="6"/>
  <c r="M51" i="6"/>
  <c r="C46" i="6"/>
  <c r="M48" i="6"/>
  <c r="A51" i="6"/>
  <c r="G47" i="6"/>
  <c r="P49" i="6"/>
  <c r="P46" i="6"/>
  <c r="O51" i="6"/>
  <c r="B8" i="8"/>
  <c r="U43" i="6" s="1"/>
  <c r="B7" i="8"/>
  <c r="V43" i="6" s="1"/>
  <c r="C35" i="6" l="1"/>
  <c r="C79" i="6" s="1"/>
  <c r="C40" i="6" l="1"/>
  <c r="C84" i="6" l="1"/>
  <c r="I6" i="6"/>
  <c r="I50" i="6" s="1"/>
  <c r="I5" i="6"/>
  <c r="I49" i="6" s="1"/>
  <c r="I4" i="6"/>
  <c r="I48" i="6" s="1"/>
  <c r="I3" i="6"/>
  <c r="I47" i="6" s="1"/>
  <c r="E8" i="6"/>
  <c r="E52" i="6" s="1"/>
  <c r="E51" i="6"/>
  <c r="G52" i="6"/>
  <c r="K50" i="6"/>
  <c r="K49" i="6"/>
  <c r="K48" i="6"/>
  <c r="K47" i="6"/>
  <c r="G48" i="6"/>
  <c r="Q47" i="6"/>
  <c r="O47" i="6"/>
  <c r="G51" i="6"/>
  <c r="Q50" i="6" l="1"/>
  <c r="O50" i="6"/>
  <c r="Q49" i="6"/>
  <c r="O49" i="6"/>
  <c r="Q48" i="6"/>
  <c r="O48" i="6"/>
  <c r="T43" i="6"/>
  <c r="Y43" i="6" l="1"/>
  <c r="E5" i="6" s="1"/>
  <c r="E49" i="6" s="1"/>
  <c r="Q53" i="6"/>
  <c r="O52" i="6"/>
  <c r="X43" i="6"/>
  <c r="K53" i="6" s="1"/>
  <c r="W43" i="6"/>
  <c r="G50" i="6" s="1"/>
  <c r="O53" i="6"/>
  <c r="Q52" i="6"/>
  <c r="X42" i="6"/>
  <c r="K52" i="6" s="1"/>
  <c r="W42" i="6"/>
  <c r="E50" i="6"/>
  <c r="U3" i="6"/>
  <c r="P1" i="6" s="1"/>
  <c r="G49" i="6" l="1"/>
  <c r="I9" i="6"/>
  <c r="I53" i="6" s="1"/>
  <c r="E4" i="6"/>
  <c r="E48" i="6" s="1"/>
  <c r="I8" i="6"/>
  <c r="I52" i="6" s="1"/>
  <c r="H41" i="6"/>
  <c r="H85" i="6" s="1"/>
  <c r="T41" i="6" l="1"/>
  <c r="U41" i="6" s="1"/>
  <c r="P45" i="6"/>
  <c r="M35" i="6"/>
  <c r="C39" i="6"/>
  <c r="C37" i="6"/>
  <c r="C38" i="6"/>
  <c r="C36" i="6"/>
  <c r="A32" i="6"/>
  <c r="M34" i="6"/>
  <c r="C82" i="6" l="1"/>
  <c r="C83" i="6"/>
  <c r="C80" i="6"/>
  <c r="C81" i="6"/>
  <c r="AH3" i="6"/>
  <c r="AH6" i="6" s="1"/>
  <c r="M41" i="6"/>
  <c r="M85" i="6" s="1"/>
  <c r="E43" i="6"/>
  <c r="E87" i="6" s="1"/>
  <c r="O36" i="6" l="1"/>
  <c r="Q30" i="6" l="1"/>
  <c r="Q56" i="6" s="1"/>
  <c r="E378" i="1"/>
  <c r="E376" i="1"/>
  <c r="E375" i="1"/>
  <c r="E374" i="1"/>
  <c r="E372" i="1"/>
  <c r="E371" i="1"/>
  <c r="E370" i="1"/>
  <c r="E368" i="1"/>
  <c r="E367" i="1"/>
  <c r="E366" i="1"/>
  <c r="E365" i="1"/>
  <c r="E364" i="1"/>
  <c r="E363" i="1"/>
  <c r="E362" i="1"/>
  <c r="E361" i="1"/>
  <c r="E356" i="1"/>
  <c r="E355" i="1"/>
  <c r="E354" i="1"/>
  <c r="E353" i="1"/>
  <c r="E350" i="1"/>
  <c r="E349" i="1"/>
  <c r="E348" i="1"/>
  <c r="E347" i="1"/>
  <c r="E344" i="1"/>
  <c r="E343" i="1"/>
  <c r="E342" i="1"/>
  <c r="E341" i="1"/>
  <c r="E336" i="1"/>
  <c r="E333" i="1"/>
  <c r="E332" i="1"/>
  <c r="E331" i="1"/>
  <c r="E326" i="1"/>
  <c r="E325" i="1"/>
  <c r="E324" i="1"/>
  <c r="E323" i="1"/>
  <c r="E320" i="1"/>
  <c r="E319" i="1"/>
  <c r="E318" i="1"/>
  <c r="E317" i="1"/>
  <c r="E314" i="1"/>
  <c r="E313" i="1"/>
  <c r="E312" i="1"/>
  <c r="E311" i="1"/>
  <c r="E308" i="1"/>
  <c r="E307" i="1"/>
  <c r="E306" i="1"/>
  <c r="E305" i="1"/>
  <c r="E301" i="1"/>
  <c r="E300" i="1"/>
  <c r="E299" i="1"/>
  <c r="E298" i="1"/>
  <c r="E295" i="1"/>
  <c r="E294" i="1"/>
  <c r="E293" i="1"/>
  <c r="E292" i="1"/>
  <c r="E289" i="1"/>
  <c r="E288" i="1"/>
  <c r="E287" i="1"/>
  <c r="E286" i="1"/>
  <c r="E283" i="1"/>
  <c r="E282" i="1"/>
  <c r="E281" i="1"/>
  <c r="E280" i="1"/>
  <c r="E274" i="1"/>
  <c r="E273" i="1"/>
  <c r="E272" i="1"/>
  <c r="E271" i="1"/>
  <c r="E269" i="1"/>
  <c r="E268" i="1"/>
  <c r="E267" i="1"/>
  <c r="E266" i="1"/>
  <c r="E263" i="1"/>
  <c r="E262" i="1"/>
  <c r="E261" i="1"/>
  <c r="E260" i="1"/>
  <c r="E259" i="1"/>
  <c r="E258" i="1"/>
  <c r="E257" i="1"/>
  <c r="E256" i="1"/>
  <c r="E255" i="1"/>
  <c r="E251" i="1"/>
  <c r="E250" i="1"/>
  <c r="E249" i="1"/>
  <c r="E246" i="1"/>
  <c r="E245" i="1"/>
  <c r="E244" i="1"/>
  <c r="E241" i="1"/>
  <c r="E240" i="1"/>
  <c r="E239" i="1"/>
  <c r="E236" i="1"/>
  <c r="E235" i="1"/>
  <c r="E234" i="1"/>
  <c r="E228" i="1"/>
  <c r="E227" i="1"/>
  <c r="E226" i="1"/>
  <c r="E225" i="1"/>
  <c r="E223" i="1"/>
  <c r="E222" i="1"/>
  <c r="E221" i="1"/>
  <c r="E220" i="1"/>
  <c r="E217" i="1"/>
  <c r="E216" i="1"/>
  <c r="E215" i="1"/>
  <c r="E214" i="1"/>
  <c r="E213" i="1"/>
  <c r="E212" i="1"/>
  <c r="E211" i="1"/>
  <c r="E210" i="1"/>
  <c r="E209" i="1"/>
  <c r="E205" i="1"/>
  <c r="E204" i="1"/>
  <c r="E203" i="1"/>
  <c r="E174" i="1"/>
  <c r="E173" i="1"/>
  <c r="E172" i="1"/>
  <c r="E169" i="1"/>
  <c r="E168" i="1"/>
  <c r="E167" i="1"/>
  <c r="E159" i="1"/>
  <c r="E158" i="1"/>
  <c r="E157" i="1"/>
  <c r="E156" i="1"/>
  <c r="E155" i="1"/>
  <c r="E154" i="1"/>
  <c r="E151" i="1"/>
  <c r="E150" i="1"/>
  <c r="E149" i="1"/>
  <c r="E197" i="1"/>
  <c r="E196" i="1"/>
  <c r="E195" i="1"/>
  <c r="E194" i="1"/>
  <c r="E192" i="1"/>
  <c r="E191" i="1"/>
  <c r="E190" i="1"/>
  <c r="E189" i="1"/>
  <c r="E186" i="1"/>
  <c r="E185" i="1"/>
  <c r="E184" i="1"/>
  <c r="E183" i="1"/>
  <c r="E182" i="1"/>
  <c r="E181" i="1"/>
  <c r="E180" i="1"/>
  <c r="E179" i="1"/>
  <c r="E178" i="1"/>
  <c r="E164" i="1"/>
  <c r="E163" i="1"/>
  <c r="E162" i="1"/>
  <c r="E148" i="1"/>
  <c r="E147" i="1"/>
  <c r="E146" i="1"/>
  <c r="E143" i="1"/>
  <c r="E142" i="1"/>
  <c r="E141" i="1"/>
  <c r="E138" i="1"/>
  <c r="E137" i="1"/>
  <c r="E136" i="1"/>
  <c r="E130" i="1"/>
  <c r="E129" i="1"/>
  <c r="E128" i="1"/>
  <c r="E127" i="1"/>
  <c r="E125" i="1"/>
  <c r="E124" i="1"/>
  <c r="E123" i="1"/>
  <c r="E122" i="1"/>
  <c r="E119" i="1"/>
  <c r="E118" i="1"/>
  <c r="E117" i="1"/>
  <c r="E116" i="1"/>
  <c r="E115" i="1"/>
  <c r="E114" i="1"/>
  <c r="E113" i="1"/>
  <c r="E112" i="1"/>
  <c r="E111" i="1"/>
  <c r="E107" i="1"/>
  <c r="E106" i="1"/>
  <c r="E105" i="1"/>
  <c r="E102" i="1"/>
  <c r="E101" i="1"/>
  <c r="E100" i="1"/>
  <c r="E97" i="1"/>
  <c r="E96" i="1"/>
  <c r="E95" i="1"/>
  <c r="E89" i="1"/>
  <c r="E88" i="1"/>
  <c r="E87" i="1"/>
  <c r="E86" i="1"/>
  <c r="E84" i="1"/>
  <c r="E83" i="1"/>
  <c r="E82" i="1"/>
  <c r="E81" i="1"/>
  <c r="E78" i="1"/>
  <c r="E77" i="1"/>
  <c r="E76" i="1"/>
  <c r="E75" i="1"/>
  <c r="E74" i="1"/>
  <c r="E73" i="1"/>
  <c r="E72" i="1"/>
  <c r="E71" i="1"/>
  <c r="E70" i="1"/>
  <c r="E66" i="1"/>
  <c r="E65" i="1"/>
  <c r="E64" i="1"/>
  <c r="E61" i="1"/>
  <c r="E60" i="1"/>
  <c r="E59" i="1"/>
  <c r="E56" i="1"/>
  <c r="E55" i="1"/>
  <c r="E54" i="1"/>
  <c r="E51" i="1"/>
  <c r="E50" i="1"/>
  <c r="E49" i="1"/>
  <c r="E46" i="1"/>
  <c r="E45" i="1"/>
  <c r="E44" i="1"/>
  <c r="E38" i="1"/>
  <c r="E37" i="1"/>
  <c r="E36" i="1"/>
  <c r="E35" i="1"/>
  <c r="E32" i="1"/>
  <c r="E31" i="1"/>
  <c r="E30" i="1"/>
  <c r="E29" i="1"/>
  <c r="E26" i="1"/>
  <c r="E25" i="1"/>
  <c r="E24" i="1"/>
  <c r="E23" i="1"/>
  <c r="E20" i="1"/>
  <c r="E19" i="1"/>
  <c r="E18" i="1"/>
  <c r="E17" i="1"/>
  <c r="E14" i="1"/>
  <c r="E13" i="1"/>
  <c r="E12" i="1"/>
  <c r="E11" i="1"/>
  <c r="E7" i="1"/>
  <c r="E6" i="1"/>
  <c r="E5" i="1"/>
  <c r="Q74" i="6" l="1"/>
  <c r="Q76" i="6" s="1"/>
  <c r="Q75" i="6" s="1"/>
  <c r="Q77" i="6" s="1"/>
  <c r="R56" i="6"/>
  <c r="Q32" i="6"/>
  <c r="Q31" i="6" l="1"/>
  <c r="Q33" i="6" l="1"/>
  <c r="Q36" i="6" l="1"/>
  <c r="Q80" i="6" l="1"/>
  <c r="R34" i="6"/>
  <c r="R35" i="6"/>
  <c r="R78" i="6"/>
  <c r="R79" i="6"/>
  <c r="R80" i="6" l="1"/>
</calcChain>
</file>

<file path=xl/sharedStrings.xml><?xml version="1.0" encoding="utf-8"?>
<sst xmlns="http://schemas.openxmlformats.org/spreadsheetml/2006/main" count="2397" uniqueCount="443">
  <si>
    <t>Tarrif des Excursion:</t>
  </si>
  <si>
    <t>Ilot Gabriel</t>
  </si>
  <si>
    <t>Taux de change</t>
  </si>
  <si>
    <t>Adulte</t>
  </si>
  <si>
    <t>Adulte:</t>
  </si>
  <si>
    <t>Enfant moin de 16 ans:</t>
  </si>
  <si>
    <t>Enfant moin de 6 ans:</t>
  </si>
  <si>
    <t>Enfant moin de 2 ans:</t>
  </si>
  <si>
    <t>deconseiller</t>
  </si>
  <si>
    <t xml:space="preserve">Le voyage en Catamaran depuis Grand-Baie, le repas de midi, les boisson alcool est sans alcool, </t>
  </si>
  <si>
    <t>l'accomodation</t>
  </si>
  <si>
    <t>Ile aux cerfs</t>
  </si>
  <si>
    <t xml:space="preserve">Ne comprend pas: </t>
  </si>
  <si>
    <t>Comprend:</t>
  </si>
  <si>
    <t>Ne comprend pas:</t>
  </si>
  <si>
    <t>Ilot Bernache</t>
  </si>
  <si>
    <t>Ile aux benitier</t>
  </si>
  <si>
    <t>Les 3 Iles</t>
  </si>
  <si>
    <t>Le coin de mire</t>
  </si>
  <si>
    <t>Nord</t>
  </si>
  <si>
    <t>Excursion Nord:</t>
  </si>
  <si>
    <t>Les entrée:</t>
  </si>
  <si>
    <t>Aventure du sucre:</t>
  </si>
  <si>
    <t>Jardin Pamplemousse:</t>
  </si>
  <si>
    <t>Prix en Rs</t>
  </si>
  <si>
    <t>prix en Euro</t>
  </si>
  <si>
    <t>Le chateaux labourdonnais</t>
  </si>
  <si>
    <t>La Citadelle</t>
  </si>
  <si>
    <t>L'aquarium</t>
  </si>
  <si>
    <t>prix de l'excursion</t>
  </si>
  <si>
    <t>depart depuis le nord</t>
  </si>
  <si>
    <t>depart depuis l'est</t>
  </si>
  <si>
    <t>depart depuis le sud</t>
  </si>
  <si>
    <t>depart depuis l'ouest</t>
  </si>
  <si>
    <t>Modele 1 (1 a 4 personne)</t>
  </si>
  <si>
    <t>Modele 2 (1 a 4 personne)</t>
  </si>
  <si>
    <t>Modele 1 (4 a 12 personne)</t>
  </si>
  <si>
    <t>Modele 1:</t>
  </si>
  <si>
    <t>Modele 2 (4 a 12 personne)</t>
  </si>
  <si>
    <t>Excursion Sud:</t>
  </si>
  <si>
    <t>Usine Sucriere</t>
  </si>
  <si>
    <t>Crocodile Park</t>
  </si>
  <si>
    <t>Crocodile Park:</t>
  </si>
  <si>
    <t>La maison de la vanille:</t>
  </si>
  <si>
    <t>Modele 2:</t>
  </si>
  <si>
    <t>Excursion Ouest:</t>
  </si>
  <si>
    <t>Les saline:</t>
  </si>
  <si>
    <t>Casela le parc:</t>
  </si>
  <si>
    <t>Casela quad simple</t>
  </si>
  <si>
    <t>Casela quad double</t>
  </si>
  <si>
    <t>1H</t>
  </si>
  <si>
    <t>2H</t>
  </si>
  <si>
    <t>Casela le safari</t>
  </si>
  <si>
    <t>Casela Marche avec les lions</t>
  </si>
  <si>
    <t>Casela Rando fun</t>
  </si>
  <si>
    <t>Excursion Est:</t>
  </si>
  <si>
    <t>Cascade bateaux</t>
  </si>
  <si>
    <t>Excursion Centre:</t>
  </si>
  <si>
    <t>Usine du Thee</t>
  </si>
  <si>
    <t>Maison Eureka</t>
  </si>
  <si>
    <t>La rhumerie de Chamarel</t>
  </si>
  <si>
    <t>Terre des 7 couleurs</t>
  </si>
  <si>
    <t>Les Randonnee</t>
  </si>
  <si>
    <t>Les 7 cascades</t>
  </si>
  <si>
    <t>1/4 parcours</t>
  </si>
  <si>
    <t>1 a 2 personne</t>
  </si>
  <si>
    <t>3 a 6 peronne</t>
  </si>
  <si>
    <t>7 a 10 personne</t>
  </si>
  <si>
    <t>11 a +</t>
  </si>
  <si>
    <t>1/2 parcours</t>
  </si>
  <si>
    <t>Parcours Complet</t>
  </si>
  <si>
    <t>Le Pouce</t>
  </si>
  <si>
    <t>Gorge de Riviere noire</t>
  </si>
  <si>
    <t>A payer</t>
  </si>
  <si>
    <t>Gain</t>
  </si>
  <si>
    <t>Parc national</t>
  </si>
  <si>
    <t>Vol en ULM</t>
  </si>
  <si>
    <t>30 min</t>
  </si>
  <si>
    <t>20 min</t>
  </si>
  <si>
    <t>60 min</t>
  </si>
  <si>
    <t>Aviation</t>
  </si>
  <si>
    <t>Parachute</t>
  </si>
  <si>
    <t>le saut</t>
  </si>
  <si>
    <t>Voiture</t>
  </si>
  <si>
    <t>1 a 2 jours</t>
  </si>
  <si>
    <t>categorie A</t>
  </si>
  <si>
    <t>categorie B</t>
  </si>
  <si>
    <t>categorie C</t>
  </si>
  <si>
    <t>categorie D</t>
  </si>
  <si>
    <t>caution</t>
  </si>
  <si>
    <t>3 a 10 jours</t>
  </si>
  <si>
    <t>11 jours a +</t>
  </si>
  <si>
    <t>Plongee</t>
  </si>
  <si>
    <t>Batem en picine</t>
  </si>
  <si>
    <t>Batem en Mer</t>
  </si>
  <si>
    <t>Cours niv 1 (?plonger)</t>
  </si>
  <si>
    <t>Cours niv 2 (?plonger)</t>
  </si>
  <si>
    <t>Cours niv 3 (?plonger)</t>
  </si>
  <si>
    <t>Cours</t>
  </si>
  <si>
    <t>Plonger sans equipement</t>
  </si>
  <si>
    <t>forfait 1 plongee</t>
  </si>
  <si>
    <t>forfait 5 plongee</t>
  </si>
  <si>
    <t>forfait 10 plongee</t>
  </si>
  <si>
    <t>Plonger avec equipement</t>
  </si>
  <si>
    <t>Plonger sur le coin de mir</t>
  </si>
  <si>
    <t>2 plongee</t>
  </si>
  <si>
    <t>1 plongee</t>
  </si>
  <si>
    <t>Location</t>
  </si>
  <si>
    <t>Tamarin</t>
  </si>
  <si>
    <t>hors saison</t>
  </si>
  <si>
    <t>pleine saison</t>
  </si>
  <si>
    <t>medium saison</t>
  </si>
  <si>
    <t>date</t>
  </si>
  <si>
    <t>Grand Baie</t>
  </si>
  <si>
    <t>Catherina Villa</t>
  </si>
  <si>
    <t xml:space="preserve">app no2 1 chambre </t>
  </si>
  <si>
    <t>app no3 2 chambre</t>
  </si>
  <si>
    <t>app no4 1 chambre</t>
  </si>
  <si>
    <t>app no5 2 chambre</t>
  </si>
  <si>
    <t>app no6 1 chambre</t>
  </si>
  <si>
    <t>app no8 1 chambre</t>
  </si>
  <si>
    <t>app no7 studio</t>
  </si>
  <si>
    <t>Gastronomie</t>
  </si>
  <si>
    <t>info</t>
  </si>
  <si>
    <t>calcul</t>
  </si>
  <si>
    <t>Jardin de pamplemousses / L'aventure du sucre / Chateau de labourdonnais / Port-louis et ses alentours (marché de Port-louis / la citadel) / L'aquarium.</t>
  </si>
  <si>
    <t>Le Nord</t>
  </si>
  <si>
    <t>Depart Nord</t>
  </si>
  <si>
    <t>Depart Sud</t>
  </si>
  <si>
    <t>Depart Est</t>
  </si>
  <si>
    <t>Depart Ouest</t>
  </si>
  <si>
    <t>excursion journée</t>
  </si>
  <si>
    <t>Jardin de pamplemousse</t>
  </si>
  <si>
    <t>Sud</t>
  </si>
  <si>
    <t>Est</t>
  </si>
  <si>
    <t>Ouest</t>
  </si>
  <si>
    <t>De ou a ou</t>
  </si>
  <si>
    <t>L'aventure du sucre</t>
  </si>
  <si>
    <t>Chateau de l'abourdonnais</t>
  </si>
  <si>
    <t>Marché port louis</t>
  </si>
  <si>
    <t>La Citadelle &amp; Le Marché</t>
  </si>
  <si>
    <t>Jardin de pampemousse &amp; Aventure du sucre</t>
  </si>
  <si>
    <t>Prix</t>
  </si>
  <si>
    <t>Temps normal de la visite</t>
  </si>
  <si>
    <t>excursion individuelle</t>
  </si>
  <si>
    <t>chaque 30 min de plus</t>
  </si>
  <si>
    <t>Temps</t>
  </si>
  <si>
    <t>prix</t>
  </si>
  <si>
    <t>Le Sud</t>
  </si>
  <si>
    <t>Mahebourg et ses alentours / Visite d'une usine sucriere active (savanna)  Crocodile parc / Gris-gris / Souillac, rochester fall / Saint aubin (la maison de la vanille).</t>
  </si>
  <si>
    <t>Mahebourg et musé naval</t>
  </si>
  <si>
    <t>usine sucriere (savana)</t>
  </si>
  <si>
    <t>La maison de la Vanille St-Aubin</t>
  </si>
  <si>
    <t>Visite du Gris Gris et Rochester Fall</t>
  </si>
  <si>
    <t>Crocodile, Rocheser et Gris Gris</t>
  </si>
  <si>
    <t>L'Est</t>
  </si>
  <si>
    <t>Roche Noire / Poste la fayette / Bras d'eau / Belle mare / Villages du sud-est / La visite de la cascade GRSE (Grande Riviere Sud Est).</t>
  </si>
  <si>
    <t>Visite de GRSE</t>
  </si>
  <si>
    <t>L'Ouest</t>
  </si>
  <si>
    <t>Casela / Le village d'albion et son fameux phare / La plage de flic-en-flac / Nature parc pour les amateurs de marche / Les salines de tamarin / La plage du morne.</t>
  </si>
  <si>
    <t>Le phare d'albion</t>
  </si>
  <si>
    <t>Nature parc et les Saline de tamarin</t>
  </si>
  <si>
    <t>Les Saline de tamarin</t>
  </si>
  <si>
    <t>Plage du morne</t>
  </si>
  <si>
    <t>Plage de flic en flac</t>
  </si>
  <si>
    <t>Casela 1/2 journée</t>
  </si>
  <si>
    <t>Casela 1 journée</t>
  </si>
  <si>
    <t>Le centre</t>
  </si>
  <si>
    <t xml:space="preserve">Trou-aux-cerfs,curepipe / La route du thé / Grand-bassin (ganga talao) / Plaine champagne et ses environs / La maison Eureka / Vues gorge de la riviere noire, alexandra fall /La terre des 7 couleurs / Chamarel,la rhumerie. </t>
  </si>
  <si>
    <t>Trou-aux cerf et curepipe</t>
  </si>
  <si>
    <t>Le haut plateaux gr bassin,pl champ,vue des gorge, thé</t>
  </si>
  <si>
    <t>l'usine du Thé</t>
  </si>
  <si>
    <t>La maison Eureka</t>
  </si>
  <si>
    <t>terre des 7 couleurs</t>
  </si>
  <si>
    <t>La rhumerie de chamarel</t>
  </si>
  <si>
    <t>St-Pierre (pour promenade au pouce) attente facilement de 2 a 3heure</t>
  </si>
  <si>
    <t>Anrieta (pour promenade des 7 cascade) attente 1/2 journée a 1 journée</t>
  </si>
  <si>
    <t>Les randonnées</t>
  </si>
  <si>
    <t>Gorge de riviere noir Départ en haut arrivée en bas ou vis versa (attente de 1/2 a 1 journée</t>
  </si>
  <si>
    <t>Les endroit ou depauser et reprendre selon entente</t>
  </si>
  <si>
    <t>Mont loisir (Aerodrome)</t>
  </si>
  <si>
    <t>pereybere</t>
  </si>
  <si>
    <t>Mont choisi</t>
  </si>
  <si>
    <t>Le morne</t>
  </si>
  <si>
    <t>Chez moi (Baie Du Tombeau)</t>
  </si>
  <si>
    <t>Nature parc (la promenade du parc env. 1 a 2h00</t>
  </si>
  <si>
    <t>Transfert Aeroport</t>
  </si>
  <si>
    <t>Baie Du Tombeau</t>
  </si>
  <si>
    <t>Nb</t>
  </si>
  <si>
    <t>Article</t>
  </si>
  <si>
    <t>prix Unité</t>
  </si>
  <si>
    <t>unité</t>
  </si>
  <si>
    <t>Total</t>
  </si>
  <si>
    <t>Jours</t>
  </si>
  <si>
    <t>Groupe - de 4</t>
  </si>
  <si>
    <t>Groupe + de 4</t>
  </si>
  <si>
    <t>Signature:</t>
  </si>
  <si>
    <t>FACTURE</t>
  </si>
  <si>
    <t>No:</t>
  </si>
  <si>
    <t>Référence:</t>
  </si>
  <si>
    <t>Rs</t>
  </si>
  <si>
    <t>Chf</t>
  </si>
  <si>
    <t>€</t>
  </si>
  <si>
    <t>$</t>
  </si>
  <si>
    <t>Journée Ilot Gabriel en catamaran, déjeuner (grillade) et boisson comprise.</t>
  </si>
  <si>
    <t>Journée Ile aux Cerfs en bateau rapide, déjeuner (grillade) et boisson comprise.</t>
  </si>
  <si>
    <t>Journée Ilot Bernache en bateau, déjeuner (grillade) et boisson comprise.</t>
  </si>
  <si>
    <t>FACTURE (Pro format)</t>
  </si>
  <si>
    <t>QUOTATION</t>
  </si>
  <si>
    <t>Date</t>
  </si>
  <si>
    <t>Condition:</t>
  </si>
  <si>
    <t>Journée les trois iles en bateau, déjeuner (grillade) et boisson comprise</t>
  </si>
  <si>
    <t>Ballade Le coin de Mire en bateau, boisson comprise</t>
  </si>
  <si>
    <t>Journée Excursion OUEST</t>
  </si>
  <si>
    <t>Journée excursions NORD</t>
  </si>
  <si>
    <t>Journée excursion SUD</t>
  </si>
  <si>
    <t>Journée excursion EST</t>
  </si>
  <si>
    <t>Randonnée le Pouce</t>
  </si>
  <si>
    <t>Randonnée gorge de riviere noire (maxi)</t>
  </si>
  <si>
    <t>Randonnée Sept cascade (maxi)</t>
  </si>
  <si>
    <t>Randonnée Sept cascade (demi)</t>
  </si>
  <si>
    <t>Randonnée Sept cascade (mini)</t>
  </si>
  <si>
    <t>Randonnée gorge de riviere noire (demi)</t>
  </si>
  <si>
    <t>Randonnée gorge de riviere noire (mini)</t>
  </si>
  <si>
    <t>Randonnée parc national</t>
  </si>
  <si>
    <t>Casela (marche avec les lion)</t>
  </si>
  <si>
    <t>Casela (Quad)</t>
  </si>
  <si>
    <t>Casela (rando fun)</t>
  </si>
  <si>
    <t>Les Saline</t>
  </si>
  <si>
    <t>Vol en ULM (20min)</t>
  </si>
  <si>
    <t>Vol en ULM (30min)</t>
  </si>
  <si>
    <t>Vol en ULM (60min)</t>
  </si>
  <si>
    <t>Vol en hydravion (20min)</t>
  </si>
  <si>
    <t>Vol en Hydravion (30min)</t>
  </si>
  <si>
    <t>Vol en Hydravion (60min)</t>
  </si>
  <si>
    <t>Saut en parachute</t>
  </si>
  <si>
    <t>Transfert</t>
  </si>
  <si>
    <t>Transfert aeroport Mauridul</t>
  </si>
  <si>
    <t>Transfert Aeroport Tamarin</t>
  </si>
  <si>
    <t>Transfert Aeroport Grand Baie</t>
  </si>
  <si>
    <t>Voiture Categorie A</t>
  </si>
  <si>
    <t>Voiture Categorie B</t>
  </si>
  <si>
    <t>Voiture Categorie C</t>
  </si>
  <si>
    <t>Enfant</t>
  </si>
  <si>
    <t>Enfant -16ans</t>
  </si>
  <si>
    <t>Enfant -12ans</t>
  </si>
  <si>
    <t>Enfant-3ans</t>
  </si>
  <si>
    <t>Groupe</t>
  </si>
  <si>
    <t>Min.</t>
  </si>
  <si>
    <t>heure</t>
  </si>
  <si>
    <t>Prix Total:</t>
  </si>
  <si>
    <t>Port Louis</t>
  </si>
  <si>
    <t>La Sagne</t>
  </si>
  <si>
    <t>Fait par:</t>
  </si>
  <si>
    <t>Client:</t>
  </si>
  <si>
    <t>Date:</t>
  </si>
  <si>
    <t>Payement à la Banque de:</t>
  </si>
  <si>
    <t>Payement, 20% à la résérvation, le solde sur place.</t>
  </si>
  <si>
    <t>Payement, 30% à la résérvation, le solde sur place.</t>
  </si>
  <si>
    <t>Payement, 50% à la résérvation, le solde sur place.</t>
  </si>
  <si>
    <t>Payement, la totalité à la résérvation.</t>
  </si>
  <si>
    <t>X</t>
  </si>
  <si>
    <t>MCB (Rs)</t>
  </si>
  <si>
    <t>MCB (€)</t>
  </si>
  <si>
    <t>MCB des Forges Port Louis, Mauritius</t>
  </si>
  <si>
    <t>IBAN :  MU3580237000003035218 / Swift : Mcb mu 22 / Clearing 80237</t>
  </si>
  <si>
    <t>IBAN :  MUeur3580237000003035218 / Swift : mcb eur 22 / Clearing 80237</t>
  </si>
  <si>
    <t>MCB Rs</t>
  </si>
  <si>
    <t>MCB €</t>
  </si>
  <si>
    <t>MCB (Chf)</t>
  </si>
  <si>
    <t>IBAN :  MU3580237000003035218 / Swift : Raif MUchf 22 / Clearing 80237</t>
  </si>
  <si>
    <t>Raiffeisen</t>
  </si>
  <si>
    <t>Raiffeisen le locle suisse</t>
  </si>
  <si>
    <t>IBAN :  CH3580237000003035218 / Swift : CH 22 / Clearing 80237</t>
  </si>
  <si>
    <t>CREDIT NOTE</t>
  </si>
  <si>
    <t>Ou Paypal n0 567654345434 www.paypal.mauridul.com</t>
  </si>
  <si>
    <t xml:space="preserve">CCP : 23-3307-0      Compte : Mauridul 30352.18  </t>
  </si>
  <si>
    <t xml:space="preserve">CCP : 23-3107-0      Compte : mauridul 30352.18  </t>
  </si>
  <si>
    <t xml:space="preserve">CCP : 23-3107-0      Compte : Mauridul 32352.18  </t>
  </si>
  <si>
    <t xml:space="preserve">CCP : 23-3107-0      Compte : Dubois 32352.18  </t>
  </si>
  <si>
    <t>Cash</t>
  </si>
  <si>
    <t>Payement cash.</t>
  </si>
  <si>
    <t>Visa</t>
  </si>
  <si>
    <t>Master card</t>
  </si>
  <si>
    <t>Maestro</t>
  </si>
  <si>
    <t>American express</t>
  </si>
  <si>
    <t>Payement par Visa.</t>
  </si>
  <si>
    <t>Payement par Maestro.</t>
  </si>
  <si>
    <t>Payement par American express.</t>
  </si>
  <si>
    <t>Payement par Master card.</t>
  </si>
  <si>
    <t>Ristourne</t>
  </si>
  <si>
    <t>Babalouche</t>
  </si>
  <si>
    <t>Catwen20</t>
  </si>
  <si>
    <t>admin3</t>
  </si>
  <si>
    <t>admin4</t>
  </si>
  <si>
    <t>admin5</t>
  </si>
  <si>
    <t>admin6</t>
  </si>
  <si>
    <t>admin7</t>
  </si>
  <si>
    <t>admin8</t>
  </si>
  <si>
    <t>admin9</t>
  </si>
  <si>
    <t>admin10</t>
  </si>
  <si>
    <t>Autre</t>
  </si>
  <si>
    <t>Autre Cash</t>
  </si>
  <si>
    <t>F=Facture</t>
  </si>
  <si>
    <t>P=Facture (pro format)</t>
  </si>
  <si>
    <t>C=Credit note</t>
  </si>
  <si>
    <t>Q=Quotation</t>
  </si>
  <si>
    <t>X=Facture (autre)</t>
  </si>
  <si>
    <t>F</t>
  </si>
  <si>
    <t>P</t>
  </si>
  <si>
    <t>C</t>
  </si>
  <si>
    <t>Q</t>
  </si>
  <si>
    <t>Sucursal</t>
  </si>
  <si>
    <t>102=Baie du Tombeau</t>
  </si>
  <si>
    <t>104=rien</t>
  </si>
  <si>
    <t>103=Grand-Baie</t>
  </si>
  <si>
    <t>105=rien</t>
  </si>
  <si>
    <t>mois</t>
  </si>
  <si>
    <t>annee</t>
  </si>
  <si>
    <t>Ref</t>
  </si>
  <si>
    <t>pays</t>
  </si>
  <si>
    <t>tel</t>
  </si>
  <si>
    <t>Mobile</t>
  </si>
  <si>
    <t>e-mail</t>
  </si>
  <si>
    <t>Dubois</t>
  </si>
  <si>
    <t>Pierre-André</t>
  </si>
  <si>
    <t>Clos a bec 3</t>
  </si>
  <si>
    <t>Suisse</t>
  </si>
  <si>
    <t>+41329316707</t>
  </si>
  <si>
    <t>+41792402339</t>
  </si>
  <si>
    <t>epad@bluewin.ch</t>
  </si>
  <si>
    <t>C/O Ambroise Dubois</t>
  </si>
  <si>
    <t>Royal Road / St-Malo / Baie Du Tombeau</t>
  </si>
  <si>
    <t>Ambroise</t>
  </si>
  <si>
    <t>Royal Road / St-Malo</t>
  </si>
  <si>
    <t>+2302474170</t>
  </si>
  <si>
    <t>+23052517667</t>
  </si>
  <si>
    <t>a.dubois@intnet.mu</t>
  </si>
  <si>
    <t>Hotel La Veranda</t>
  </si>
  <si>
    <t>Grand Baie / tel 2808000</t>
  </si>
  <si>
    <t>Dubois Ambroise</t>
  </si>
  <si>
    <t>Carver Cathy</t>
  </si>
  <si>
    <t>101=web</t>
  </si>
  <si>
    <t>enregistrer sous:</t>
  </si>
  <si>
    <t>Changer de nom:</t>
  </si>
  <si>
    <t>VAT:</t>
  </si>
  <si>
    <t>Fax</t>
  </si>
  <si>
    <t>compagnie ou individuelle</t>
  </si>
  <si>
    <t>i</t>
  </si>
  <si>
    <t>Disque</t>
  </si>
  <si>
    <t>c</t>
  </si>
  <si>
    <t>atedb</t>
  </si>
  <si>
    <t>Atelier Du Bois</t>
  </si>
  <si>
    <t>Route Public</t>
  </si>
  <si>
    <t>Ile Maurice</t>
  </si>
  <si>
    <t>+2302492709</t>
  </si>
  <si>
    <t>+2483765</t>
  </si>
  <si>
    <t>a.dubois@cover-tech.net</t>
  </si>
  <si>
    <t>non VAT</t>
  </si>
  <si>
    <t>VAT</t>
  </si>
  <si>
    <t>BRN:</t>
  </si>
  <si>
    <t>C45586987</t>
  </si>
  <si>
    <t>D:\Mes Documents\Documents en ligne\Mauridul Ltée\zData</t>
  </si>
  <si>
    <t>Ambroise Tablette</t>
  </si>
  <si>
    <t>Ambroise Bureau</t>
  </si>
  <si>
    <t>ordinateur</t>
  </si>
  <si>
    <t>signature</t>
  </si>
  <si>
    <t>Cathy</t>
  </si>
  <si>
    <t>102 Baie Du Tombeau</t>
  </si>
  <si>
    <t>103 Grand Baie</t>
  </si>
  <si>
    <t>104 Rien</t>
  </si>
  <si>
    <t>105 Rien</t>
  </si>
  <si>
    <t>Ordinateur:</t>
  </si>
  <si>
    <t>Emplacement signature:</t>
  </si>
  <si>
    <t>Chèque</t>
  </si>
  <si>
    <t>Payement par chèque.</t>
  </si>
  <si>
    <t>D:\Mes Documents\Documents en ligne\Mauridul Ltée\Facture</t>
  </si>
  <si>
    <t>Facture</t>
  </si>
  <si>
    <t>Emplacement Facture:</t>
  </si>
  <si>
    <t>C:\Users\ambroise\Documents\Documents en ligne\Mauridul Ltée\zData</t>
  </si>
  <si>
    <t>C:\Users\ambroise\Documents\Documents en ligne\Mauridul Ltée\Facture</t>
  </si>
  <si>
    <t>Prix hors TVA:</t>
  </si>
  <si>
    <t>bb</t>
  </si>
  <si>
    <t>numero</t>
  </si>
  <si>
    <t>Sucursal:</t>
  </si>
  <si>
    <t>Compagnie</t>
  </si>
  <si>
    <t>Privé</t>
  </si>
  <si>
    <t>Nom / Compagnie</t>
  </si>
  <si>
    <t>Prenom / Contact</t>
  </si>
  <si>
    <t>Adresse</t>
  </si>
  <si>
    <t>cp &amp; ville</t>
  </si>
  <si>
    <t>2314 La Sagne</t>
  </si>
  <si>
    <t>7878 Riche Terre</t>
  </si>
  <si>
    <t>adresse Maurice / No Vat</t>
  </si>
  <si>
    <t>adresse Maurice 2 / No BRN</t>
  </si>
  <si>
    <t>C4565787</t>
  </si>
  <si>
    <t>nb</t>
  </si>
  <si>
    <t>Unitée</t>
  </si>
  <si>
    <t>prix / U</t>
  </si>
  <si>
    <t>page supp.1</t>
  </si>
  <si>
    <t>pces</t>
  </si>
  <si>
    <t>devise</t>
  </si>
  <si>
    <t>rs</t>
  </si>
  <si>
    <t>enfant - 16 ans</t>
  </si>
  <si>
    <t>enfant - 8 ans</t>
  </si>
  <si>
    <t>enfant - 2 ans</t>
  </si>
  <si>
    <t>change Rs $</t>
  </si>
  <si>
    <t>change Rs £</t>
  </si>
  <si>
    <t>change Rs Chf</t>
  </si>
  <si>
    <t>change rs €</t>
  </si>
  <si>
    <t>£</t>
  </si>
  <si>
    <t>unité 1</t>
  </si>
  <si>
    <t>unité 2</t>
  </si>
  <si>
    <t>unité 3</t>
  </si>
  <si>
    <t>unité 4</t>
  </si>
  <si>
    <t>unité 5</t>
  </si>
  <si>
    <t>unité 6</t>
  </si>
  <si>
    <t>unité 7</t>
  </si>
  <si>
    <t>unité 8</t>
  </si>
  <si>
    <t>prix Rs</t>
  </si>
  <si>
    <t>Prix Chf</t>
  </si>
  <si>
    <t>prix €</t>
  </si>
  <si>
    <t>prix $</t>
  </si>
  <si>
    <t>prix £</t>
  </si>
  <si>
    <t>Journée Ile aux Bénitier en bateau rapide, déjeuner (grillade) et boisson comprise.</t>
  </si>
  <si>
    <t>Devise:</t>
  </si>
  <si>
    <t>dupa</t>
  </si>
  <si>
    <t>duam</t>
  </si>
  <si>
    <t>afficher au plamming</t>
  </si>
  <si>
    <t>Afficher</t>
  </si>
  <si>
    <t>AE1</t>
  </si>
  <si>
    <t>ref</t>
  </si>
  <si>
    <t>unite1</t>
  </si>
  <si>
    <t>unite2</t>
  </si>
  <si>
    <t>unite3</t>
  </si>
  <si>
    <t>unite4</t>
  </si>
  <si>
    <t>unite5</t>
  </si>
  <si>
    <t>unite6</t>
  </si>
  <si>
    <t>unite7</t>
  </si>
  <si>
    <t>unite8</t>
  </si>
  <si>
    <t>s</t>
  </si>
  <si>
    <t>voir Derniere facture de ce client clic:</t>
  </si>
  <si>
    <t>Clic sur le carré pour inserer une nouvelle 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</si>
</sst>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Rs-420]#,##0.00_-"/>
    <numFmt numFmtId="165" formatCode="#,##0.00\ &quot;€&quot;"/>
    <numFmt numFmtId="166" formatCode="dd/mm/yy;@"/>
    <numFmt numFmtId="167" formatCode="dd\.mm\.yy;@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b/>
      <u/>
      <sz val="16"/>
      <color theme="9" tint="-0.249977111117893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b/>
      <u/>
      <sz val="9"/>
      <color theme="9" tint="-0.249977111117893"/>
      <name val="Calibri"/>
      <family val="2"/>
      <scheme val="minor"/>
    </font>
    <font>
      <b/>
      <u/>
      <sz val="8"/>
      <color theme="9" tint="-0.249977111117893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Wingdings 3"/>
      <family val="1"/>
      <charset val="2"/>
    </font>
    <font>
      <sz val="11"/>
      <color theme="0"/>
      <name val="Wingdings"/>
      <charset val="2"/>
    </font>
    <font>
      <u/>
      <sz val="11"/>
      <color theme="10"/>
      <name val="Calibri"/>
      <family val="2"/>
      <scheme val="minor"/>
    </font>
    <font>
      <sz val="9"/>
      <color theme="0"/>
      <name val="Times New Roman"/>
      <family val="1"/>
    </font>
    <font>
      <sz val="8"/>
      <name val="Calibri"/>
      <family val="2"/>
      <scheme val="minor"/>
    </font>
    <font>
      <sz val="12"/>
      <color theme="9" tint="-0.249977111117893"/>
      <name val="Times New Roman"/>
      <family val="1"/>
    </font>
    <font>
      <b/>
      <u/>
      <sz val="12"/>
      <color theme="1" tint="0.34998626667073579"/>
      <name val="Calibri"/>
      <family val="2"/>
      <scheme val="minor"/>
    </font>
    <font>
      <sz val="9"/>
      <color theme="1" tint="0.34998626667073579"/>
      <name val="Times New Roman"/>
      <family val="1"/>
    </font>
    <font>
      <b/>
      <u/>
      <sz val="12"/>
      <color theme="1" tint="0.34998626667073579"/>
      <name val="Calibri"/>
      <family val="2"/>
    </font>
    <font>
      <sz val="12"/>
      <color theme="1" tint="0.34998626667073579"/>
      <name val="Times New Roman"/>
      <family val="1"/>
    </font>
    <font>
      <sz val="11"/>
      <color theme="1" tint="0.34998626667073579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7"/>
      <color theme="9" tint="-0.249977111117893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ACDA8"/>
      </left>
      <right/>
      <top/>
      <bottom/>
      <diagonal/>
    </border>
    <border>
      <left/>
      <right style="thick">
        <color rgb="FFFACDA8"/>
      </right>
      <top/>
      <bottom/>
      <diagonal/>
    </border>
    <border>
      <left style="thick">
        <color rgb="FFFACDA8"/>
      </left>
      <right/>
      <top/>
      <bottom style="thick">
        <color rgb="FFFACDA8"/>
      </bottom>
      <diagonal/>
    </border>
    <border>
      <left/>
      <right/>
      <top/>
      <bottom style="thick">
        <color rgb="FFFACDA8"/>
      </bottom>
      <diagonal/>
    </border>
    <border>
      <left style="thin">
        <color theme="9" tint="0.59996337778862885"/>
      </left>
      <right style="thin">
        <color theme="9" tint="0.59996337778862885"/>
      </right>
      <top style="thin">
        <color theme="9" tint="0.59996337778862885"/>
      </top>
      <bottom style="thin">
        <color theme="9" tint="0.59996337778862885"/>
      </bottom>
      <diagonal/>
    </border>
    <border>
      <left style="thin">
        <color theme="9" tint="-0.24994659260841701"/>
      </left>
      <right style="thin">
        <color theme="9" tint="0.59996337778862885"/>
      </right>
      <top style="thin">
        <color theme="9" tint="-0.24994659260841701"/>
      </top>
      <bottom style="thin">
        <color theme="9" tint="0.59996337778862885"/>
      </bottom>
      <diagonal/>
    </border>
    <border>
      <left style="thin">
        <color theme="9" tint="0.59996337778862885"/>
      </left>
      <right style="thin">
        <color theme="9" tint="0.59996337778862885"/>
      </right>
      <top style="thin">
        <color theme="9" tint="-0.24994659260841701"/>
      </top>
      <bottom style="thin">
        <color theme="9" tint="0.59996337778862885"/>
      </bottom>
      <diagonal/>
    </border>
    <border>
      <left style="thin">
        <color theme="9" tint="0.59996337778862885"/>
      </left>
      <right style="thin">
        <color theme="9" tint="-0.24994659260841701"/>
      </right>
      <top style="thin">
        <color theme="9" tint="-0.24994659260841701"/>
      </top>
      <bottom style="thin">
        <color theme="9" tint="0.59996337778862885"/>
      </bottom>
      <diagonal/>
    </border>
    <border>
      <left style="thin">
        <color theme="9" tint="-0.24994659260841701"/>
      </left>
      <right style="thin">
        <color theme="9" tint="0.59996337778862885"/>
      </right>
      <top style="thin">
        <color theme="9" tint="0.59996337778862885"/>
      </top>
      <bottom style="thin">
        <color theme="9" tint="0.59996337778862885"/>
      </bottom>
      <diagonal/>
    </border>
    <border>
      <left style="thin">
        <color theme="9" tint="-0.24994659260841701"/>
      </left>
      <right style="thin">
        <color theme="9" tint="0.59996337778862885"/>
      </right>
      <top style="thin">
        <color theme="9" tint="0.59996337778862885"/>
      </top>
      <bottom style="thin">
        <color theme="9" tint="-0.24994659260841701"/>
      </bottom>
      <diagonal/>
    </border>
    <border>
      <left style="thin">
        <color theme="9" tint="0.59996337778862885"/>
      </left>
      <right style="thin">
        <color theme="9" tint="0.59996337778862885"/>
      </right>
      <top style="thin">
        <color theme="9" tint="0.59996337778862885"/>
      </top>
      <bottom style="thin">
        <color theme="9" tint="-0.24994659260841701"/>
      </bottom>
      <diagonal/>
    </border>
    <border>
      <left/>
      <right/>
      <top/>
      <bottom style="double">
        <color theme="9" tint="-0.24994659260841701"/>
      </bottom>
      <diagonal/>
    </border>
    <border>
      <left/>
      <right style="thin">
        <color theme="9" tint="0.59996337778862885"/>
      </right>
      <top style="thin">
        <color theme="9" tint="0.59996337778862885"/>
      </top>
      <bottom style="thin">
        <color theme="9" tint="0.59996337778862885"/>
      </bottom>
      <diagonal/>
    </border>
    <border>
      <left style="thin">
        <color theme="9" tint="0.59996337778862885"/>
      </left>
      <right/>
      <top style="thin">
        <color theme="9" tint="0.59996337778862885"/>
      </top>
      <bottom style="thin">
        <color theme="9" tint="0.59996337778862885"/>
      </bottom>
      <diagonal/>
    </border>
    <border>
      <left/>
      <right style="thin">
        <color theme="9" tint="-0.24994659260841701"/>
      </right>
      <top style="thin">
        <color theme="9" tint="0.59996337778862885"/>
      </top>
      <bottom style="thin">
        <color theme="9" tint="0.59996337778862885"/>
      </bottom>
      <diagonal/>
    </border>
    <border>
      <left style="thin">
        <color theme="9" tint="0.39994506668294322"/>
      </left>
      <right/>
      <top style="thin">
        <color theme="9" tint="0.39994506668294322"/>
      </top>
      <bottom style="thin">
        <color theme="9" tint="0.39994506668294322"/>
      </bottom>
      <diagonal/>
    </border>
    <border>
      <left/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/>
      <right/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ck">
        <color rgb="FFFACDA8"/>
      </bottom>
      <diagonal/>
    </border>
    <border>
      <left/>
      <right/>
      <top style="thin">
        <color indexed="64"/>
      </top>
      <bottom/>
      <diagonal/>
    </border>
    <border>
      <left style="thin">
        <color theme="9" tint="0.39994506668294322"/>
      </left>
      <right/>
      <top style="thin">
        <color theme="9" tint="0.39991454817346722"/>
      </top>
      <bottom style="thin">
        <color theme="9" tint="0.39994506668294322"/>
      </bottom>
      <diagonal/>
    </border>
    <border>
      <left/>
      <right style="thin">
        <color theme="9" tint="0.39994506668294322"/>
      </right>
      <top style="thin">
        <color theme="9" tint="0.39991454817346722"/>
      </top>
      <bottom style="thin">
        <color theme="9" tint="0.39994506668294322"/>
      </bottom>
      <diagonal/>
    </border>
    <border>
      <left/>
      <right/>
      <top style="thin">
        <color theme="9" tint="0.39991454817346722"/>
      </top>
      <bottom style="thin">
        <color theme="9" tint="0.39994506668294322"/>
      </bottom>
      <diagonal/>
    </border>
    <border>
      <left/>
      <right style="thick">
        <color rgb="FFFACDA8"/>
      </right>
      <top/>
      <bottom style="thick">
        <color rgb="FFFACDA8"/>
      </bottom>
      <diagonal/>
    </border>
    <border>
      <left/>
      <right/>
      <top style="thin">
        <color theme="9" tint="0.59996337778862885"/>
      </top>
      <bottom style="thin">
        <color theme="9" tint="0.59996337778862885"/>
      </bottom>
      <diagonal/>
    </border>
    <border>
      <left/>
      <right/>
      <top style="thin">
        <color theme="9" tint="0.39994506668294322"/>
      </top>
      <bottom style="thin">
        <color theme="9" tint="-0.24994659260841701"/>
      </bottom>
      <diagonal/>
    </border>
    <border>
      <left style="thin">
        <color theme="9" tint="0.59996337778862885"/>
      </left>
      <right/>
      <top style="thin">
        <color theme="9" tint="-0.24994659260841701"/>
      </top>
      <bottom style="thin">
        <color theme="9" tint="0.59996337778862885"/>
      </bottom>
      <diagonal/>
    </border>
    <border>
      <left/>
      <right/>
      <top style="thin">
        <color theme="9" tint="-0.24994659260841701"/>
      </top>
      <bottom style="thin">
        <color theme="9" tint="0.59996337778862885"/>
      </bottom>
      <diagonal/>
    </border>
    <border>
      <left/>
      <right style="thin">
        <color theme="9" tint="0.59996337778862885"/>
      </right>
      <top style="thin">
        <color theme="9" tint="-0.24994659260841701"/>
      </top>
      <bottom style="thin">
        <color theme="9" tint="0.59996337778862885"/>
      </bottom>
      <diagonal/>
    </border>
    <border>
      <left/>
      <right style="thin">
        <color theme="9" tint="-0.24994659260841701"/>
      </right>
      <top style="thin">
        <color theme="9" tint="-0.24994659260841701"/>
      </top>
      <bottom style="thin">
        <color theme="9" tint="0.59996337778862885"/>
      </bottom>
      <diagonal/>
    </border>
    <border>
      <left style="thin">
        <color theme="9" tint="0.39994506668294322"/>
      </left>
      <right/>
      <top style="thin">
        <color theme="9" tint="0.39994506668294322"/>
      </top>
      <bottom style="thick">
        <color rgb="FFFACDA8"/>
      </bottom>
      <diagonal/>
    </border>
    <border>
      <left/>
      <right/>
      <top style="thin">
        <color theme="9" tint="0.39994506668294322"/>
      </top>
      <bottom style="thick">
        <color rgb="FFFACDA8"/>
      </bottom>
      <diagonal/>
    </border>
    <border>
      <left/>
      <right style="thin">
        <color theme="9" tint="0.39994506668294322"/>
      </right>
      <top style="thin">
        <color theme="9" tint="0.39994506668294322"/>
      </top>
      <bottom style="thick">
        <color rgb="FFFACDA8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-0.24994659260841701"/>
      </left>
      <right/>
      <top style="thin">
        <color theme="9" tint="0.59996337778862885"/>
      </top>
      <bottom style="thin">
        <color theme="9" tint="0.59996337778862885"/>
      </bottom>
      <diagonal/>
    </border>
    <border>
      <left/>
      <right/>
      <top style="thin">
        <color theme="9" tint="0.59996337778862885"/>
      </top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26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65" fontId="0" fillId="0" borderId="0" xfId="0" applyNumberFormat="1" applyBorder="1"/>
    <xf numFmtId="164" fontId="0" fillId="0" borderId="0" xfId="0" applyNumberFormat="1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7" fillId="0" borderId="0" xfId="0" applyFont="1"/>
    <xf numFmtId="0" fontId="8" fillId="0" borderId="0" xfId="0" applyFont="1"/>
    <xf numFmtId="0" fontId="9" fillId="0" borderId="0" xfId="0" applyFont="1" applyAlignment="1">
      <alignment wrapText="1"/>
    </xf>
    <xf numFmtId="0" fontId="0" fillId="0" borderId="1" xfId="0" applyFont="1" applyBorder="1"/>
    <xf numFmtId="0" fontId="10" fillId="0" borderId="0" xfId="0" applyFont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11" fillId="0" borderId="9" xfId="0" applyFont="1" applyBorder="1"/>
    <xf numFmtId="0" fontId="0" fillId="0" borderId="9" xfId="0" applyFill="1" applyBorder="1"/>
    <xf numFmtId="0" fontId="0" fillId="0" borderId="8" xfId="0" applyFill="1" applyBorder="1"/>
    <xf numFmtId="9" fontId="0" fillId="0" borderId="9" xfId="0" applyNumberFormat="1" applyBorder="1"/>
    <xf numFmtId="0" fontId="12" fillId="0" borderId="0" xfId="0" applyFont="1"/>
    <xf numFmtId="0" fontId="0" fillId="0" borderId="2" xfId="0" applyFill="1" applyBorder="1"/>
    <xf numFmtId="0" fontId="0" fillId="0" borderId="4" xfId="0" applyFill="1" applyBorder="1"/>
    <xf numFmtId="0" fontId="0" fillId="0" borderId="0" xfId="0" applyFill="1" applyBorder="1"/>
    <xf numFmtId="4" fontId="18" fillId="2" borderId="0" xfId="0" applyNumberFormat="1" applyFont="1" applyFill="1" applyBorder="1"/>
    <xf numFmtId="0" fontId="15" fillId="2" borderId="11" xfId="0" applyFont="1" applyFill="1" applyBorder="1"/>
    <xf numFmtId="0" fontId="16" fillId="2" borderId="0" xfId="0" applyFont="1" applyFill="1" applyBorder="1"/>
    <xf numFmtId="0" fontId="16" fillId="2" borderId="12" xfId="0" applyFont="1" applyFill="1" applyBorder="1"/>
    <xf numFmtId="0" fontId="15" fillId="2" borderId="0" xfId="0" applyFont="1" applyFill="1" applyBorder="1" applyAlignment="1"/>
    <xf numFmtId="4" fontId="16" fillId="2" borderId="0" xfId="0" applyNumberFormat="1" applyFont="1" applyFill="1" applyBorder="1"/>
    <xf numFmtId="165" fontId="16" fillId="2" borderId="0" xfId="0" applyNumberFormat="1" applyFont="1" applyFill="1" applyBorder="1"/>
    <xf numFmtId="9" fontId="16" fillId="2" borderId="0" xfId="0" applyNumberFormat="1" applyFont="1" applyFill="1" applyBorder="1"/>
    <xf numFmtId="165" fontId="18" fillId="2" borderId="0" xfId="0" applyNumberFormat="1" applyFont="1" applyFill="1" applyBorder="1"/>
    <xf numFmtId="0" fontId="15" fillId="2" borderId="0" xfId="0" applyFont="1" applyFill="1" applyBorder="1"/>
    <xf numFmtId="0" fontId="19" fillId="2" borderId="0" xfId="0" applyFont="1" applyFill="1" applyBorder="1"/>
    <xf numFmtId="0" fontId="20" fillId="2" borderId="0" xfId="0" applyFont="1" applyFill="1" applyBorder="1"/>
    <xf numFmtId="0" fontId="16" fillId="2" borderId="0" xfId="0" applyFont="1" applyFill="1" applyBorder="1" applyAlignment="1">
      <alignment horizontal="right"/>
    </xf>
    <xf numFmtId="0" fontId="15" fillId="2" borderId="12" xfId="0" applyFont="1" applyFill="1" applyBorder="1"/>
    <xf numFmtId="0" fontId="15" fillId="2" borderId="14" xfId="0" applyFont="1" applyFill="1" applyBorder="1"/>
    <xf numFmtId="14" fontId="16" fillId="2" borderId="14" xfId="0" applyNumberFormat="1" applyFont="1" applyFill="1" applyBorder="1" applyAlignment="1">
      <alignment horizontal="right"/>
    </xf>
    <xf numFmtId="0" fontId="16" fillId="2" borderId="14" xfId="0" applyFont="1" applyFill="1" applyBorder="1"/>
    <xf numFmtId="0" fontId="16" fillId="2" borderId="14" xfId="0" applyFont="1" applyFill="1" applyBorder="1" applyAlignment="1">
      <alignment horizontal="right"/>
    </xf>
    <xf numFmtId="0" fontId="16" fillId="2" borderId="15" xfId="0" applyFont="1" applyFill="1" applyBorder="1"/>
    <xf numFmtId="0" fontId="16" fillId="2" borderId="16" xfId="0" applyFont="1" applyFill="1" applyBorder="1"/>
    <xf numFmtId="0" fontId="16" fillId="2" borderId="17" xfId="0" applyFont="1" applyFill="1" applyBorder="1"/>
    <xf numFmtId="166" fontId="16" fillId="2" borderId="19" xfId="0" applyNumberFormat="1" applyFont="1" applyFill="1" applyBorder="1"/>
    <xf numFmtId="166" fontId="16" fillId="2" borderId="20" xfId="0" applyNumberFormat="1" applyFont="1" applyFill="1" applyBorder="1"/>
    <xf numFmtId="0" fontId="16" fillId="2" borderId="21" xfId="0" applyFont="1" applyFill="1" applyBorder="1"/>
    <xf numFmtId="4" fontId="16" fillId="2" borderId="22" xfId="0" applyNumberFormat="1" applyFont="1" applyFill="1" applyBorder="1"/>
    <xf numFmtId="165" fontId="16" fillId="2" borderId="22" xfId="0" applyNumberFormat="1" applyFont="1" applyFill="1" applyBorder="1"/>
    <xf numFmtId="165" fontId="16" fillId="2" borderId="23" xfId="0" applyNumberFormat="1" applyFont="1" applyFill="1" applyBorder="1"/>
    <xf numFmtId="4" fontId="16" fillId="2" borderId="24" xfId="0" applyNumberFormat="1" applyFont="1" applyFill="1" applyBorder="1"/>
    <xf numFmtId="165" fontId="16" fillId="2" borderId="25" xfId="0" applyNumberFormat="1" applyFont="1" applyFill="1" applyBorder="1"/>
    <xf numFmtId="0" fontId="14" fillId="2" borderId="0" xfId="0" applyFont="1" applyFill="1" applyBorder="1"/>
    <xf numFmtId="0" fontId="10" fillId="0" borderId="0" xfId="0" applyFont="1" applyFill="1" applyBorder="1"/>
    <xf numFmtId="0" fontId="0" fillId="0" borderId="3" xfId="0" applyFill="1" applyBorder="1"/>
    <xf numFmtId="0" fontId="0" fillId="0" borderId="8" xfId="0" applyBorder="1"/>
    <xf numFmtId="9" fontId="0" fillId="0" borderId="0" xfId="0" applyNumberFormat="1"/>
    <xf numFmtId="0" fontId="0" fillId="0" borderId="8" xfId="0" applyFill="1" applyBorder="1" applyProtection="1"/>
    <xf numFmtId="0" fontId="0" fillId="0" borderId="9" xfId="0" applyFill="1" applyBorder="1" applyProtection="1"/>
    <xf numFmtId="0" fontId="0" fillId="0" borderId="9" xfId="0" applyBorder="1" applyProtection="1"/>
    <xf numFmtId="0" fontId="0" fillId="0" borderId="10" xfId="0" applyFill="1" applyBorder="1" applyProtection="1"/>
    <xf numFmtId="0" fontId="0" fillId="0" borderId="0" xfId="0" applyProtection="1"/>
    <xf numFmtId="0" fontId="24" fillId="0" borderId="30" xfId="0" applyFont="1" applyFill="1" applyBorder="1" applyProtection="1">
      <protection hidden="1"/>
    </xf>
    <xf numFmtId="0" fontId="24" fillId="0" borderId="0" xfId="0" applyFont="1" applyFill="1" applyBorder="1" applyProtection="1">
      <protection hidden="1"/>
    </xf>
    <xf numFmtId="0" fontId="24" fillId="0" borderId="0" xfId="0" applyFont="1" applyBorder="1" applyProtection="1">
      <protection hidden="1"/>
    </xf>
    <xf numFmtId="0" fontId="24" fillId="0" borderId="1" xfId="0" applyFont="1" applyFill="1" applyBorder="1" applyProtection="1">
      <protection hidden="1"/>
    </xf>
    <xf numFmtId="0" fontId="22" fillId="2" borderId="0" xfId="0" applyFont="1" applyFill="1" applyBorder="1"/>
    <xf numFmtId="0" fontId="0" fillId="0" borderId="0" xfId="0" quotePrefix="1"/>
    <xf numFmtId="0" fontId="25" fillId="0" borderId="0" xfId="1"/>
    <xf numFmtId="0" fontId="0" fillId="0" borderId="0" xfId="0" applyFill="1" applyBorder="1" applyProtection="1"/>
    <xf numFmtId="0" fontId="13" fillId="0" borderId="0" xfId="0" applyFont="1" applyFill="1" applyBorder="1"/>
    <xf numFmtId="0" fontId="26" fillId="0" borderId="0" xfId="0" applyFont="1" applyFill="1" applyBorder="1" applyAlignment="1" applyProtection="1"/>
    <xf numFmtId="0" fontId="16" fillId="2" borderId="0" xfId="0" applyFont="1" applyFill="1" applyBorder="1" applyAlignment="1"/>
    <xf numFmtId="0" fontId="16" fillId="2" borderId="17" xfId="0" applyFont="1" applyFill="1" applyBorder="1" applyAlignment="1">
      <alignment horizontal="center"/>
    </xf>
    <xf numFmtId="0" fontId="27" fillId="0" borderId="0" xfId="0" applyFont="1" applyFill="1" applyBorder="1" applyAlignment="1"/>
    <xf numFmtId="0" fontId="11" fillId="0" borderId="0" xfId="0" applyFont="1" applyFill="1" applyBorder="1" applyAlignment="1"/>
    <xf numFmtId="0" fontId="16" fillId="2" borderId="0" xfId="0" applyFont="1" applyFill="1" applyBorder="1" applyAlignment="1">
      <alignment horizontal="left"/>
    </xf>
    <xf numFmtId="0" fontId="16" fillId="2" borderId="0" xfId="0" applyFont="1" applyFill="1" applyBorder="1" applyAlignment="1">
      <alignment horizontal="right" vertical="top"/>
    </xf>
    <xf numFmtId="0" fontId="16" fillId="2" borderId="0" xfId="0" applyFont="1" applyFill="1" applyBorder="1" applyAlignment="1">
      <alignment vertical="top"/>
    </xf>
    <xf numFmtId="0" fontId="16" fillId="2" borderId="0" xfId="0" applyFont="1" applyFill="1" applyBorder="1" applyAlignment="1">
      <alignment horizontal="left" indent="5"/>
    </xf>
    <xf numFmtId="0" fontId="16" fillId="2" borderId="0" xfId="0" applyFont="1" applyFill="1" applyBorder="1" applyAlignment="1">
      <alignment horizontal="left" indent="1"/>
    </xf>
    <xf numFmtId="0" fontId="0" fillId="0" borderId="1" xfId="0" quotePrefix="1" applyBorder="1"/>
    <xf numFmtId="0" fontId="15" fillId="2" borderId="34" xfId="0" applyFont="1" applyFill="1" applyBorder="1"/>
    <xf numFmtId="0" fontId="0" fillId="2" borderId="11" xfId="0" applyFill="1" applyBorder="1"/>
    <xf numFmtId="0" fontId="0" fillId="2" borderId="12" xfId="0" applyFill="1" applyBorder="1"/>
    <xf numFmtId="0" fontId="28" fillId="0" borderId="0" xfId="0" applyFont="1" applyFill="1" applyBorder="1" applyAlignment="1" applyProtection="1"/>
    <xf numFmtId="0" fontId="11" fillId="0" borderId="0" xfId="0" applyFont="1" applyFill="1" applyBorder="1"/>
    <xf numFmtId="0" fontId="16" fillId="2" borderId="0" xfId="0" applyFont="1" applyFill="1" applyBorder="1" applyAlignment="1">
      <alignment horizontal="left"/>
    </xf>
    <xf numFmtId="0" fontId="16" fillId="2" borderId="17" xfId="0" applyFont="1" applyFill="1" applyBorder="1" applyAlignment="1">
      <alignment horizontal="center"/>
    </xf>
    <xf numFmtId="0" fontId="16" fillId="2" borderId="0" xfId="0" applyFont="1" applyFill="1" applyBorder="1" applyAlignment="1"/>
    <xf numFmtId="167" fontId="16" fillId="2" borderId="0" xfId="0" applyNumberFormat="1" applyFont="1" applyFill="1" applyBorder="1"/>
    <xf numFmtId="167" fontId="16" fillId="2" borderId="0" xfId="0" applyNumberFormat="1" applyFont="1" applyFill="1" applyBorder="1" applyAlignment="1"/>
    <xf numFmtId="167" fontId="0" fillId="0" borderId="0" xfId="0" applyNumberFormat="1" applyAlignment="1"/>
    <xf numFmtId="0" fontId="0" fillId="2" borderId="0" xfId="0" applyFill="1"/>
    <xf numFmtId="0" fontId="0" fillId="0" borderId="0" xfId="0" applyFill="1"/>
    <xf numFmtId="0" fontId="15" fillId="0" borderId="0" xfId="0" applyFont="1" applyFill="1" applyAlignment="1">
      <alignment horizontal="center"/>
    </xf>
    <xf numFmtId="0" fontId="31" fillId="0" borderId="0" xfId="0" applyFont="1" applyFill="1" applyBorder="1" applyAlignment="1" applyProtection="1"/>
    <xf numFmtId="0" fontId="32" fillId="4" borderId="44" xfId="0" applyFont="1" applyFill="1" applyBorder="1" applyAlignment="1" applyProtection="1">
      <protection locked="0"/>
    </xf>
    <xf numFmtId="0" fontId="29" fillId="0" borderId="45" xfId="0" applyFont="1" applyFill="1" applyBorder="1" applyProtection="1"/>
    <xf numFmtId="0" fontId="30" fillId="0" borderId="46" xfId="0" applyFont="1" applyFill="1" applyBorder="1" applyAlignment="1" applyProtection="1"/>
    <xf numFmtId="0" fontId="33" fillId="4" borderId="47" xfId="0" applyFont="1" applyFill="1" applyBorder="1"/>
    <xf numFmtId="0" fontId="34" fillId="2" borderId="0" xfId="0" applyFont="1" applyFill="1" applyBorder="1"/>
    <xf numFmtId="0" fontId="13" fillId="0" borderId="0" xfId="0" applyFont="1" applyFill="1"/>
    <xf numFmtId="0" fontId="34" fillId="2" borderId="0" xfId="0" applyFont="1" applyFill="1" applyAlignment="1">
      <alignment horizontal="left"/>
    </xf>
    <xf numFmtId="0" fontId="0" fillId="4" borderId="0" xfId="0" applyFill="1" applyBorder="1"/>
    <xf numFmtId="0" fontId="15" fillId="4" borderId="0" xfId="0" applyFont="1" applyFill="1" applyBorder="1"/>
    <xf numFmtId="0" fontId="16" fillId="4" borderId="0" xfId="0" applyFont="1" applyFill="1" applyBorder="1"/>
    <xf numFmtId="0" fontId="15" fillId="4" borderId="14" xfId="0" applyFont="1" applyFill="1" applyBorder="1"/>
    <xf numFmtId="0" fontId="0" fillId="4" borderId="0" xfId="0" applyFill="1"/>
    <xf numFmtId="0" fontId="16" fillId="4" borderId="0" xfId="0" applyFont="1" applyFill="1" applyBorder="1" applyAlignment="1">
      <alignment horizontal="right"/>
    </xf>
    <xf numFmtId="0" fontId="16" fillId="4" borderId="0" xfId="0" applyFont="1" applyFill="1" applyBorder="1" applyAlignment="1">
      <alignment horizontal="right" vertical="top"/>
    </xf>
    <xf numFmtId="0" fontId="16" fillId="4" borderId="39" xfId="0" applyFont="1" applyFill="1" applyBorder="1"/>
    <xf numFmtId="0" fontId="19" fillId="4" borderId="0" xfId="0" applyFont="1" applyFill="1" applyBorder="1"/>
    <xf numFmtId="0" fontId="16" fillId="4" borderId="38" xfId="0" applyFont="1" applyFill="1" applyBorder="1"/>
    <xf numFmtId="0" fontId="0" fillId="4" borderId="0" xfId="0" applyFont="1" applyFill="1" applyBorder="1"/>
    <xf numFmtId="0" fontId="11" fillId="4" borderId="0" xfId="0" applyFont="1" applyFill="1" applyBorder="1"/>
    <xf numFmtId="0" fontId="16" fillId="4" borderId="0" xfId="0" applyFont="1" applyFill="1" applyBorder="1" applyAlignment="1">
      <alignment horizontal="left"/>
    </xf>
    <xf numFmtId="0" fontId="16" fillId="4" borderId="0" xfId="0" applyFont="1" applyFill="1" applyBorder="1" applyAlignment="1">
      <alignment vertical="top"/>
    </xf>
    <xf numFmtId="0" fontId="16" fillId="4" borderId="0" xfId="0" applyFont="1" applyFill="1" applyBorder="1" applyAlignment="1">
      <alignment horizontal="left" indent="5"/>
    </xf>
    <xf numFmtId="0" fontId="20" fillId="4" borderId="0" xfId="0" applyFont="1" applyFill="1" applyBorder="1"/>
    <xf numFmtId="0" fontId="10" fillId="4" borderId="0" xfId="0" applyFont="1" applyFill="1" applyAlignment="1">
      <alignment horizontal="left"/>
    </xf>
    <xf numFmtId="14" fontId="16" fillId="4" borderId="14" xfId="0" applyNumberFormat="1" applyFont="1" applyFill="1" applyBorder="1" applyAlignment="1">
      <alignment horizontal="right"/>
    </xf>
    <xf numFmtId="0" fontId="16" fillId="4" borderId="0" xfId="0" applyFont="1" applyFill="1" applyBorder="1" applyAlignment="1">
      <alignment horizontal="left" indent="1"/>
    </xf>
    <xf numFmtId="0" fontId="15" fillId="4" borderId="17" xfId="0" applyFont="1" applyFill="1" applyBorder="1" applyAlignment="1"/>
    <xf numFmtId="0" fontId="0" fillId="4" borderId="23" xfId="0" applyFill="1" applyBorder="1" applyAlignment="1"/>
    <xf numFmtId="0" fontId="0" fillId="4" borderId="0" xfId="0" applyFill="1" applyAlignment="1"/>
    <xf numFmtId="0" fontId="15" fillId="4" borderId="14" xfId="0" applyFont="1" applyFill="1" applyBorder="1" applyAlignment="1" applyProtection="1"/>
    <xf numFmtId="0" fontId="16" fillId="4" borderId="39" xfId="0" applyFont="1" applyFill="1" applyBorder="1" applyAlignment="1"/>
    <xf numFmtId="0" fontId="16" fillId="4" borderId="0" xfId="0" applyFont="1" applyFill="1" applyBorder="1" applyAlignment="1"/>
    <xf numFmtId="0" fontId="16" fillId="4" borderId="17" xfId="0" applyFont="1" applyFill="1" applyBorder="1"/>
    <xf numFmtId="0" fontId="16" fillId="4" borderId="15" xfId="0" applyFont="1" applyFill="1" applyBorder="1"/>
    <xf numFmtId="0" fontId="0" fillId="4" borderId="0" xfId="0" applyFill="1" applyBorder="1" applyAlignment="1" applyProtection="1">
      <protection locked="0" hidden="1"/>
    </xf>
    <xf numFmtId="0" fontId="21" fillId="4" borderId="0" xfId="0" applyFont="1" applyFill="1" applyBorder="1" applyAlignment="1" applyProtection="1"/>
    <xf numFmtId="0" fontId="16" fillId="4" borderId="14" xfId="0" applyFont="1" applyFill="1" applyBorder="1" applyAlignment="1">
      <alignment horizontal="right"/>
    </xf>
    <xf numFmtId="0" fontId="23" fillId="4" borderId="0" xfId="0" applyFont="1" applyFill="1" applyBorder="1" applyAlignment="1" applyProtection="1">
      <alignment horizontal="right"/>
      <protection locked="0" hidden="1"/>
    </xf>
    <xf numFmtId="0" fontId="0" fillId="4" borderId="0" xfId="0" applyFill="1" applyBorder="1" applyAlignment="1">
      <alignment vertical="top"/>
    </xf>
    <xf numFmtId="0" fontId="0" fillId="4" borderId="0" xfId="0" applyFill="1" applyBorder="1" applyAlignment="1"/>
    <xf numFmtId="0" fontId="16" fillId="4" borderId="17" xfId="0" applyFont="1" applyFill="1" applyBorder="1" applyAlignment="1">
      <alignment horizontal="center"/>
    </xf>
    <xf numFmtId="0" fontId="16" fillId="4" borderId="24" xfId="0" applyFont="1" applyFill="1" applyBorder="1"/>
    <xf numFmtId="0" fontId="16" fillId="4" borderId="37" xfId="0" applyFont="1" applyFill="1" applyBorder="1" applyAlignment="1">
      <alignment horizontal="center"/>
    </xf>
    <xf numFmtId="0" fontId="22" fillId="0" borderId="0" xfId="0" applyFont="1" applyFill="1" applyBorder="1"/>
    <xf numFmtId="0" fontId="22" fillId="0" borderId="0" xfId="0" applyFont="1" applyFill="1"/>
    <xf numFmtId="0" fontId="33" fillId="0" borderId="48" xfId="0" applyFont="1" applyFill="1" applyBorder="1"/>
    <xf numFmtId="0" fontId="0" fillId="0" borderId="10" xfId="0" applyFill="1" applyBorder="1"/>
    <xf numFmtId="0" fontId="14" fillId="2" borderId="0" xfId="0" applyFont="1" applyFill="1" applyBorder="1" applyAlignment="1"/>
    <xf numFmtId="0" fontId="11" fillId="0" borderId="0" xfId="0" applyFont="1"/>
    <xf numFmtId="0" fontId="11" fillId="4" borderId="0" xfId="0" applyFont="1" applyFill="1"/>
    <xf numFmtId="0" fontId="35" fillId="4" borderId="0" xfId="0" applyFont="1" applyFill="1" applyBorder="1"/>
    <xf numFmtId="0" fontId="36" fillId="2" borderId="0" xfId="0" applyFont="1" applyFill="1" applyBorder="1"/>
    <xf numFmtId="0" fontId="35" fillId="4" borderId="0" xfId="0" applyFont="1" applyFill="1" applyBorder="1" applyAlignment="1">
      <alignment horizontal="left"/>
    </xf>
    <xf numFmtId="0" fontId="27" fillId="0" borderId="4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16" fillId="2" borderId="0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27" fillId="0" borderId="0" xfId="0" applyFont="1" applyFill="1" applyBorder="1" applyAlignment="1">
      <alignment horizontal="left"/>
    </xf>
    <xf numFmtId="14" fontId="0" fillId="0" borderId="0" xfId="0" applyNumberFormat="1"/>
    <xf numFmtId="0" fontId="22" fillId="0" borderId="6" xfId="0" applyFont="1" applyBorder="1" applyAlignment="1">
      <alignment horizontal="left"/>
    </xf>
    <xf numFmtId="0" fontId="0" fillId="0" borderId="30" xfId="0" applyFont="1" applyBorder="1"/>
    <xf numFmtId="0" fontId="0" fillId="0" borderId="8" xfId="0" applyNumberFormat="1" applyBorder="1"/>
    <xf numFmtId="0" fontId="10" fillId="0" borderId="5" xfId="0" applyFont="1" applyBorder="1"/>
    <xf numFmtId="0" fontId="10" fillId="0" borderId="0" xfId="0" applyFont="1" applyFill="1"/>
    <xf numFmtId="0" fontId="10" fillId="0" borderId="9" xfId="0" applyFont="1" applyBorder="1"/>
    <xf numFmtId="0" fontId="27" fillId="0" borderId="9" xfId="0" applyFont="1" applyBorder="1"/>
    <xf numFmtId="0" fontId="10" fillId="0" borderId="10" xfId="0" applyFont="1" applyBorder="1"/>
    <xf numFmtId="0" fontId="10" fillId="0" borderId="9" xfId="0" applyFont="1" applyFill="1" applyBorder="1"/>
    <xf numFmtId="0" fontId="0" fillId="0" borderId="35" xfId="0" applyBorder="1" applyAlignment="1"/>
    <xf numFmtId="0" fontId="0" fillId="0" borderId="23" xfId="0" applyBorder="1" applyAlignment="1"/>
    <xf numFmtId="0" fontId="16" fillId="2" borderId="24" xfId="0" applyFont="1" applyFill="1" applyBorder="1" applyAlignment="1"/>
    <xf numFmtId="0" fontId="16" fillId="2" borderId="35" xfId="0" applyFont="1" applyFill="1" applyBorder="1" applyAlignment="1"/>
    <xf numFmtId="0" fontId="38" fillId="5" borderId="49" xfId="0" applyFont="1" applyFill="1" applyBorder="1"/>
    <xf numFmtId="0" fontId="37" fillId="6" borderId="49" xfId="0" applyFont="1" applyFill="1" applyBorder="1" applyAlignment="1">
      <alignment horizontal="left"/>
    </xf>
    <xf numFmtId="0" fontId="10" fillId="6" borderId="49" xfId="0" applyFont="1" applyFill="1" applyBorder="1" applyAlignment="1">
      <alignment horizontal="left"/>
    </xf>
    <xf numFmtId="0" fontId="27" fillId="3" borderId="26" xfId="0" applyFont="1" applyFill="1" applyBorder="1" applyAlignment="1">
      <alignment horizontal="left"/>
    </xf>
    <xf numFmtId="0" fontId="11" fillId="0" borderId="27" xfId="0" applyFont="1" applyBorder="1" applyAlignment="1">
      <alignment horizontal="left"/>
    </xf>
    <xf numFmtId="0" fontId="27" fillId="3" borderId="31" xfId="0" applyFont="1" applyFill="1" applyBorder="1" applyAlignment="1">
      <alignment horizontal="left"/>
    </xf>
    <xf numFmtId="0" fontId="27" fillId="3" borderId="33" xfId="0" applyFont="1" applyFill="1" applyBorder="1" applyAlignment="1">
      <alignment horizontal="left"/>
    </xf>
    <xf numFmtId="0" fontId="11" fillId="3" borderId="33" xfId="0" applyFont="1" applyFill="1" applyBorder="1" applyAlignment="1">
      <alignment horizontal="left"/>
    </xf>
    <xf numFmtId="0" fontId="11" fillId="3" borderId="32" xfId="0" applyFont="1" applyFill="1" applyBorder="1" applyAlignment="1">
      <alignment horizontal="left"/>
    </xf>
    <xf numFmtId="0" fontId="27" fillId="3" borderId="28" xfId="0" applyFont="1" applyFill="1" applyBorder="1" applyAlignment="1">
      <alignment horizontal="left"/>
    </xf>
    <xf numFmtId="0" fontId="11" fillId="3" borderId="28" xfId="0" applyFont="1" applyFill="1" applyBorder="1" applyAlignment="1">
      <alignment horizontal="left"/>
    </xf>
    <xf numFmtId="0" fontId="11" fillId="3" borderId="27" xfId="0" applyFont="1" applyFill="1" applyBorder="1" applyAlignment="1">
      <alignment horizontal="left"/>
    </xf>
    <xf numFmtId="0" fontId="13" fillId="7" borderId="0" xfId="0" applyFont="1" applyFill="1" applyAlignment="1">
      <alignment horizontal="center"/>
    </xf>
    <xf numFmtId="0" fontId="15" fillId="7" borderId="0" xfId="0" applyFont="1" applyFill="1" applyBorder="1"/>
    <xf numFmtId="0" fontId="16" fillId="2" borderId="15" xfId="0" applyFont="1" applyFill="1" applyBorder="1" applyAlignment="1"/>
    <xf numFmtId="0" fontId="15" fillId="2" borderId="15" xfId="0" applyFont="1" applyFill="1" applyBorder="1" applyAlignment="1"/>
    <xf numFmtId="0" fontId="16" fillId="2" borderId="21" xfId="0" applyFont="1" applyFill="1" applyBorder="1" applyAlignment="1"/>
    <xf numFmtId="0" fontId="15" fillId="2" borderId="21" xfId="0" applyFont="1" applyFill="1" applyBorder="1" applyAlignment="1"/>
    <xf numFmtId="166" fontId="16" fillId="4" borderId="0" xfId="0" applyNumberFormat="1" applyFont="1" applyFill="1" applyBorder="1"/>
    <xf numFmtId="0" fontId="27" fillId="0" borderId="35" xfId="0" applyNumberFormat="1" applyFont="1" applyFill="1" applyBorder="1"/>
    <xf numFmtId="0" fontId="16" fillId="4" borderId="0" xfId="0" applyNumberFormat="1" applyFont="1" applyFill="1" applyBorder="1"/>
    <xf numFmtId="166" fontId="16" fillId="2" borderId="50" xfId="0" applyNumberFormat="1" applyFont="1" applyFill="1" applyBorder="1"/>
    <xf numFmtId="0" fontId="16" fillId="2" borderId="23" xfId="0" applyFont="1" applyFill="1" applyBorder="1" applyAlignment="1"/>
    <xf numFmtId="166" fontId="16" fillId="4" borderId="51" xfId="0" applyNumberFormat="1" applyFont="1" applyFill="1" applyBorder="1"/>
    <xf numFmtId="0" fontId="27" fillId="0" borderId="0" xfId="0" applyNumberFormat="1" applyFont="1" applyFill="1" applyBorder="1"/>
    <xf numFmtId="0" fontId="13" fillId="2" borderId="11" xfId="0" applyFont="1" applyFill="1" applyBorder="1"/>
    <xf numFmtId="0" fontId="14" fillId="2" borderId="11" xfId="0" applyFont="1" applyFill="1" applyBorder="1"/>
    <xf numFmtId="0" fontId="13" fillId="2" borderId="13" xfId="0" applyFont="1" applyFill="1" applyBorder="1"/>
    <xf numFmtId="0" fontId="13" fillId="2" borderId="0" xfId="0" applyFont="1" applyFill="1"/>
    <xf numFmtId="0" fontId="27" fillId="3" borderId="36" xfId="0" applyFont="1" applyFill="1" applyBorder="1" applyAlignment="1"/>
    <xf numFmtId="0" fontId="27" fillId="0" borderId="36" xfId="0" applyFont="1" applyFill="1" applyBorder="1" applyAlignment="1"/>
    <xf numFmtId="0" fontId="15" fillId="2" borderId="14" xfId="0" applyFont="1" applyFill="1" applyBorder="1" applyAlignment="1" applyProtection="1"/>
    <xf numFmtId="0" fontId="15" fillId="3" borderId="41" xfId="0" applyFont="1" applyFill="1" applyBorder="1" applyAlignment="1">
      <alignment horizontal="left"/>
    </xf>
    <xf numFmtId="0" fontId="15" fillId="3" borderId="42" xfId="0" applyFont="1" applyFill="1" applyBorder="1" applyAlignment="1">
      <alignment horizontal="left"/>
    </xf>
    <xf numFmtId="0" fontId="15" fillId="3" borderId="43" xfId="0" applyFont="1" applyFill="1" applyBorder="1" applyAlignment="1">
      <alignment horizontal="left"/>
    </xf>
    <xf numFmtId="0" fontId="15" fillId="3" borderId="41" xfId="0" applyFont="1" applyFill="1" applyBorder="1" applyAlignment="1"/>
    <xf numFmtId="0" fontId="15" fillId="3" borderId="43" xfId="0" applyFont="1" applyFill="1" applyBorder="1" applyAlignment="1"/>
    <xf numFmtId="0" fontId="17" fillId="2" borderId="0" xfId="0" applyFont="1" applyFill="1" applyBorder="1" applyAlignment="1">
      <alignment horizontal="center" vertical="top"/>
    </xf>
    <xf numFmtId="0" fontId="0" fillId="2" borderId="0" xfId="0" applyFill="1" applyBorder="1" applyAlignment="1">
      <alignment vertical="top"/>
    </xf>
    <xf numFmtId="0" fontId="16" fillId="2" borderId="0" xfId="0" applyFont="1" applyFill="1" applyBorder="1" applyAlignment="1">
      <alignment horizontal="left" vertical="top"/>
    </xf>
    <xf numFmtId="0" fontId="0" fillId="2" borderId="0" xfId="0" applyFill="1" applyBorder="1" applyAlignment="1">
      <alignment horizontal="left" vertical="top"/>
    </xf>
    <xf numFmtId="0" fontId="16" fillId="3" borderId="26" xfId="0" applyFont="1" applyFill="1" applyBorder="1" applyAlignment="1">
      <alignment horizontal="left"/>
    </xf>
    <xf numFmtId="0" fontId="0" fillId="0" borderId="27" xfId="0" applyBorder="1" applyAlignment="1">
      <alignment horizontal="left"/>
    </xf>
    <xf numFmtId="0" fontId="16" fillId="3" borderId="28" xfId="0" applyFont="1" applyFill="1" applyBorder="1" applyAlignment="1">
      <alignment horizontal="left"/>
    </xf>
    <xf numFmtId="0" fontId="0" fillId="3" borderId="28" xfId="0" applyFill="1" applyBorder="1" applyAlignment="1">
      <alignment horizontal="left"/>
    </xf>
    <xf numFmtId="0" fontId="14" fillId="2" borderId="36" xfId="0" applyFont="1" applyFill="1" applyBorder="1" applyAlignment="1"/>
    <xf numFmtId="0" fontId="0" fillId="0" borderId="36" xfId="0" applyBorder="1" applyAlignment="1"/>
    <xf numFmtId="0" fontId="16" fillId="2" borderId="37" xfId="0" applyFont="1" applyFill="1" applyBorder="1" applyAlignment="1">
      <alignment horizontal="center"/>
    </xf>
    <xf numFmtId="0" fontId="16" fillId="2" borderId="39" xfId="0" applyFont="1" applyFill="1" applyBorder="1" applyAlignment="1">
      <alignment horizontal="center"/>
    </xf>
    <xf numFmtId="0" fontId="16" fillId="2" borderId="40" xfId="0" applyFont="1" applyFill="1" applyBorder="1" applyAlignment="1">
      <alignment horizontal="center"/>
    </xf>
    <xf numFmtId="0" fontId="16" fillId="2" borderId="0" xfId="0" applyFont="1" applyFill="1" applyBorder="1" applyAlignment="1"/>
    <xf numFmtId="0" fontId="23" fillId="2" borderId="0" xfId="0" applyFont="1" applyFill="1" applyBorder="1" applyAlignment="1" applyProtection="1">
      <alignment horizontal="right"/>
      <protection locked="0" hidden="1"/>
    </xf>
    <xf numFmtId="0" fontId="16" fillId="2" borderId="0" xfId="0" applyFont="1" applyFill="1" applyBorder="1" applyAlignment="1">
      <alignment horizontal="left"/>
    </xf>
    <xf numFmtId="0" fontId="16" fillId="2" borderId="37" xfId="0" applyFont="1" applyFill="1" applyBorder="1" applyAlignment="1"/>
    <xf numFmtId="0" fontId="16" fillId="2" borderId="38" xfId="0" applyFont="1" applyFill="1" applyBorder="1" applyAlignment="1"/>
    <xf numFmtId="0" fontId="16" fillId="2" borderId="39" xfId="0" applyFont="1" applyFill="1" applyBorder="1" applyAlignment="1"/>
    <xf numFmtId="4" fontId="16" fillId="2" borderId="24" xfId="0" applyNumberFormat="1" applyFont="1" applyFill="1" applyBorder="1" applyAlignment="1"/>
    <xf numFmtId="4" fontId="16" fillId="2" borderId="35" xfId="0" applyNumberFormat="1" applyFont="1" applyFill="1" applyBorder="1" applyAlignment="1"/>
    <xf numFmtId="0" fontId="0" fillId="0" borderId="35" xfId="0" applyBorder="1" applyAlignment="1"/>
    <xf numFmtId="0" fontId="0" fillId="0" borderId="23" xfId="0" applyBorder="1" applyAlignment="1"/>
    <xf numFmtId="0" fontId="21" fillId="2" borderId="0" xfId="0" applyFont="1" applyFill="1" applyBorder="1" applyAlignment="1" applyProtection="1"/>
    <xf numFmtId="0" fontId="21" fillId="2" borderId="0" xfId="0" applyFont="1" applyFill="1" applyBorder="1" applyAlignment="1"/>
    <xf numFmtId="0" fontId="0" fillId="0" borderId="0" xfId="0" applyBorder="1" applyAlignment="1">
      <alignment horizontal="left"/>
    </xf>
    <xf numFmtId="0" fontId="0" fillId="3" borderId="27" xfId="0" applyFill="1" applyBorder="1" applyAlignment="1">
      <alignment horizontal="left"/>
    </xf>
    <xf numFmtId="0" fontId="16" fillId="3" borderId="31" xfId="0" applyFont="1" applyFill="1" applyBorder="1" applyAlignment="1">
      <alignment horizontal="left"/>
    </xf>
    <xf numFmtId="0" fontId="16" fillId="3" borderId="33" xfId="0" applyFont="1" applyFill="1" applyBorder="1" applyAlignment="1">
      <alignment horizontal="left"/>
    </xf>
    <xf numFmtId="0" fontId="15" fillId="3" borderId="33" xfId="0" applyFont="1" applyFill="1" applyBorder="1" applyAlignment="1">
      <alignment horizontal="left"/>
    </xf>
    <xf numFmtId="0" fontId="15" fillId="3" borderId="32" xfId="0" applyFont="1" applyFill="1" applyBorder="1" applyAlignment="1">
      <alignment horizontal="left"/>
    </xf>
    <xf numFmtId="0" fontId="10" fillId="0" borderId="0" xfId="0" applyFont="1" applyAlignment="1">
      <alignment horizontal="left"/>
    </xf>
    <xf numFmtId="0" fontId="0" fillId="0" borderId="0" xfId="0" applyBorder="1" applyAlignment="1" applyProtection="1">
      <protection locked="0" hidden="1"/>
    </xf>
    <xf numFmtId="0" fontId="0" fillId="0" borderId="0" xfId="0" applyAlignment="1"/>
    <xf numFmtId="0" fontId="15" fillId="3" borderId="29" xfId="0" applyFont="1" applyFill="1" applyBorder="1" applyAlignment="1">
      <alignment horizontal="left"/>
    </xf>
    <xf numFmtId="0" fontId="15" fillId="3" borderId="29" xfId="0" applyFont="1" applyFill="1" applyBorder="1" applyAlignment="1"/>
    <xf numFmtId="0" fontId="18" fillId="3" borderId="31" xfId="0" applyFont="1" applyFill="1" applyBorder="1" applyAlignment="1">
      <alignment horizontal="left"/>
    </xf>
    <xf numFmtId="0" fontId="0" fillId="0" borderId="32" xfId="0" applyBorder="1" applyAlignment="1">
      <alignment horizontal="left"/>
    </xf>
    <xf numFmtId="0" fontId="39" fillId="3" borderId="31" xfId="0" applyFont="1" applyFill="1" applyBorder="1" applyAlignment="1">
      <alignment horizontal="left"/>
    </xf>
    <xf numFmtId="0" fontId="11" fillId="0" borderId="32" xfId="0" applyFont="1" applyBorder="1" applyAlignment="1">
      <alignment horizontal="left"/>
    </xf>
    <xf numFmtId="0" fontId="16" fillId="2" borderId="17" xfId="0" applyFont="1" applyFill="1" applyBorder="1" applyAlignment="1">
      <alignment horizontal="center"/>
    </xf>
    <xf numFmtId="0" fontId="15" fillId="2" borderId="18" xfId="0" applyFont="1" applyFill="1" applyBorder="1" applyAlignment="1">
      <alignment horizontal="center"/>
    </xf>
    <xf numFmtId="0" fontId="15" fillId="2" borderId="17" xfId="0" applyFont="1" applyFill="1" applyBorder="1" applyAlignment="1">
      <alignment horizontal="center"/>
    </xf>
    <xf numFmtId="0" fontId="16" fillId="2" borderId="17" xfId="0" applyFont="1" applyFill="1" applyBorder="1" applyAlignment="1"/>
    <xf numFmtId="0" fontId="15" fillId="2" borderId="17" xfId="0" applyFont="1" applyFill="1" applyBorder="1" applyAlignment="1"/>
    <xf numFmtId="2" fontId="16" fillId="2" borderId="24" xfId="0" applyNumberFormat="1" applyFont="1" applyFill="1" applyBorder="1"/>
  </cellXfs>
  <cellStyles count="2">
    <cellStyle name="Lien hypertexte" xfId="1" builtinId="8"/>
    <cellStyle name="Normal" xfId="0" builtinId="0"/>
  </cellStyles>
  <dxfs count="21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color theme="0"/>
      </font>
      <border>
        <left/>
        <right/>
        <top/>
        <bottom/>
      </border>
    </dxf>
  </dxfs>
  <tableStyles count="0" defaultTableStyle="TableStyleMedium2" defaultPivotStyle="PivotStyleLight16"/>
  <colors>
    <mruColors>
      <color rgb="FFFACDA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file:///D:\Mes%20Documents\Documents%20en%20ligne\Mauridul%20Lt&#233;e\zData\admin2.jpg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ambroise\Documents\Documents%20en%20ligne\Mauridul%20Lt&#233;e\zData\admin1.jpg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10</xdr:row>
          <xdr:rowOff>19050</xdr:rowOff>
        </xdr:from>
        <xdr:to>
          <xdr:col>34</xdr:col>
          <xdr:colOff>0</xdr:colOff>
          <xdr:row>11</xdr:row>
          <xdr:rowOff>133350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495300</xdr:colOff>
      <xdr:row>42</xdr:row>
      <xdr:rowOff>38100</xdr:rowOff>
    </xdr:from>
    <xdr:to>
      <xdr:col>6</xdr:col>
      <xdr:colOff>533050</xdr:colOff>
      <xdr:row>44</xdr:row>
      <xdr:rowOff>57150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3219450" y="8096250"/>
          <a:ext cx="1028350" cy="4000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352425</xdr:colOff>
      <xdr:row>42</xdr:row>
      <xdr:rowOff>95249</xdr:rowOff>
    </xdr:from>
    <xdr:to>
      <xdr:col>3</xdr:col>
      <xdr:colOff>631974</xdr:colOff>
      <xdr:row>44</xdr:row>
      <xdr:rowOff>114299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3219450" y="8096249"/>
          <a:ext cx="1041549" cy="4000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a.dubois@cover-tech.net" TargetMode="External"/><Relationship Id="rId2" Type="http://schemas.openxmlformats.org/officeDocument/2006/relationships/hyperlink" Target="mailto:a.dubois@intnet.mu" TargetMode="External"/><Relationship Id="rId1" Type="http://schemas.openxmlformats.org/officeDocument/2006/relationships/hyperlink" Target="mailto:epad@bluewin.ch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L202"/>
  <sheetViews>
    <sheetView tabSelected="1" topLeftCell="C1" workbookViewId="0">
      <selection activeCell="AH22" sqref="AH22"/>
    </sheetView>
  </sheetViews>
  <sheetFormatPr baseColWidth="10" defaultRowHeight="15" x14ac:dyDescent="0.25"/>
  <cols>
    <col min="1" max="1" width="2.5703125" customWidth="1"/>
    <col min="2" max="2" width="0.140625" style="121" customWidth="1"/>
    <col min="3" max="3" width="7.5703125" customWidth="1"/>
    <col min="4" max="4" width="0.140625" style="121" customWidth="1"/>
    <col min="5" max="5" width="16.28515625" customWidth="1"/>
    <col min="6" max="6" width="1.5703125" style="121" customWidth="1"/>
    <col min="7" max="7" width="22.28515625" customWidth="1"/>
    <col min="8" max="8" width="10" customWidth="1"/>
    <col min="9" max="9" width="7" customWidth="1"/>
    <col min="10" max="10" width="0.140625" style="121" customWidth="1"/>
    <col min="11" max="11" width="3.28515625" customWidth="1"/>
    <col min="12" max="12" width="0.140625" style="121" customWidth="1"/>
    <col min="13" max="13" width="10.7109375" customWidth="1"/>
    <col min="14" max="14" width="0.140625" style="121" customWidth="1"/>
    <col min="15" max="15" width="7" customWidth="1"/>
    <col min="16" max="16" width="2.7109375" customWidth="1"/>
    <col min="17" max="17" width="7.85546875" customWidth="1"/>
    <col min="18" max="18" width="2.7109375" customWidth="1"/>
    <col min="19" max="19" width="2.42578125" customWidth="1"/>
    <col min="20" max="22" width="11.42578125" hidden="1" customWidth="1"/>
    <col min="23" max="23" width="11.140625" hidden="1" customWidth="1"/>
    <col min="24" max="31" width="11.42578125" hidden="1" customWidth="1"/>
    <col min="32" max="32" width="4.42578125" hidden="1" customWidth="1"/>
    <col min="33" max="33" width="2.85546875" customWidth="1"/>
    <col min="34" max="34" width="39.140625" customWidth="1"/>
    <col min="35" max="35" width="4.7109375" style="17" customWidth="1"/>
    <col min="36" max="50" width="11.7109375" hidden="1" customWidth="1"/>
    <col min="51" max="90" width="0" hidden="1" customWidth="1"/>
  </cols>
  <sheetData>
    <row r="1" spans="1:90" ht="15" customHeight="1" x14ac:dyDescent="0.25">
      <c r="A1" s="96"/>
      <c r="B1" s="117"/>
      <c r="C1" s="48" t="s">
        <v>345</v>
      </c>
      <c r="D1" s="122"/>
      <c r="E1" s="89">
        <v>20185337</v>
      </c>
      <c r="F1" s="129"/>
      <c r="G1" s="219" t="s">
        <v>208</v>
      </c>
      <c r="H1" s="220"/>
      <c r="I1" s="220"/>
      <c r="J1" s="220"/>
      <c r="K1" s="220"/>
      <c r="L1" s="220"/>
      <c r="M1" s="220"/>
      <c r="N1" s="148"/>
      <c r="O1" s="90" t="s">
        <v>198</v>
      </c>
      <c r="P1" s="221" t="str">
        <f ca="1">U5&amp;U3&amp;U7&amp;T2&amp;U9</f>
        <v>1011310Q1000</v>
      </c>
      <c r="Q1" s="222"/>
      <c r="R1" s="222"/>
      <c r="S1" s="97"/>
      <c r="T1" s="107"/>
    </row>
    <row r="2" spans="1:90" ht="15" customHeight="1" x14ac:dyDescent="0.25">
      <c r="A2" s="37"/>
      <c r="B2" s="118"/>
      <c r="C2" s="90" t="s">
        <v>360</v>
      </c>
      <c r="D2" s="123"/>
      <c r="E2" s="91" t="s">
        <v>361</v>
      </c>
      <c r="F2" s="130"/>
      <c r="G2" s="220"/>
      <c r="H2" s="220"/>
      <c r="I2" s="220"/>
      <c r="J2" s="220"/>
      <c r="K2" s="220"/>
      <c r="L2" s="220"/>
      <c r="M2" s="220"/>
      <c r="N2" s="148"/>
      <c r="O2" s="48"/>
      <c r="P2" s="222"/>
      <c r="Q2" s="222"/>
      <c r="R2" s="222"/>
      <c r="S2" s="39"/>
      <c r="T2" s="154" t="str">
        <f>IF(G35=AD5,"X",IF(G35=AD11,"X",IF(G1=X2,"F",IF(G1=X3,"P",IF(G1=X4,"Q",IF(G1=X5,"C",""))))))</f>
        <v>Q</v>
      </c>
      <c r="U2" t="s">
        <v>318</v>
      </c>
      <c r="V2" s="171" t="s">
        <v>200</v>
      </c>
      <c r="W2" s="170">
        <v>1</v>
      </c>
      <c r="X2" s="68" t="s">
        <v>197</v>
      </c>
      <c r="Y2" s="67" t="s">
        <v>3</v>
      </c>
      <c r="Z2" s="30" t="s">
        <v>257</v>
      </c>
      <c r="AA2" s="33" t="s">
        <v>187</v>
      </c>
      <c r="AB2" s="70" t="s">
        <v>340</v>
      </c>
      <c r="AC2" s="75" t="s">
        <v>291</v>
      </c>
      <c r="AD2" s="30" t="s">
        <v>262</v>
      </c>
      <c r="AE2" s="30" t="s">
        <v>385</v>
      </c>
      <c r="AH2" s="83" t="str">
        <f>IF(T2=T4,"Fact.",IF(T2=T6,"P.format.",IF(T2=T8,"C.note",IF(T2=T10,"Quot.",IF(T2=T12,"X","")))))</f>
        <v>Quot.</v>
      </c>
      <c r="AL2" s="158" t="str">
        <f>IF(ISERROR(IF(G3=VLOOKUP(G3,BDD!A:A,1,FALSE),"")),"x","")</f>
        <v/>
      </c>
    </row>
    <row r="3" spans="1:90" x14ac:dyDescent="0.25">
      <c r="A3" s="37"/>
      <c r="B3" s="118"/>
      <c r="C3" s="38"/>
      <c r="D3" s="160" t="str">
        <f t="shared" ref="D3:D4" si="0">IF($E$9="","",1)</f>
        <v/>
      </c>
      <c r="E3" s="92" t="s">
        <v>199</v>
      </c>
      <c r="F3" s="159"/>
      <c r="G3" s="257" t="s">
        <v>426</v>
      </c>
      <c r="H3" s="258"/>
      <c r="I3" s="93" t="str">
        <f>IF(G3="","","Tél:")</f>
        <v>Tél:</v>
      </c>
      <c r="J3" s="141" t="str">
        <f>IF(K3=""," "&amp;AM3,IF(K3=1,"",K3))</f>
        <v xml:space="preserve"> +41329316707</v>
      </c>
      <c r="K3" s="187"/>
      <c r="L3" s="188"/>
      <c r="M3" s="189"/>
      <c r="N3" s="189"/>
      <c r="O3" s="189"/>
      <c r="P3" s="189"/>
      <c r="Q3" s="189"/>
      <c r="R3" s="190"/>
      <c r="S3" s="39"/>
      <c r="T3" s="153"/>
      <c r="U3" s="79" t="str">
        <f ca="1">TEXT(TODAY(),"aa")</f>
        <v>13</v>
      </c>
      <c r="V3" s="25" t="s">
        <v>201</v>
      </c>
      <c r="W3" s="27">
        <v>2</v>
      </c>
      <c r="X3" s="25" t="s">
        <v>207</v>
      </c>
      <c r="Y3" s="17" t="s">
        <v>243</v>
      </c>
      <c r="Z3" s="31" t="s">
        <v>258</v>
      </c>
      <c r="AA3" s="34" t="s">
        <v>251</v>
      </c>
      <c r="AB3" s="71" t="s">
        <v>341</v>
      </c>
      <c r="AC3" s="76" t="s">
        <v>292</v>
      </c>
      <c r="AD3" s="29" t="s">
        <v>263</v>
      </c>
      <c r="AE3" s="156" t="s">
        <v>386</v>
      </c>
      <c r="AH3" s="84" t="str">
        <f ca="1">AH2&amp;" "&amp;P1&amp;" "&amp;TEXT(TODAY(),"jj.mm.aa")&amp;"  "&amp;G4&amp;" "&amp;G5</f>
        <v xml:space="preserve">Quot. 1011310Q1000 11.10.13   </v>
      </c>
      <c r="AJ3" t="str">
        <f>IF(G3="","","x")</f>
        <v>x</v>
      </c>
      <c r="AK3" t="str">
        <f>IF(AL2=AJ3,"x","")</f>
        <v/>
      </c>
      <c r="AL3" s="167" t="str">
        <f>IF($G$3="","",IF(VLOOKUP($G$3,BDD!A:J,10,FALSE)=0,"",VLOOKUP($G$3,BDD!A:J,10,FALSE)))</f>
        <v>+41329316707</v>
      </c>
      <c r="AM3" s="164" t="str">
        <f>IF(ISERROR(AL3),"",AL3)</f>
        <v>+41329316707</v>
      </c>
      <c r="AN3" s="164"/>
      <c r="AO3" s="164"/>
      <c r="AP3" s="164" t="e">
        <f>IF($G$3="","",VLOOKUP($G$3,BDD!AG:AO,9,FALSE))</f>
        <v>#N/A</v>
      </c>
      <c r="AQ3" s="164"/>
      <c r="AR3" s="164" t="e">
        <f>IF($G$3="","",VLOOKUP($G$3,BDD!AI:AQ,9,FALSE))</f>
        <v>#N/A</v>
      </c>
      <c r="AS3" s="164"/>
    </row>
    <row r="4" spans="1:90" x14ac:dyDescent="0.25">
      <c r="A4" s="37"/>
      <c r="B4" s="118"/>
      <c r="C4" s="38"/>
      <c r="D4" s="160" t="str">
        <f t="shared" si="0"/>
        <v/>
      </c>
      <c r="E4" s="92" t="str">
        <f>IF($Y$43="i","Nom:",IF($Y$43="c","Compagnie:",""))</f>
        <v>Nom:</v>
      </c>
      <c r="F4" s="141" t="str">
        <f>IF(G4=""," "&amp;AK4,IF(G4=1,"",G4))</f>
        <v xml:space="preserve"> </v>
      </c>
      <c r="G4" s="185"/>
      <c r="H4" s="186"/>
      <c r="I4" s="93" t="str">
        <f>IF(G3="","","Mob:")</f>
        <v>Mob:</v>
      </c>
      <c r="J4" s="141" t="str">
        <f>IF(K4=""," "&amp;AM4,IF(K4=1,"",K4))</f>
        <v xml:space="preserve"> +41792402339</v>
      </c>
      <c r="K4" s="185"/>
      <c r="L4" s="191"/>
      <c r="M4" s="192"/>
      <c r="N4" s="192"/>
      <c r="O4" s="192"/>
      <c r="P4" s="192"/>
      <c r="Q4" s="192"/>
      <c r="R4" s="193"/>
      <c r="S4" s="39"/>
      <c r="T4" t="s">
        <v>308</v>
      </c>
      <c r="U4" s="14" t="s">
        <v>312</v>
      </c>
      <c r="V4" s="25" t="s">
        <v>202</v>
      </c>
      <c r="W4" s="27">
        <v>3</v>
      </c>
      <c r="X4" s="25" t="s">
        <v>208</v>
      </c>
      <c r="Y4" s="17" t="s">
        <v>244</v>
      </c>
      <c r="Z4" s="29" t="s">
        <v>259</v>
      </c>
      <c r="AA4" s="34" t="s">
        <v>113</v>
      </c>
      <c r="AB4" s="72" t="s">
        <v>293</v>
      </c>
      <c r="AC4" s="77" t="s">
        <v>293</v>
      </c>
      <c r="AD4" s="29" t="s">
        <v>269</v>
      </c>
      <c r="AH4" s="82"/>
      <c r="AI4" s="27"/>
      <c r="AJ4" s="163" t="str">
        <f>IF($G$3="","",IF(VLOOKUP($G$3,BDD!A:C,3,FALSE)=0,"",VLOOKUP($G$3,BDD!A:C,3,FALSE)))</f>
        <v/>
      </c>
      <c r="AK4" s="164" t="str">
        <f>IF(ISERROR(AJ4),"",AJ4)</f>
        <v/>
      </c>
      <c r="AL4" t="str">
        <f>IF($G$3="","",IF(VLOOKUP($G$3,BDD!A:K,11,FALSE)=0,"",VLOOKUP($G$3,BDD!A:K,11,FALSE)))</f>
        <v>+41792402339</v>
      </c>
      <c r="AM4" s="164" t="str">
        <f>IF(ISERROR(AL4),"",AL4)</f>
        <v>+41792402339</v>
      </c>
      <c r="AP4" t="e">
        <f>IF($G$3="","",VLOOKUP($G$3,BDD!AG:AO,9,FALSE))</f>
        <v>#N/A</v>
      </c>
      <c r="AR4" t="e">
        <f>IF($G$3="","",VLOOKUP($G$3,BDD!AI:AQ,9,FALSE))</f>
        <v>#N/A</v>
      </c>
    </row>
    <row r="5" spans="1:90" ht="15.75" x14ac:dyDescent="0.25">
      <c r="A5" s="37"/>
      <c r="B5" s="118"/>
      <c r="C5" s="38"/>
      <c r="D5" s="160" t="str">
        <f>IF($E$9="","",1)</f>
        <v/>
      </c>
      <c r="E5" s="92" t="str">
        <f>IF($Y$43="i","Prénom:",IF($Y$43="c","Contact:",""))</f>
        <v>Prénom:</v>
      </c>
      <c r="F5" s="141" t="str">
        <f>IF(G5=""," "&amp;AK5,IF(G5=1,"",G5))</f>
        <v xml:space="preserve"> Pierre-André</v>
      </c>
      <c r="G5" s="185"/>
      <c r="H5" s="186"/>
      <c r="I5" s="93" t="str">
        <f>IF(G3="","","Fax:")</f>
        <v>Fax:</v>
      </c>
      <c r="J5" s="141" t="str">
        <f>IF(K5=""," "&amp;AM5,IF(K5=1,"",K5))</f>
        <v xml:space="preserve"> </v>
      </c>
      <c r="K5" s="185"/>
      <c r="L5" s="191"/>
      <c r="M5" s="192"/>
      <c r="N5" s="192"/>
      <c r="O5" s="192"/>
      <c r="P5" s="192"/>
      <c r="Q5" s="192"/>
      <c r="R5" s="193"/>
      <c r="S5" s="39"/>
      <c r="T5" s="94">
        <v>1004</v>
      </c>
      <c r="U5" s="169">
        <f>Data!B2</f>
        <v>101</v>
      </c>
      <c r="V5" s="25" t="s">
        <v>203</v>
      </c>
      <c r="W5" s="27">
        <v>4</v>
      </c>
      <c r="X5" s="26" t="s">
        <v>274</v>
      </c>
      <c r="Y5" s="17" t="s">
        <v>245</v>
      </c>
      <c r="Z5" s="29" t="s">
        <v>260</v>
      </c>
      <c r="AA5" s="34" t="s">
        <v>252</v>
      </c>
      <c r="AB5" s="72" t="s">
        <v>294</v>
      </c>
      <c r="AC5" s="77" t="s">
        <v>294</v>
      </c>
      <c r="AD5" s="29" t="s">
        <v>301</v>
      </c>
      <c r="AH5" s="111" t="s">
        <v>343</v>
      </c>
      <c r="AJ5" s="163" t="str">
        <f>IF($G$3="","",IF(VLOOKUP($G$3,BDD!A:D,4,FALSE)=0,"",VLOOKUP($G$3,BDD!A:D,4,FALSE)))</f>
        <v>Pierre-André</v>
      </c>
      <c r="AK5" s="164" t="str">
        <f>IF(ISERROR(AJ5),"",AJ5)</f>
        <v>Pierre-André</v>
      </c>
      <c r="AL5" t="str">
        <f>IF($G$3="","",IF(VLOOKUP($G$3,BDD!A:L,12,FALSE)=0,"",VLOOKUP($G$3,BDD!A:L,12,FALSE)))</f>
        <v/>
      </c>
      <c r="AM5" s="164" t="str">
        <f t="shared" ref="AM5:AM6" si="1">IF(ISERROR(AL5),"",AL5)</f>
        <v/>
      </c>
      <c r="AP5" t="e">
        <f>IF($G$3="","",VLOOKUP($G$3,BDD!AG:AO,9,FALSE))</f>
        <v>#N/A</v>
      </c>
      <c r="AR5" t="e">
        <f>IF($G$3="","",VLOOKUP($G$3,BDD!AI:AQ,9,FALSE))</f>
        <v>#N/A</v>
      </c>
    </row>
    <row r="6" spans="1:90" x14ac:dyDescent="0.25">
      <c r="A6" s="37"/>
      <c r="B6" s="118"/>
      <c r="C6" s="38"/>
      <c r="D6" s="160" t="str">
        <f t="shared" ref="D6:D9" si="2">IF($E$9="","",1)</f>
        <v/>
      </c>
      <c r="E6" s="92" t="str">
        <f>IF(G3="","","Adresse:")</f>
        <v>Adresse:</v>
      </c>
      <c r="F6" s="141" t="str">
        <f>IF(G6=""," "&amp;AK6,IF(G6=1,"",G6))</f>
        <v xml:space="preserve"> Clos a bec 3</v>
      </c>
      <c r="G6" s="185"/>
      <c r="H6" s="186"/>
      <c r="I6" s="93" t="str">
        <f>IF(G3="","","e-mail:")</f>
        <v>e-mail:</v>
      </c>
      <c r="J6" s="141" t="str">
        <f>IF(K6=""," "&amp;AM6,IF(K6=1,"",K6))</f>
        <v xml:space="preserve"> epad@bluewin.ch</v>
      </c>
      <c r="K6" s="185"/>
      <c r="L6" s="191"/>
      <c r="M6" s="192"/>
      <c r="N6" s="192"/>
      <c r="O6" s="192"/>
      <c r="P6" s="192"/>
      <c r="Q6" s="192"/>
      <c r="R6" s="193"/>
      <c r="S6" s="39"/>
      <c r="T6" t="s">
        <v>309</v>
      </c>
      <c r="U6" t="s">
        <v>317</v>
      </c>
      <c r="V6" s="25" t="s">
        <v>410</v>
      </c>
      <c r="W6" s="27">
        <v>5</v>
      </c>
      <c r="X6" s="35"/>
      <c r="Y6" s="17" t="s">
        <v>246</v>
      </c>
      <c r="Z6" s="26"/>
      <c r="AA6" s="18"/>
      <c r="AB6" s="72" t="s">
        <v>295</v>
      </c>
      <c r="AC6" s="77" t="s">
        <v>295</v>
      </c>
      <c r="AD6" s="25" t="s">
        <v>280</v>
      </c>
      <c r="AH6" s="112" t="str">
        <f ca="1">IF(AH9="",AH3,AH9)</f>
        <v xml:space="preserve">Quot. 1011310Q1000 11.10.13   </v>
      </c>
      <c r="AJ6" s="163" t="str">
        <f>IF($G$3="","",IF(VLOOKUP($G$3,BDD!A:E,5,FALSE)=0,"",VLOOKUP($G$3,BDD!A:E,5,FALSE)))</f>
        <v>Clos a bec 3</v>
      </c>
      <c r="AK6" s="164" t="str">
        <f t="shared" ref="AK6:AK8" si="3">IF(ISERROR(AJ6),"",AJ6)</f>
        <v>Clos a bec 3</v>
      </c>
      <c r="AL6" t="str">
        <f>IF($G$3="","",IF(VLOOKUP($G$3,BDD!A:M,13,FALSE)=0,"",VLOOKUP($G$3,BDD!A:M,13,FALSE)))</f>
        <v>epad@bluewin.ch</v>
      </c>
      <c r="AM6" s="164" t="str">
        <f t="shared" si="1"/>
        <v>epad@bluewin.ch</v>
      </c>
      <c r="AP6" t="e">
        <f>IF($G$3="","",VLOOKUP($G$3,BDD!AG:AO,9,FALSE))</f>
        <v>#N/A</v>
      </c>
      <c r="AR6" t="e">
        <f>IF($G$3="","",VLOOKUP($G$3,BDD!AI:AQ,9,FALSE))</f>
        <v>#N/A</v>
      </c>
    </row>
    <row r="7" spans="1:90" ht="15.75" x14ac:dyDescent="0.25">
      <c r="A7" s="37"/>
      <c r="B7" s="118"/>
      <c r="C7" s="38"/>
      <c r="D7" s="160" t="str">
        <f t="shared" si="2"/>
        <v/>
      </c>
      <c r="E7" s="92" t="str">
        <f>IF(G3="","","NP &amp; Ville:")</f>
        <v>NP &amp; Ville:</v>
      </c>
      <c r="F7" s="141" t="str">
        <f>IF(G7=""," "&amp;AK7,IF(G7=1,"",G7))</f>
        <v xml:space="preserve"> 2314 La Sagne</v>
      </c>
      <c r="G7" s="185"/>
      <c r="H7" s="186"/>
      <c r="I7" s="38"/>
      <c r="J7" s="141"/>
      <c r="K7" s="165"/>
      <c r="L7" s="165"/>
      <c r="M7" s="166"/>
      <c r="N7" s="166"/>
      <c r="O7" s="166"/>
      <c r="P7" s="166"/>
      <c r="Q7" s="166"/>
      <c r="R7" s="166"/>
      <c r="S7" s="39"/>
      <c r="T7" s="3">
        <v>1000</v>
      </c>
      <c r="U7" s="79" t="str">
        <f ca="1">TEXT(TODAY(),"mm")</f>
        <v>10</v>
      </c>
      <c r="V7" s="26"/>
      <c r="W7" s="17">
        <v>6</v>
      </c>
      <c r="Y7" s="25" t="s">
        <v>194</v>
      </c>
      <c r="AB7" s="71" t="s">
        <v>296</v>
      </c>
      <c r="AC7" s="76" t="s">
        <v>296</v>
      </c>
      <c r="AD7" s="25" t="s">
        <v>282</v>
      </c>
      <c r="AH7" s="98"/>
      <c r="AJ7" s="163" t="str">
        <f>IF($G$3="","",IF(VLOOKUP($G$3,BDD!A:H,8,FALSE)=0,"",VLOOKUP($G$3,BDD!A:H,8,FALSE)))</f>
        <v>2314 La Sagne</v>
      </c>
      <c r="AK7" s="164" t="str">
        <f t="shared" si="3"/>
        <v>2314 La Sagne</v>
      </c>
    </row>
    <row r="8" spans="1:90" ht="15.75" x14ac:dyDescent="0.25">
      <c r="A8" s="37"/>
      <c r="B8" s="118"/>
      <c r="C8" s="38"/>
      <c r="D8" s="160" t="str">
        <f t="shared" si="2"/>
        <v/>
      </c>
      <c r="E8" s="92" t="str">
        <f>IF(G3="","","Pays:")</f>
        <v>Pays:</v>
      </c>
      <c r="F8" s="141" t="str">
        <f>IF(G8=""," "&amp;AK8,IF(G8=1,"",G8))</f>
        <v xml:space="preserve"> Suisse</v>
      </c>
      <c r="G8" s="185"/>
      <c r="H8" s="186"/>
      <c r="I8" s="48" t="str">
        <f>IF($Y$43="i","",IF($Y$43="c","No VAT:",""))</f>
        <v/>
      </c>
      <c r="J8" s="141" t="str">
        <f>IF(K8=""," "&amp;AM8,IF(K8=1,"",K8))</f>
        <v xml:space="preserve"> C/O Ambroise Dubois</v>
      </c>
      <c r="K8" s="185"/>
      <c r="L8" s="191"/>
      <c r="M8" s="192"/>
      <c r="N8" s="192"/>
      <c r="O8" s="192"/>
      <c r="P8" s="192"/>
      <c r="Q8" s="192"/>
      <c r="R8" s="186"/>
      <c r="S8" s="39"/>
      <c r="T8" t="s">
        <v>310</v>
      </c>
      <c r="U8" t="s">
        <v>383</v>
      </c>
      <c r="V8" s="27"/>
      <c r="W8" s="25">
        <v>7</v>
      </c>
      <c r="Y8" s="25" t="s">
        <v>195</v>
      </c>
      <c r="AB8" s="71" t="s">
        <v>297</v>
      </c>
      <c r="AC8" s="76" t="s">
        <v>297</v>
      </c>
      <c r="AD8" s="29" t="s">
        <v>283</v>
      </c>
      <c r="AH8" s="109" t="s">
        <v>344</v>
      </c>
      <c r="AJ8" s="163" t="str">
        <f>IF($G$3="","",IF(VLOOKUP($G$3,BDD!A:I,9,FALSE)=0,"",VLOOKUP($G$3,BDD!A:I,9,FALSE)))</f>
        <v>Suisse</v>
      </c>
      <c r="AK8" s="164" t="str">
        <f t="shared" si="3"/>
        <v>Suisse</v>
      </c>
      <c r="AL8" t="str">
        <f>IF($G$3="","",IF(VLOOKUP($G$3,BDD!A:N,14,FALSE)=0,"",VLOOKUP($G$3,BDD!A:N,14,FALSE)))</f>
        <v>C/O Ambroise Dubois</v>
      </c>
      <c r="AM8" s="164" t="str">
        <f t="shared" ref="AM8:AM9" si="4">IF(ISERROR(AL8),"",AL8)</f>
        <v>C/O Ambroise Dubois</v>
      </c>
    </row>
    <row r="9" spans="1:90" ht="15.75" x14ac:dyDescent="0.25">
      <c r="A9" s="37"/>
      <c r="B9" s="118"/>
      <c r="C9" s="38"/>
      <c r="D9" s="162" t="str">
        <f t="shared" si="2"/>
        <v/>
      </c>
      <c r="E9" s="161" t="str">
        <f>IF(AK3="x",IF(G9="","TYPE DE COMPTE:",""),"")</f>
        <v/>
      </c>
      <c r="F9" s="119"/>
      <c r="G9" s="157"/>
      <c r="H9" s="40"/>
      <c r="I9" s="48" t="str">
        <f>IF($Y$43="i","Adresse a Maurice:",IF($Y$43="c","No BRN:",""))</f>
        <v>Adresse a Maurice:</v>
      </c>
      <c r="J9" s="141" t="str">
        <f>IF(K9=""," "&amp;AM9,IF(K9=1,"",K9))</f>
        <v xml:space="preserve"> Royal Road / St-Malo / Baie Du Tombeau</v>
      </c>
      <c r="K9" s="185"/>
      <c r="L9" s="191"/>
      <c r="M9" s="192"/>
      <c r="N9" s="192"/>
      <c r="O9" s="192"/>
      <c r="P9" s="192"/>
      <c r="Q9" s="192"/>
      <c r="R9" s="186"/>
      <c r="S9" s="39"/>
      <c r="T9" s="3">
        <v>1002</v>
      </c>
      <c r="U9">
        <f>IF(T2=T4,T5,IF(T2=T6,T7,IF(T2=T8,T9,IF(T2=T10,T11,IF(T2=T12,T13,"")))))</f>
        <v>1000</v>
      </c>
      <c r="V9" s="27"/>
      <c r="W9" s="25">
        <v>8</v>
      </c>
      <c r="Y9" s="25" t="s">
        <v>247</v>
      </c>
      <c r="AB9" s="71" t="s">
        <v>298</v>
      </c>
      <c r="AC9" s="76" t="s">
        <v>298</v>
      </c>
      <c r="AD9" s="29" t="s">
        <v>284</v>
      </c>
      <c r="AH9" s="110"/>
      <c r="AL9" t="str">
        <f>IF($G$3="","",IF(VLOOKUP($G$3,BDD!A:O,15,FALSE)=0,"",VLOOKUP($G$3,BDD!A:O,15,FALSE)))</f>
        <v>Royal Road / St-Malo / Baie Du Tombeau</v>
      </c>
      <c r="AM9" s="164" t="str">
        <f t="shared" si="4"/>
        <v>Royal Road / St-Malo / Baie Du Tombeau</v>
      </c>
    </row>
    <row r="10" spans="1:90" x14ac:dyDescent="0.25">
      <c r="A10" s="37"/>
      <c r="B10" s="118"/>
      <c r="C10" s="38"/>
      <c r="D10" s="119"/>
      <c r="E10" s="38"/>
      <c r="F10" s="119"/>
      <c r="G10" s="38"/>
      <c r="H10" s="38"/>
      <c r="I10" s="48" t="s">
        <v>425</v>
      </c>
      <c r="J10" s="119" t="str">
        <f>IF(K10="",IF($R$10="","",AJ10),K10)</f>
        <v/>
      </c>
      <c r="K10" s="211"/>
      <c r="M10" s="212"/>
      <c r="N10" s="149"/>
      <c r="O10" s="38"/>
      <c r="P10" s="38"/>
      <c r="Q10" s="48" t="s">
        <v>441</v>
      </c>
      <c r="R10" s="195"/>
      <c r="S10" s="39"/>
      <c r="T10" t="s">
        <v>311</v>
      </c>
      <c r="V10" s="27"/>
      <c r="W10" s="28">
        <v>9</v>
      </c>
      <c r="Y10" s="25" t="s">
        <v>193</v>
      </c>
      <c r="AB10" s="71" t="s">
        <v>299</v>
      </c>
      <c r="AC10" s="76" t="s">
        <v>299</v>
      </c>
      <c r="AD10" s="29" t="s">
        <v>285</v>
      </c>
      <c r="AJ10" t="str">
        <f>IF(R10="","",VLOOKUP(G3,BDD!A:P,16,FALSE))</f>
        <v/>
      </c>
      <c r="AX10" s="183" t="s">
        <v>411</v>
      </c>
      <c r="AY10" s="173"/>
      <c r="AZ10" s="173"/>
      <c r="BA10" s="173"/>
      <c r="BB10" s="173"/>
      <c r="BC10" s="183" t="s">
        <v>412</v>
      </c>
      <c r="BD10" s="24"/>
      <c r="BE10" s="24"/>
      <c r="BF10" s="24"/>
      <c r="BG10" s="24"/>
      <c r="BH10" s="183" t="s">
        <v>413</v>
      </c>
      <c r="BI10" s="24"/>
      <c r="BJ10" s="24"/>
      <c r="BK10" s="24"/>
      <c r="BL10" s="24"/>
      <c r="BM10" s="183" t="s">
        <v>414</v>
      </c>
      <c r="BN10" s="24"/>
      <c r="BO10" s="24"/>
      <c r="BP10" s="24"/>
      <c r="BQ10" s="24"/>
      <c r="BR10" s="183" t="s">
        <v>415</v>
      </c>
      <c r="BS10" s="24"/>
      <c r="BT10" s="24"/>
      <c r="BU10" s="24"/>
      <c r="BV10" s="24"/>
      <c r="BW10" s="183" t="s">
        <v>416</v>
      </c>
      <c r="BX10" s="24"/>
      <c r="BY10" s="24"/>
      <c r="BZ10" s="24"/>
      <c r="CA10" s="24"/>
      <c r="CB10" s="183" t="s">
        <v>417</v>
      </c>
      <c r="CC10" s="24"/>
      <c r="CD10" s="24"/>
      <c r="CE10" s="24"/>
      <c r="CF10" s="24"/>
      <c r="CG10" s="184" t="s">
        <v>418</v>
      </c>
      <c r="CH10" s="24"/>
      <c r="CI10" s="24"/>
      <c r="CJ10" s="24"/>
      <c r="CK10" s="24"/>
    </row>
    <row r="11" spans="1:90" x14ac:dyDescent="0.25">
      <c r="A11" s="207"/>
      <c r="B11" s="118"/>
      <c r="C11" s="55" t="s">
        <v>209</v>
      </c>
      <c r="D11" s="124"/>
      <c r="E11" s="262" t="s">
        <v>189</v>
      </c>
      <c r="F11" s="262"/>
      <c r="G11" s="263"/>
      <c r="H11" s="263"/>
      <c r="I11" s="263"/>
      <c r="J11" s="136"/>
      <c r="K11" s="56" t="s">
        <v>188</v>
      </c>
      <c r="L11" s="142"/>
      <c r="M11" s="86" t="s">
        <v>191</v>
      </c>
      <c r="N11" s="150"/>
      <c r="O11" s="259" t="s">
        <v>190</v>
      </c>
      <c r="P11" s="261"/>
      <c r="Q11" s="259" t="s">
        <v>192</v>
      </c>
      <c r="R11" s="260"/>
      <c r="S11" s="39"/>
      <c r="T11" s="3">
        <v>1000</v>
      </c>
      <c r="V11" s="27"/>
      <c r="W11" s="25">
        <v>10</v>
      </c>
      <c r="Y11" s="25" t="s">
        <v>248</v>
      </c>
      <c r="AB11" s="73" t="s">
        <v>300</v>
      </c>
      <c r="AC11" s="78" t="s">
        <v>300</v>
      </c>
      <c r="AD11" s="25" t="s">
        <v>302</v>
      </c>
      <c r="AP11" s="24" t="s">
        <v>411</v>
      </c>
      <c r="AQ11" s="24" t="s">
        <v>412</v>
      </c>
      <c r="AR11" s="24" t="s">
        <v>413</v>
      </c>
      <c r="AS11" s="24" t="s">
        <v>414</v>
      </c>
      <c r="AT11" s="24" t="s">
        <v>415</v>
      </c>
      <c r="AU11" s="24" t="s">
        <v>416</v>
      </c>
      <c r="AV11" s="24" t="s">
        <v>417</v>
      </c>
      <c r="AW11" s="24" t="s">
        <v>418</v>
      </c>
      <c r="AX11" s="173" t="s">
        <v>419</v>
      </c>
      <c r="AY11" s="173" t="s">
        <v>420</v>
      </c>
      <c r="AZ11" s="173" t="s">
        <v>421</v>
      </c>
      <c r="BA11" s="173" t="s">
        <v>422</v>
      </c>
      <c r="BB11" s="173" t="s">
        <v>423</v>
      </c>
      <c r="BC11" s="173" t="s">
        <v>419</v>
      </c>
      <c r="BD11" s="173" t="s">
        <v>420</v>
      </c>
      <c r="BE11" s="173" t="s">
        <v>421</v>
      </c>
      <c r="BF11" s="173" t="s">
        <v>422</v>
      </c>
      <c r="BG11" s="173" t="s">
        <v>423</v>
      </c>
      <c r="BH11" s="173" t="s">
        <v>419</v>
      </c>
      <c r="BI11" s="173" t="s">
        <v>420</v>
      </c>
      <c r="BJ11" s="173" t="s">
        <v>421</v>
      </c>
      <c r="BK11" s="173" t="s">
        <v>422</v>
      </c>
      <c r="BL11" s="173" t="s">
        <v>423</v>
      </c>
      <c r="BM11" s="173" t="s">
        <v>419</v>
      </c>
      <c r="BN11" s="173" t="s">
        <v>420</v>
      </c>
      <c r="BO11" s="173" t="s">
        <v>421</v>
      </c>
      <c r="BP11" s="173" t="s">
        <v>422</v>
      </c>
      <c r="BQ11" s="173" t="s">
        <v>423</v>
      </c>
      <c r="BR11" s="173" t="s">
        <v>419</v>
      </c>
      <c r="BS11" s="173" t="s">
        <v>420</v>
      </c>
      <c r="BT11" s="173" t="s">
        <v>421</v>
      </c>
      <c r="BU11" s="173" t="s">
        <v>422</v>
      </c>
      <c r="BV11" s="173" t="s">
        <v>423</v>
      </c>
      <c r="BW11" s="173" t="s">
        <v>419</v>
      </c>
      <c r="BX11" s="173" t="s">
        <v>420</v>
      </c>
      <c r="BY11" s="173" t="s">
        <v>421</v>
      </c>
      <c r="BZ11" s="173" t="s">
        <v>422</v>
      </c>
      <c r="CA11" s="173" t="s">
        <v>423</v>
      </c>
      <c r="CB11" s="173" t="s">
        <v>419</v>
      </c>
      <c r="CC11" s="173" t="s">
        <v>420</v>
      </c>
      <c r="CD11" s="173" t="s">
        <v>421</v>
      </c>
      <c r="CE11" s="173" t="s">
        <v>422</v>
      </c>
      <c r="CF11" s="173" t="s">
        <v>423</v>
      </c>
      <c r="CG11" s="173" t="s">
        <v>419</v>
      </c>
      <c r="CH11" s="173" t="s">
        <v>420</v>
      </c>
      <c r="CI11" s="173" t="s">
        <v>421</v>
      </c>
      <c r="CJ11" s="173" t="s">
        <v>422</v>
      </c>
      <c r="CK11" s="173" t="s">
        <v>423</v>
      </c>
      <c r="CL11" s="173" t="s">
        <v>440</v>
      </c>
    </row>
    <row r="12" spans="1:90" x14ac:dyDescent="0.25">
      <c r="A12" s="207">
        <f>IF(VLOOKUP($G$3,BDD!A:Q,17,FALSE)="","",VLOOKUP($G$3,BDD!A:Q,17,FALSE))</f>
        <v>41699</v>
      </c>
      <c r="B12" s="200" t="str">
        <f>IF(C12="",IF($R$10="","",IF(E12=1,""," "&amp;TEXT(A12,"jj/mm/aa"))),C12)</f>
        <v/>
      </c>
      <c r="C12" s="57"/>
      <c r="D12" s="202" t="str">
        <f>IF(E12="",IF($R$10="","",AJ12),IF(E12=1,"",E12))</f>
        <v/>
      </c>
      <c r="E12" s="180"/>
      <c r="F12" s="181"/>
      <c r="G12" s="178"/>
      <c r="H12" s="178"/>
      <c r="I12" s="179"/>
      <c r="J12" s="202" t="str">
        <f>IF(K12="",IF($R$10="","",IF(E12=1,""," "&amp;AK12)),K12)</f>
        <v/>
      </c>
      <c r="K12" s="54"/>
      <c r="L12" s="202" t="str">
        <f>IF(M12="",IF($R$10="","",IF(E12=1,"",AL12)),M12)</f>
        <v/>
      </c>
      <c r="M12" s="54"/>
      <c r="N12" s="202" t="str">
        <f>IF(O12="",IF($R$10=1,IF(E12=1,"",IF(M12="",AM12&amp;",00",AN12&amp;",00")),IF(AN12="","",AN12&amp;",00")),IF(O12="","",O12&amp;",00"))</f>
        <v/>
      </c>
      <c r="O12" s="264"/>
      <c r="P12" s="62" t="str">
        <f>IF(N12="","",$J$10)</f>
        <v/>
      </c>
      <c r="Q12" s="63" t="str">
        <f>IF(J12="","",IF(E12=BDDprix!$A$41,SUM(0-(N12*J12)),IF($G$1=$X$5,SUM(0-(N12*J12)),SUM(N12*J12))))</f>
        <v/>
      </c>
      <c r="R12" s="64" t="str">
        <f>IF(L12="","",$J$10)</f>
        <v/>
      </c>
      <c r="S12" s="39"/>
      <c r="T12" t="s">
        <v>261</v>
      </c>
      <c r="V12" s="27"/>
      <c r="W12" s="25">
        <v>11</v>
      </c>
      <c r="Y12" s="25" t="s">
        <v>249</v>
      </c>
      <c r="AB12" s="35"/>
      <c r="AC12" s="35"/>
      <c r="AD12" s="25" t="s">
        <v>374</v>
      </c>
      <c r="AJ12" s="201" t="str">
        <f>IF(VLOOKUP($G$3,BDD!A:HT,18,FALSE)="","",VLOOKUP($G$3,BDD!A:HT,18,FALSE))</f>
        <v>Journée Ilot Gabriel en catamaran, déjeuner (grillade) et boisson comprise.</v>
      </c>
      <c r="AK12" s="206">
        <f>IF(VLOOKUP($G$3,BDD!A:HU,19,FALSE)="","",VLOOKUP($G$3,BDD!A:HU,19,FALSE))</f>
        <v>3</v>
      </c>
      <c r="AL12" s="206" t="str">
        <f>IF(VLOOKUP($G$3,BDD!A:HV,20,FALSE)="","",VLOOKUP($G$3,BDD!A:HV,20,FALSE))</f>
        <v>pces</v>
      </c>
      <c r="AM12" s="206">
        <f>IF(VLOOKUP($G$3,BDD!A:HW,21,FALSE)="","",VLOOKUP($G$3,BDD!A:HW,21,FALSE))</f>
        <v>545</v>
      </c>
      <c r="AN12" s="167" t="str">
        <f>IF(ISERROR(CL12),"",CL12)</f>
        <v/>
      </c>
      <c r="AO12" t="str">
        <f>IF(J$10=V$2,IF(L12=AP12,AX12,IF(L12=AQ12,BC12,IF(L12=AR12,BH12,IF(L12=AS12,BM12,IF(L12=AT12,BR12,IF(L12=AU12,BW12,IF(L12=AV12,CB12,IF(L12=AW12,CG12)))))))),IF(J$10=V$3,IF(L12=AP12,AY12,IF(L12=AQ12,BD12,IF(L12=AR12,BI12,IF(L12=AS12,BN12,IF(L12=AT12,BS12,IF(L12=AU12,BX12,IF(L12=AV12,CC12,IF(L12=AW12,CH12)))))))),IF(J$10=V$4,IF(L12=AP12,AZ12,IF(L12=AQ12,BE12,IF(L12=AR12,BJ12,IF(L12=AS12,BO12,IF(L12=AT12,BT12,IF(L12=AU12,BY12,IF(L12=AV12,CD12,IF(L12=AW12,CI12)))))))),IF(J$10=V$5,IF(L12=AP12,BA12,IF(L12=AQ12,BF12,IF(L12=AR12,BK12,IF(L12=AS12,BP12,IF(L12=AT12,BU12,IF(L12=AU12,BZ12,IF(L12=AV12,CE12,IF(L12=AW12,CJ12)))))))),IF(J$10=V$6,IF(L12=AP12,BB12,IF(L12=AQ12,BG12,IF(L12=AR12,BL12,IF(L12=AS12,BQ12,sil(L12=AT12,BV12,IF(L12=AU12,CA12,IF(L12=AV12,CF12,IF(L12=AW12,CK12)))))))),(""))))))</f>
        <v/>
      </c>
      <c r="AP12" t="e">
        <f>VLOOKUP($D12,BDDprix!$A:B,2,FALSE)</f>
        <v>#N/A</v>
      </c>
      <c r="AQ12" t="e">
        <f>VLOOKUP($D12,BDDprix!$A:C,3,FALSE)</f>
        <v>#N/A</v>
      </c>
      <c r="AR12" t="e">
        <f>VLOOKUP($D12,BDDprix!$A:D,4,FALSE)</f>
        <v>#N/A</v>
      </c>
      <c r="AS12" t="e">
        <f>VLOOKUP($D12,BDDprix!$A:E,5,FALSE)</f>
        <v>#N/A</v>
      </c>
      <c r="AT12" t="e">
        <f>VLOOKUP($D12,BDDprix!$A:F,6,FALSE)</f>
        <v>#N/A</v>
      </c>
      <c r="AU12" t="e">
        <f>VLOOKUP($D12,BDDprix!$A:G,7,FALSE)</f>
        <v>#N/A</v>
      </c>
      <c r="AV12" t="e">
        <f>VLOOKUP($D12,BDDprix!$A:H,8,FALSE)</f>
        <v>#N/A</v>
      </c>
      <c r="AW12" t="e">
        <f>VLOOKUP($D12,BDDprix!$A:I,9,FALSE)</f>
        <v>#N/A</v>
      </c>
      <c r="AX12" t="e">
        <f>VLOOKUP($D12,BDDprix!$A:J,10,FALSE)</f>
        <v>#N/A</v>
      </c>
      <c r="AY12" t="e">
        <f>VLOOKUP($D12,BDDprix!$A:K,11,FALSE)</f>
        <v>#N/A</v>
      </c>
      <c r="AZ12" t="e">
        <f>VLOOKUP($D12,BDDprix!$A:L,12,FALSE)</f>
        <v>#N/A</v>
      </c>
      <c r="BA12" t="e">
        <f>VLOOKUP($D12,BDDprix!$A:M,13,FALSE)</f>
        <v>#N/A</v>
      </c>
      <c r="BB12" t="e">
        <f>VLOOKUP($D12,BDDprix!$A:N,14,FALSE)</f>
        <v>#N/A</v>
      </c>
      <c r="BC12" t="e">
        <f>VLOOKUP($D12,BDDprix!$A:O,15,FALSE)</f>
        <v>#N/A</v>
      </c>
      <c r="BD12" t="e">
        <f>VLOOKUP($D12,BDDprix!$A:P,16,FALSE)</f>
        <v>#N/A</v>
      </c>
      <c r="BE12" t="e">
        <f>VLOOKUP($D12,BDDprix!$A:Q,17,FALSE)</f>
        <v>#N/A</v>
      </c>
      <c r="BF12" t="e">
        <f>VLOOKUP($D12,BDDprix!$A:R,18,FALSE)</f>
        <v>#N/A</v>
      </c>
      <c r="BG12" t="e">
        <f>VLOOKUP($D12,BDDprix!$A:S,19,FALSE)</f>
        <v>#N/A</v>
      </c>
      <c r="BH12" t="e">
        <f>VLOOKUP($D12,BDDprix!$A:T,20,FALSE)</f>
        <v>#N/A</v>
      </c>
      <c r="BI12" t="e">
        <f>VLOOKUP($D12,BDDprix!$A:U,21,FALSE)</f>
        <v>#N/A</v>
      </c>
      <c r="BJ12" t="e">
        <f>VLOOKUP($D12,BDDprix!$A:V,22,FALSE)</f>
        <v>#N/A</v>
      </c>
      <c r="BK12" t="e">
        <f>VLOOKUP($D12,BDDprix!$A:W,23,FALSE)</f>
        <v>#N/A</v>
      </c>
      <c r="BL12" t="e">
        <f>VLOOKUP($D12,BDDprix!$A:X,24,FALSE)</f>
        <v>#N/A</v>
      </c>
      <c r="BM12" t="e">
        <f>VLOOKUP($D12,BDDprix!$A:Y,25,FALSE)</f>
        <v>#N/A</v>
      </c>
      <c r="BN12" t="e">
        <f>VLOOKUP($D12,BDDprix!$A:Z,26,FALSE)</f>
        <v>#N/A</v>
      </c>
      <c r="BO12" t="e">
        <f>VLOOKUP($D12,BDDprix!$A:AA,27,FALSE)</f>
        <v>#N/A</v>
      </c>
      <c r="BP12" t="e">
        <f>VLOOKUP($D12,BDDprix!$A:AB,28,FALSE)</f>
        <v>#N/A</v>
      </c>
      <c r="BQ12" t="e">
        <f>VLOOKUP($D12,BDDprix!$A:AC,29,FALSE)</f>
        <v>#N/A</v>
      </c>
      <c r="BR12" t="e">
        <f>VLOOKUP($D12,BDDprix!$A:AD,26,FALSE)</f>
        <v>#N/A</v>
      </c>
      <c r="BS12" t="e">
        <f>VLOOKUP($D12,BDDprix!$A:AE,31,FALSE)</f>
        <v>#N/A</v>
      </c>
      <c r="BT12" t="e">
        <f>VLOOKUP($D12,BDDprix!$A:AF,32,FALSE)</f>
        <v>#N/A</v>
      </c>
      <c r="BU12" t="e">
        <f>VLOOKUP($D12,BDDprix!$A:AG,33,FALSE)</f>
        <v>#N/A</v>
      </c>
      <c r="BV12" t="e">
        <f>VLOOKUP($D12,BDDprix!$A:AH,34,FALSE)</f>
        <v>#N/A</v>
      </c>
      <c r="BW12" t="e">
        <f>VLOOKUP($D12,BDDprix!$A:AI,35,FALSE)</f>
        <v>#N/A</v>
      </c>
      <c r="BX12" t="e">
        <f>VLOOKUP($D12,BDDprix!$A:AJ,36,FALSE)</f>
        <v>#N/A</v>
      </c>
      <c r="BY12" t="e">
        <f>VLOOKUP($D12,BDDprix!$A:AK,37,FALSE)</f>
        <v>#N/A</v>
      </c>
      <c r="BZ12" t="e">
        <f>VLOOKUP($D12,BDDprix!$A:AL,38,FALSE)</f>
        <v>#N/A</v>
      </c>
      <c r="CA12" t="e">
        <f>VLOOKUP($D12,BDDprix!$A:AM,39,FALSE)</f>
        <v>#N/A</v>
      </c>
      <c r="CB12" t="e">
        <f>VLOOKUP($D12,BDDprix!$A:AN,40,FALSE)</f>
        <v>#N/A</v>
      </c>
      <c r="CC12" t="e">
        <f>VLOOKUP($D12,BDDprix!$A:AO,41,FALSE)</f>
        <v>#N/A</v>
      </c>
      <c r="CD12" t="e">
        <f>VLOOKUP($D12,BDDprix!$A:AP,42,FALSE)</f>
        <v>#N/A</v>
      </c>
      <c r="CE12" t="e">
        <f>VLOOKUP($D12,BDDprix!$A:AQ,43,FALSE)</f>
        <v>#N/A</v>
      </c>
      <c r="CF12" t="e">
        <f>VLOOKUP($D12,BDDprix!$A:AR,44,FALSE)</f>
        <v>#N/A</v>
      </c>
      <c r="CG12" t="e">
        <f>VLOOKUP($D12,BDDprix!$A:AS,45,FALSE)</f>
        <v>#N/A</v>
      </c>
      <c r="CH12" t="e">
        <f>VLOOKUP($D12,BDDprix!$A:AT,46,FALSE)</f>
        <v>#N/A</v>
      </c>
      <c r="CI12" t="e">
        <f>VLOOKUP($D12,BDDprix!$A:AU,47,FALSE)</f>
        <v>#N/A</v>
      </c>
      <c r="CJ12" t="e">
        <f>VLOOKUP($D12,BDDprix!$A:AV,48,FALSE)</f>
        <v>#N/A</v>
      </c>
      <c r="CK12" t="e">
        <f>VLOOKUP($D12,BDDprix!$A:AW,49,FALSE)</f>
        <v>#N/A</v>
      </c>
      <c r="CL12" t="str">
        <f>IF(AO12=FALSE,"",AO12)</f>
        <v/>
      </c>
    </row>
    <row r="13" spans="1:90" x14ac:dyDescent="0.25">
      <c r="A13" s="207" t="str">
        <f>IF(VLOOKUP($G$3,BDD!A:W,23,FALSE)="","",VLOOKUP($G$3,BDD!A:W,23,FALSE))</f>
        <v/>
      </c>
      <c r="B13" s="200" t="str">
        <f t="shared" ref="B13:B29" si="5">IF(C13="",IF($R$10="","",IF(E13=1,""," "&amp;TEXT(A13,"jj/mm/aa"))),C13)</f>
        <v/>
      </c>
      <c r="C13" s="57"/>
      <c r="D13" s="202" t="str">
        <f t="shared" ref="D13:D29" si="6">IF(E13="",IF($R$10="","",AJ13),IF(E13=1,"",E13))</f>
        <v/>
      </c>
      <c r="E13" s="180"/>
      <c r="F13" s="181"/>
      <c r="G13" s="178"/>
      <c r="H13" s="178"/>
      <c r="I13" s="179"/>
      <c r="J13" s="202" t="str">
        <f>IF(K13="",IF($R$10="","",IF(K13=1,""," "&amp;AK13)),K13)</f>
        <v/>
      </c>
      <c r="K13" s="54"/>
      <c r="L13" s="202" t="str">
        <f t="shared" ref="L13:L29" si="7">IF(M13="",IF($R$10="","",IF(E13=1,""," "&amp;AL13)),M13)</f>
        <v/>
      </c>
      <c r="M13" s="54"/>
      <c r="N13" s="202" t="str">
        <f t="shared" ref="N13:N29" si="8">IF(O13="",IF($R$10=1,IF(E13=1,"",IF(M13="",AM13&amp;",00",AN13&amp;",00")),IF(AN13="","",AN13&amp;",00")),IF(O13="","",O13&amp;",00"))</f>
        <v/>
      </c>
      <c r="O13" s="264"/>
      <c r="P13" s="62" t="str">
        <f t="shared" ref="P13:P29" si="9">IF(N13="","",$J$10)</f>
        <v/>
      </c>
      <c r="Q13" s="63" t="str">
        <f>IF(J13="","",IF(E13=BDDprix!$A$41,SUM(0-(N13*J13)),IF($G$1=$X$5,SUM(0-(N13*J13)),SUM(N13*J13))))</f>
        <v/>
      </c>
      <c r="R13" s="64" t="str">
        <f t="shared" ref="R13:R29" si="10">IF(L13="","",$J$10)</f>
        <v/>
      </c>
      <c r="S13" s="39"/>
      <c r="T13" s="3">
        <v>1000</v>
      </c>
      <c r="W13" s="25">
        <v>12</v>
      </c>
      <c r="Y13" s="26"/>
      <c r="AB13" s="35"/>
      <c r="AC13" s="35"/>
      <c r="AD13" s="26"/>
      <c r="AJ13" s="201" t="str">
        <f>IF(VLOOKUP($G$3,BDD!A:HT,24,FALSE)="","",VLOOKUP($G$3,BDD!A:HT,24,FALSE))</f>
        <v/>
      </c>
      <c r="AK13" s="206" t="str">
        <f>IF(VLOOKUP($G$3,BDD!A:HU,25,FALSE)="","",VLOOKUP($G$3,BDD!A:HU,25,FALSE))</f>
        <v/>
      </c>
      <c r="AL13" s="206" t="str">
        <f>IF(VLOOKUP($G$3,BDD!A:HV,26,FALSE)="","",VLOOKUP($G$3,BDD!A:HV,26,FALSE))</f>
        <v/>
      </c>
      <c r="AM13" s="206" t="str">
        <f>IF(VLOOKUP($G$3,BDD!A:HW,27,FALSE)="","",VLOOKUP($G$3,BDD!A:HW,27,FALSE))</f>
        <v/>
      </c>
      <c r="AN13" s="167" t="str">
        <f t="shared" ref="AN13:AN29" si="11">IF(ISERROR(CL13),"",CL13)</f>
        <v/>
      </c>
      <c r="AO13" t="str">
        <f>IF(J$10=V$2,IF(L13=AP13,AX13,IF(L13=AQ13,BC13,IF(L13=AR13,BH13,IF(L13=AS13,BM13,IF(L13=AT13,BR13,IF(L13=AU13,BW13,IF(L13=AV13,CB13,IF(L13=AW13,CG13)))))))),IF(J$10=V$3,IF(L13=AP13,AY13,IF(L13=AQ13,BD13,IF(L13=AR13,BI13,IF(L13=AS13,BN13,IF(L13=AT13,BS13,IF(L13=AU13,BX13,IF(L13=AV13,CC13,IF(L13=AW13,CH13)))))))),IF(J$10=V$4,IF(L13=AP13,AZ13,IF(L13=AQ13,BE13,IF(L13=AR13,BJ13,IF(L13=AS13,BO13,IF(L13=AT13,BT13,IF(L13=AU13,BY13,IF(L13=AV13,CD13,IF(L13=AW13,CI13)))))))),IF(J$10=V$5,IF(L13=AP13,BA13,IF(L13=AQ13,BF13,IF(L13=AR13,BK13,IF(L13=AS13,BP13,IF(L13=AT13,BU13,IF(L13=AU13,BZ13,IF(L13=AV13,CE13,IF(L13=AW13,CJ13)))))))),IF(J$10=V$6,IF(L13=AP13,BB13,IF(L13=AQ13,BG13,IF(L13=AR13,BL13,IF(L13=AS13,BQ13,sil(L13=AT13,BV13,IF(L13=AU13,CA13,IF(L13=AV13,CF13,IF(L13=AW13,CK13)))))))),(""))))))</f>
        <v/>
      </c>
      <c r="AP13" t="e">
        <f>VLOOKUP($D13,BDDprix!$A:B,2,FALSE)</f>
        <v>#N/A</v>
      </c>
      <c r="AQ13" t="e">
        <f>VLOOKUP($D13,BDDprix!$A:C,3,FALSE)</f>
        <v>#N/A</v>
      </c>
      <c r="AR13" t="e">
        <f>VLOOKUP($D13,BDDprix!$A:D,4,FALSE)</f>
        <v>#N/A</v>
      </c>
      <c r="AS13" t="e">
        <f>VLOOKUP($D13,BDDprix!$A:E,5,FALSE)</f>
        <v>#N/A</v>
      </c>
      <c r="AT13" t="e">
        <f>VLOOKUP($D13,BDDprix!$A:F,6,FALSE)</f>
        <v>#N/A</v>
      </c>
      <c r="AU13" t="e">
        <f>VLOOKUP($D13,BDDprix!$A:G,7,FALSE)</f>
        <v>#N/A</v>
      </c>
      <c r="AV13" t="e">
        <f>VLOOKUP($D13,BDDprix!$A:H,8,FALSE)</f>
        <v>#N/A</v>
      </c>
      <c r="AW13" t="e">
        <f>VLOOKUP($D13,BDDprix!$A:I,9,FALSE)</f>
        <v>#N/A</v>
      </c>
      <c r="AX13" t="e">
        <f>VLOOKUP($D13,BDDprix!$A:J,10,FALSE)</f>
        <v>#N/A</v>
      </c>
      <c r="AY13" t="e">
        <f>VLOOKUP($D13,BDDprix!$A:K,11,FALSE)</f>
        <v>#N/A</v>
      </c>
      <c r="AZ13" t="e">
        <f>VLOOKUP($D13,BDDprix!$A:L,12,FALSE)</f>
        <v>#N/A</v>
      </c>
      <c r="BA13" t="e">
        <f>VLOOKUP($D13,BDDprix!$A:M,13,FALSE)</f>
        <v>#N/A</v>
      </c>
      <c r="BB13" t="e">
        <f>VLOOKUP($D13,BDDprix!$A:N,14,FALSE)</f>
        <v>#N/A</v>
      </c>
      <c r="BC13" t="e">
        <f>VLOOKUP($D13,BDDprix!$A:O,15,FALSE)</f>
        <v>#N/A</v>
      </c>
      <c r="BD13" t="e">
        <f>VLOOKUP($D13,BDDprix!$A:P,16,FALSE)</f>
        <v>#N/A</v>
      </c>
      <c r="BE13" t="e">
        <f>VLOOKUP($D13,BDDprix!$A:Q,17,FALSE)</f>
        <v>#N/A</v>
      </c>
      <c r="BF13" t="e">
        <f>VLOOKUP($D13,BDDprix!$A:R,18,FALSE)</f>
        <v>#N/A</v>
      </c>
      <c r="BG13" t="e">
        <f>VLOOKUP($D13,BDDprix!$A:S,19,FALSE)</f>
        <v>#N/A</v>
      </c>
      <c r="BH13" t="e">
        <f>VLOOKUP($D13,BDDprix!$A:T,20,FALSE)</f>
        <v>#N/A</v>
      </c>
      <c r="BI13" t="e">
        <f>VLOOKUP($D13,BDDprix!$A:U,21,FALSE)</f>
        <v>#N/A</v>
      </c>
      <c r="BJ13" t="e">
        <f>VLOOKUP($D13,BDDprix!$A:V,22,FALSE)</f>
        <v>#N/A</v>
      </c>
      <c r="BK13" t="e">
        <f>VLOOKUP($D13,BDDprix!$A:W,23,FALSE)</f>
        <v>#N/A</v>
      </c>
      <c r="BL13" t="e">
        <f>VLOOKUP($D13,BDDprix!$A:X,24,FALSE)</f>
        <v>#N/A</v>
      </c>
      <c r="BM13" t="e">
        <f>VLOOKUP($D13,BDDprix!$A:Y,25,FALSE)</f>
        <v>#N/A</v>
      </c>
      <c r="BN13" t="e">
        <f>VLOOKUP($D13,BDDprix!$A:Z,26,FALSE)</f>
        <v>#N/A</v>
      </c>
      <c r="BO13" t="e">
        <f>VLOOKUP($D13,BDDprix!$A:AA,27,FALSE)</f>
        <v>#N/A</v>
      </c>
      <c r="BP13" t="e">
        <f>VLOOKUP($D13,BDDprix!$A:AB,28,FALSE)</f>
        <v>#N/A</v>
      </c>
      <c r="BQ13" t="e">
        <f>VLOOKUP($D13,BDDprix!$A:AC,29,FALSE)</f>
        <v>#N/A</v>
      </c>
      <c r="BR13" t="e">
        <f>VLOOKUP($D13,BDDprix!$A:AD,26,FALSE)</f>
        <v>#N/A</v>
      </c>
      <c r="BS13" t="e">
        <f>VLOOKUP($D13,BDDprix!$A:AE,31,FALSE)</f>
        <v>#N/A</v>
      </c>
      <c r="BT13" t="e">
        <f>VLOOKUP($D13,BDDprix!$A:AF,32,FALSE)</f>
        <v>#N/A</v>
      </c>
      <c r="BU13" t="e">
        <f>VLOOKUP($D13,BDDprix!$A:AG,33,FALSE)</f>
        <v>#N/A</v>
      </c>
      <c r="BV13" t="e">
        <f>VLOOKUP($D13,BDDprix!$A:AH,34,FALSE)</f>
        <v>#N/A</v>
      </c>
      <c r="BW13" t="e">
        <f>VLOOKUP($D13,BDDprix!$A:AI,35,FALSE)</f>
        <v>#N/A</v>
      </c>
      <c r="BX13" t="e">
        <f>VLOOKUP($D13,BDDprix!$A:AJ,36,FALSE)</f>
        <v>#N/A</v>
      </c>
      <c r="BY13" t="e">
        <f>VLOOKUP($D13,BDDprix!$A:AK,37,FALSE)</f>
        <v>#N/A</v>
      </c>
      <c r="BZ13" t="e">
        <f>VLOOKUP($D13,BDDprix!$A:AL,38,FALSE)</f>
        <v>#N/A</v>
      </c>
      <c r="CA13" t="e">
        <f>VLOOKUP($D13,BDDprix!$A:AM,39,FALSE)</f>
        <v>#N/A</v>
      </c>
      <c r="CB13" t="e">
        <f>VLOOKUP($D13,BDDprix!$A:AN,40,FALSE)</f>
        <v>#N/A</v>
      </c>
      <c r="CC13" t="e">
        <f>VLOOKUP($D13,BDDprix!$A:AO,41,FALSE)</f>
        <v>#N/A</v>
      </c>
      <c r="CD13" t="e">
        <f>VLOOKUP($D13,BDDprix!$A:AP,42,FALSE)</f>
        <v>#N/A</v>
      </c>
      <c r="CE13" t="e">
        <f>VLOOKUP($D13,BDDprix!$A:AQ,43,FALSE)</f>
        <v>#N/A</v>
      </c>
      <c r="CF13" t="e">
        <f>VLOOKUP($D13,BDDprix!$A:AR,44,FALSE)</f>
        <v>#N/A</v>
      </c>
      <c r="CG13" t="e">
        <f>VLOOKUP($D13,BDDprix!$A:AS,45,FALSE)</f>
        <v>#N/A</v>
      </c>
      <c r="CH13" t="e">
        <f>VLOOKUP($D13,BDDprix!$A:AT,46,FALSE)</f>
        <v>#N/A</v>
      </c>
      <c r="CI13" t="e">
        <f>VLOOKUP($D13,BDDprix!$A:AU,47,FALSE)</f>
        <v>#N/A</v>
      </c>
      <c r="CJ13" t="e">
        <f>VLOOKUP($D13,BDDprix!$A:AV,48,FALSE)</f>
        <v>#N/A</v>
      </c>
      <c r="CK13" t="e">
        <f>VLOOKUP($D13,BDDprix!$A:AW,49,FALSE)</f>
        <v>#N/A</v>
      </c>
      <c r="CL13" t="str">
        <f t="shared" ref="CL13:CL29" si="12">IF(AO13=FALSE,"",AO13)</f>
        <v/>
      </c>
    </row>
    <row r="14" spans="1:90" x14ac:dyDescent="0.25">
      <c r="A14" s="207" t="str">
        <f>IF(VLOOKUP($G$3,BDD!A:AC,29,FALSE)="","",VLOOKUP($G$3,BDD!A:AC,29,FALSE))</f>
        <v/>
      </c>
      <c r="B14" s="200" t="str">
        <f t="shared" si="5"/>
        <v/>
      </c>
      <c r="C14" s="57"/>
      <c r="D14" s="202" t="str">
        <f t="shared" si="6"/>
        <v/>
      </c>
      <c r="E14" s="180"/>
      <c r="F14" s="181"/>
      <c r="G14" s="178"/>
      <c r="H14" s="178"/>
      <c r="I14" s="179"/>
      <c r="J14" s="202" t="str">
        <f t="shared" ref="J14:J29" si="13">IF(K14="",IF($R$10="","",IF(K14=1,""," "&amp;AK14)),K14)</f>
        <v/>
      </c>
      <c r="K14" s="54"/>
      <c r="L14" s="202" t="str">
        <f t="shared" si="7"/>
        <v/>
      </c>
      <c r="M14" s="54"/>
      <c r="N14" s="202" t="str">
        <f t="shared" si="8"/>
        <v/>
      </c>
      <c r="O14" s="264"/>
      <c r="P14" s="62" t="str">
        <f t="shared" si="9"/>
        <v/>
      </c>
      <c r="Q14" s="63" t="str">
        <f>IF(J14="","",IF(E14=BDDprix!$A$41,SUM(0-(N14*J14)),IF($G$1=$X$5,SUM(0-(N14*J14)),SUM(N14*J14))))</f>
        <v/>
      </c>
      <c r="R14" s="64" t="str">
        <f t="shared" si="10"/>
        <v/>
      </c>
      <c r="S14" s="39"/>
      <c r="W14" s="25">
        <v>13</v>
      </c>
      <c r="Y14" s="69">
        <v>0.05</v>
      </c>
      <c r="AB14" s="35"/>
      <c r="AC14" s="35"/>
      <c r="AJ14" s="201" t="str">
        <f>IF(VLOOKUP($G$3,BDD!A:HT,30,FALSE)="","",VLOOKUP($G$3,BDD!A:HT,30,FALSE))</f>
        <v/>
      </c>
      <c r="AK14" s="206" t="str">
        <f>IF(VLOOKUP($G$3,BDD!A:HU,31,FALSE)="","",VLOOKUP($G$3,BDD!A:HU,31,FALSE))</f>
        <v/>
      </c>
      <c r="AL14" s="206" t="str">
        <f>IF(VLOOKUP($G$3,BDD!A:HV,32,FALSE)="","",VLOOKUP($G$3,BDD!A:HV,32,FALSE))</f>
        <v/>
      </c>
      <c r="AM14" s="206" t="str">
        <f>IF(VLOOKUP($G$3,BDD!A:HW,33,FALSE)="","",VLOOKUP($G$3,BDD!A:HW,33,FALSE))</f>
        <v/>
      </c>
      <c r="AN14" s="167" t="str">
        <f t="shared" si="11"/>
        <v/>
      </c>
      <c r="AO14" t="str">
        <f>IF(J$10=V$2,IF(L14=AP14,AX14,IF(L14=AQ14,BC14,IF(L14=AR14,BH14,IF(L14=AS14,BM14,IF(L14=AT14,BR14,IF(L14=AU14,BW14,IF(L14=AV14,CB14,IF(L14=AW14,CG14)))))))),IF(J$10=V$3,IF(L14=AP14,AY14,IF(L14=AQ14,BD14,IF(L14=AR14,BI14,IF(L14=AS14,BN14,IF(L14=AT14,BS14,IF(L14=AU14,BX14,IF(L14=AV14,CC14,IF(L14=AW14,CH14)))))))),IF(J$10=V$4,IF(L14=AP14,AZ14,IF(L14=AQ14,BE14,IF(L14=AR14,BJ14,IF(L14=AS14,BO14,IF(L14=AT14,BT14,IF(L14=AU14,BY14,IF(L14=AV14,CD14,IF(L14=AW14,CI14)))))))),IF(J$10=V$5,IF(L14=AP14,BA14,IF(L14=AQ14,BF14,IF(L14=AR14,BK14,IF(L14=AS14,BP14,IF(L14=AT14,BU14,IF(L14=AU14,BZ14,IF(L14=AV14,CE14,IF(L14=AW14,CJ14)))))))),IF(J$10=V$6,IF(L14=AP14,BB14,IF(L14=AQ14,BG14,IF(L14=AR14,BL14,IF(L14=AS14,BQ14,sil(L14=AT14,BV14,IF(L14=AU14,CA14,IF(L14=AV14,CF14,IF(L14=AW14,CK14)))))))),(""))))))</f>
        <v/>
      </c>
      <c r="AP14" t="e">
        <f>VLOOKUP($D14,BDDprix!$A:B,2,FALSE)</f>
        <v>#N/A</v>
      </c>
      <c r="AQ14" t="e">
        <f>VLOOKUP($D14,BDDprix!$A:C,3,FALSE)</f>
        <v>#N/A</v>
      </c>
      <c r="AR14" t="e">
        <f>VLOOKUP($D14,BDDprix!$A:D,4,FALSE)</f>
        <v>#N/A</v>
      </c>
      <c r="AS14" t="e">
        <f>VLOOKUP($D14,BDDprix!$A:E,5,FALSE)</f>
        <v>#N/A</v>
      </c>
      <c r="AT14" t="e">
        <f>VLOOKUP($D14,BDDprix!$A:F,6,FALSE)</f>
        <v>#N/A</v>
      </c>
      <c r="AU14" t="e">
        <f>VLOOKUP($D14,BDDprix!$A:G,7,FALSE)</f>
        <v>#N/A</v>
      </c>
      <c r="AV14" t="e">
        <f>VLOOKUP($D14,BDDprix!$A:H,8,FALSE)</f>
        <v>#N/A</v>
      </c>
      <c r="AW14" t="e">
        <f>VLOOKUP($D14,BDDprix!$A:I,9,FALSE)</f>
        <v>#N/A</v>
      </c>
      <c r="AX14" t="e">
        <f>VLOOKUP($D14,BDDprix!$A:J,10,FALSE)</f>
        <v>#N/A</v>
      </c>
      <c r="AY14" t="e">
        <f>VLOOKUP($D14,BDDprix!$A:K,11,FALSE)</f>
        <v>#N/A</v>
      </c>
      <c r="AZ14" t="e">
        <f>VLOOKUP($D14,BDDprix!$A:L,12,FALSE)</f>
        <v>#N/A</v>
      </c>
      <c r="BA14" t="e">
        <f>VLOOKUP($D14,BDDprix!$A:M,13,FALSE)</f>
        <v>#N/A</v>
      </c>
      <c r="BB14" t="e">
        <f>VLOOKUP($D14,BDDprix!$A:N,14,FALSE)</f>
        <v>#N/A</v>
      </c>
      <c r="BC14" t="e">
        <f>VLOOKUP($D14,BDDprix!$A:O,15,FALSE)</f>
        <v>#N/A</v>
      </c>
      <c r="BD14" t="e">
        <f>VLOOKUP($D14,BDDprix!$A:P,16,FALSE)</f>
        <v>#N/A</v>
      </c>
      <c r="BE14" t="e">
        <f>VLOOKUP($D14,BDDprix!$A:Q,17,FALSE)</f>
        <v>#N/A</v>
      </c>
      <c r="BF14" t="e">
        <f>VLOOKUP($D14,BDDprix!$A:R,18,FALSE)</f>
        <v>#N/A</v>
      </c>
      <c r="BG14" t="e">
        <f>VLOOKUP($D14,BDDprix!$A:S,19,FALSE)</f>
        <v>#N/A</v>
      </c>
      <c r="BH14" t="e">
        <f>VLOOKUP($D14,BDDprix!$A:T,20,FALSE)</f>
        <v>#N/A</v>
      </c>
      <c r="BI14" t="e">
        <f>VLOOKUP($D14,BDDprix!$A:U,21,FALSE)</f>
        <v>#N/A</v>
      </c>
      <c r="BJ14" t="e">
        <f>VLOOKUP($D14,BDDprix!$A:V,22,FALSE)</f>
        <v>#N/A</v>
      </c>
      <c r="BK14" t="e">
        <f>VLOOKUP($D14,BDDprix!$A:W,23,FALSE)</f>
        <v>#N/A</v>
      </c>
      <c r="BL14" t="e">
        <f>VLOOKUP($D14,BDDprix!$A:X,24,FALSE)</f>
        <v>#N/A</v>
      </c>
      <c r="BM14" t="e">
        <f>VLOOKUP($D14,BDDprix!$A:Y,25,FALSE)</f>
        <v>#N/A</v>
      </c>
      <c r="BN14" t="e">
        <f>VLOOKUP($D14,BDDprix!$A:Z,26,FALSE)</f>
        <v>#N/A</v>
      </c>
      <c r="BO14" t="e">
        <f>VLOOKUP($D14,BDDprix!$A:AA,27,FALSE)</f>
        <v>#N/A</v>
      </c>
      <c r="BP14" t="e">
        <f>VLOOKUP($D14,BDDprix!$A:AB,28,FALSE)</f>
        <v>#N/A</v>
      </c>
      <c r="BQ14" t="e">
        <f>VLOOKUP($D14,BDDprix!$A:AC,29,FALSE)</f>
        <v>#N/A</v>
      </c>
      <c r="BR14" t="e">
        <f>VLOOKUP($D14,BDDprix!$A:AD,26,FALSE)</f>
        <v>#N/A</v>
      </c>
      <c r="BS14" t="e">
        <f>VLOOKUP($D14,BDDprix!$A:AE,31,FALSE)</f>
        <v>#N/A</v>
      </c>
      <c r="BT14" t="e">
        <f>VLOOKUP($D14,BDDprix!$A:AF,32,FALSE)</f>
        <v>#N/A</v>
      </c>
      <c r="BU14" t="e">
        <f>VLOOKUP($D14,BDDprix!$A:AG,33,FALSE)</f>
        <v>#N/A</v>
      </c>
      <c r="BV14" t="e">
        <f>VLOOKUP($D14,BDDprix!$A:AH,34,FALSE)</f>
        <v>#N/A</v>
      </c>
      <c r="BW14" t="e">
        <f>VLOOKUP($D14,BDDprix!$A:AI,35,FALSE)</f>
        <v>#N/A</v>
      </c>
      <c r="BX14" t="e">
        <f>VLOOKUP($D14,BDDprix!$A:AJ,36,FALSE)</f>
        <v>#N/A</v>
      </c>
      <c r="BY14" t="e">
        <f>VLOOKUP($D14,BDDprix!$A:AK,37,FALSE)</f>
        <v>#N/A</v>
      </c>
      <c r="BZ14" t="e">
        <f>VLOOKUP($D14,BDDprix!$A:AL,38,FALSE)</f>
        <v>#N/A</v>
      </c>
      <c r="CA14" t="e">
        <f>VLOOKUP($D14,BDDprix!$A:AM,39,FALSE)</f>
        <v>#N/A</v>
      </c>
      <c r="CB14" t="e">
        <f>VLOOKUP($D14,BDDprix!$A:AN,40,FALSE)</f>
        <v>#N/A</v>
      </c>
      <c r="CC14" t="e">
        <f>VLOOKUP($D14,BDDprix!$A:AO,41,FALSE)</f>
        <v>#N/A</v>
      </c>
      <c r="CD14" t="e">
        <f>VLOOKUP($D14,BDDprix!$A:AP,42,FALSE)</f>
        <v>#N/A</v>
      </c>
      <c r="CE14" t="e">
        <f>VLOOKUP($D14,BDDprix!$A:AQ,43,FALSE)</f>
        <v>#N/A</v>
      </c>
      <c r="CF14" t="e">
        <f>VLOOKUP($D14,BDDprix!$A:AR,44,FALSE)</f>
        <v>#N/A</v>
      </c>
      <c r="CG14" t="e">
        <f>VLOOKUP($D14,BDDprix!$A:AS,45,FALSE)</f>
        <v>#N/A</v>
      </c>
      <c r="CH14" t="e">
        <f>VLOOKUP($D14,BDDprix!$A:AT,46,FALSE)</f>
        <v>#N/A</v>
      </c>
      <c r="CI14" t="e">
        <f>VLOOKUP($D14,BDDprix!$A:AU,47,FALSE)</f>
        <v>#N/A</v>
      </c>
      <c r="CJ14" t="e">
        <f>VLOOKUP($D14,BDDprix!$A:AV,48,FALSE)</f>
        <v>#N/A</v>
      </c>
      <c r="CK14" t="e">
        <f>VLOOKUP($D14,BDDprix!$A:AW,49,FALSE)</f>
        <v>#N/A</v>
      </c>
      <c r="CL14" t="str">
        <f t="shared" si="12"/>
        <v/>
      </c>
    </row>
    <row r="15" spans="1:90" x14ac:dyDescent="0.25">
      <c r="A15" s="207" t="str">
        <f>IF(VLOOKUP($G$3,BDD!A:AI,35,FALSE)="","",VLOOKUP($G$3,BDD!A:AI,35,FALSE))</f>
        <v/>
      </c>
      <c r="B15" s="200" t="str">
        <f t="shared" si="5"/>
        <v/>
      </c>
      <c r="C15" s="57"/>
      <c r="D15" s="202" t="str">
        <f t="shared" si="6"/>
        <v/>
      </c>
      <c r="E15" s="180"/>
      <c r="F15" s="181"/>
      <c r="G15" s="178"/>
      <c r="H15" s="178"/>
      <c r="I15" s="179"/>
      <c r="J15" s="202" t="str">
        <f t="shared" si="13"/>
        <v/>
      </c>
      <c r="K15" s="54"/>
      <c r="L15" s="202" t="str">
        <f t="shared" si="7"/>
        <v/>
      </c>
      <c r="M15" s="54"/>
      <c r="N15" s="202" t="str">
        <f t="shared" si="8"/>
        <v/>
      </c>
      <c r="O15" s="264"/>
      <c r="P15" s="62" t="str">
        <f t="shared" si="9"/>
        <v/>
      </c>
      <c r="Q15" s="63" t="str">
        <f>IF(J15="","",IF(E15=BDDprix!$A$41,SUM(0-(N15*J15)),IF($G$1=$X$5,SUM(0-(N15*J15)),SUM(N15*J15))))</f>
        <v/>
      </c>
      <c r="R15" s="64" t="str">
        <f t="shared" si="10"/>
        <v/>
      </c>
      <c r="S15" s="39"/>
      <c r="W15" s="25">
        <v>14</v>
      </c>
      <c r="Y15" s="69">
        <v>0.1</v>
      </c>
      <c r="AJ15" s="201" t="str">
        <f>IF(VLOOKUP($G$3,BDD!A:HT,36,FALSE)="","",VLOOKUP($G$3,BDD!A:HT,36,FALSE))</f>
        <v/>
      </c>
      <c r="AK15" s="206" t="str">
        <f>IF(VLOOKUP($G$3,BDD!A:HU,37,FALSE)="","",VLOOKUP($G$3,BDD!A:HU,37,FALSE))</f>
        <v/>
      </c>
      <c r="AL15" s="206" t="str">
        <f>IF(VLOOKUP($G$3,BDD!A:HV,38,FALSE)="","",VLOOKUP($G$3,BDD!A:HV,38,FALSE))</f>
        <v/>
      </c>
      <c r="AM15" s="206" t="str">
        <f>IF(VLOOKUP($G$3,BDD!A:HW,39,FALSE)="","",VLOOKUP($G$3,BDD!A:HW,39,FALSE))</f>
        <v/>
      </c>
      <c r="AN15" s="167" t="str">
        <f t="shared" si="11"/>
        <v/>
      </c>
      <c r="AO15" t="str">
        <f>IF(J$10=V$2,IF(L15=AP15,AX15,IF(L15=AQ15,BC15,IF(L15=AR15,BH15,IF(L15=AS15,BM15,IF(L15=AT15,BR15,IF(L15=AU15,BW15,IF(L15=AV15,CB15,IF(L15=AW15,CG15)))))))),IF(J$10=V$3,IF(L15=AP15,AY15,IF(L15=AQ15,BD15,IF(L15=AR15,BI15,IF(L15=AS15,BN15,IF(L15=AT15,BS15,IF(L15=AU15,BX15,IF(L15=AV15,CC15,IF(L15=AW15,CH15)))))))),IF(J$10=V$4,IF(L15=AP15,AZ15,IF(L15=AQ15,BE15,IF(L15=AR15,BJ15,IF(L15=AS15,BO15,IF(L15=AT15,BT15,IF(L15=AU15,BY15,IF(L15=AV15,CD15,IF(L15=AW15,CI15)))))))),IF(J$10=V$5,IF(L15=AP15,BA15,IF(L15=AQ15,BF15,IF(L15=AR15,BK15,IF(L15=AS15,BP15,IF(L15=AT15,BU15,IF(L15=AU15,BZ15,IF(L15=AV15,CE15,IF(L15=AW15,CJ15)))))))),IF(J$10=V$6,IF(L15=AP15,BB15,IF(L15=AQ15,BG15,IF(L15=AR15,BL15,IF(L15=AS15,BQ15,sil(L15=AT15,BV15,IF(L15=AU15,CA15,IF(L15=AV15,CF15,IF(L15=AW15,CK15)))))))),(""))))))</f>
        <v/>
      </c>
      <c r="AP15" t="e">
        <f>VLOOKUP($D15,BDDprix!$A:B,2,FALSE)</f>
        <v>#N/A</v>
      </c>
      <c r="AQ15" t="e">
        <f>VLOOKUP($D15,BDDprix!$A:C,3,FALSE)</f>
        <v>#N/A</v>
      </c>
      <c r="AR15" t="e">
        <f>VLOOKUP($D15,BDDprix!$A:D,4,FALSE)</f>
        <v>#N/A</v>
      </c>
      <c r="AS15" t="e">
        <f>VLOOKUP($D15,BDDprix!$A:E,5,FALSE)</f>
        <v>#N/A</v>
      </c>
      <c r="AT15" t="e">
        <f>VLOOKUP($D15,BDDprix!$A:F,6,FALSE)</f>
        <v>#N/A</v>
      </c>
      <c r="AU15" t="e">
        <f>VLOOKUP($D15,BDDprix!$A:G,7,FALSE)</f>
        <v>#N/A</v>
      </c>
      <c r="AV15" t="e">
        <f>VLOOKUP($D15,BDDprix!$A:H,8,FALSE)</f>
        <v>#N/A</v>
      </c>
      <c r="AW15" t="e">
        <f>VLOOKUP($D15,BDDprix!$A:I,9,FALSE)</f>
        <v>#N/A</v>
      </c>
      <c r="AX15" t="e">
        <f>VLOOKUP($D15,BDDprix!$A:J,10,FALSE)</f>
        <v>#N/A</v>
      </c>
      <c r="AY15" t="e">
        <f>VLOOKUP($D15,BDDprix!$A:K,11,FALSE)</f>
        <v>#N/A</v>
      </c>
      <c r="AZ15" t="e">
        <f>VLOOKUP($D15,BDDprix!$A:L,12,FALSE)</f>
        <v>#N/A</v>
      </c>
      <c r="BA15" t="e">
        <f>VLOOKUP($D15,BDDprix!$A:M,13,FALSE)</f>
        <v>#N/A</v>
      </c>
      <c r="BB15" t="e">
        <f>VLOOKUP($D15,BDDprix!$A:N,14,FALSE)</f>
        <v>#N/A</v>
      </c>
      <c r="BC15" t="e">
        <f>VLOOKUP($D15,BDDprix!$A:O,15,FALSE)</f>
        <v>#N/A</v>
      </c>
      <c r="BD15" t="e">
        <f>VLOOKUP($D15,BDDprix!$A:P,16,FALSE)</f>
        <v>#N/A</v>
      </c>
      <c r="BE15" t="e">
        <f>VLOOKUP($D15,BDDprix!$A:Q,17,FALSE)</f>
        <v>#N/A</v>
      </c>
      <c r="BF15" t="e">
        <f>VLOOKUP($D15,BDDprix!$A:R,18,FALSE)</f>
        <v>#N/A</v>
      </c>
      <c r="BG15" t="e">
        <f>VLOOKUP($D15,BDDprix!$A:S,19,FALSE)</f>
        <v>#N/A</v>
      </c>
      <c r="BH15" t="e">
        <f>VLOOKUP($D15,BDDprix!$A:T,20,FALSE)</f>
        <v>#N/A</v>
      </c>
      <c r="BI15" t="e">
        <f>VLOOKUP($D15,BDDprix!$A:U,21,FALSE)</f>
        <v>#N/A</v>
      </c>
      <c r="BJ15" t="e">
        <f>VLOOKUP($D15,BDDprix!$A:V,22,FALSE)</f>
        <v>#N/A</v>
      </c>
      <c r="BK15" t="e">
        <f>VLOOKUP($D15,BDDprix!$A:W,23,FALSE)</f>
        <v>#N/A</v>
      </c>
      <c r="BL15" t="e">
        <f>VLOOKUP($D15,BDDprix!$A:X,24,FALSE)</f>
        <v>#N/A</v>
      </c>
      <c r="BM15" t="e">
        <f>VLOOKUP($D15,BDDprix!$A:Y,25,FALSE)</f>
        <v>#N/A</v>
      </c>
      <c r="BN15" t="e">
        <f>VLOOKUP($D15,BDDprix!$A:Z,26,FALSE)</f>
        <v>#N/A</v>
      </c>
      <c r="BO15" t="e">
        <f>VLOOKUP($D15,BDDprix!$A:AA,27,FALSE)</f>
        <v>#N/A</v>
      </c>
      <c r="BP15" t="e">
        <f>VLOOKUP($D15,BDDprix!$A:AB,28,FALSE)</f>
        <v>#N/A</v>
      </c>
      <c r="BQ15" t="e">
        <f>VLOOKUP($D15,BDDprix!$A:AC,29,FALSE)</f>
        <v>#N/A</v>
      </c>
      <c r="BR15" t="e">
        <f>VLOOKUP($D15,BDDprix!$A:AD,26,FALSE)</f>
        <v>#N/A</v>
      </c>
      <c r="BS15" t="e">
        <f>VLOOKUP($D15,BDDprix!$A:AE,31,FALSE)</f>
        <v>#N/A</v>
      </c>
      <c r="BT15" t="e">
        <f>VLOOKUP($D15,BDDprix!$A:AF,32,FALSE)</f>
        <v>#N/A</v>
      </c>
      <c r="BU15" t="e">
        <f>VLOOKUP($D15,BDDprix!$A:AG,33,FALSE)</f>
        <v>#N/A</v>
      </c>
      <c r="BV15" t="e">
        <f>VLOOKUP($D15,BDDprix!$A:AH,34,FALSE)</f>
        <v>#N/A</v>
      </c>
      <c r="BW15" t="e">
        <f>VLOOKUP($D15,BDDprix!$A:AI,35,FALSE)</f>
        <v>#N/A</v>
      </c>
      <c r="BX15" t="e">
        <f>VLOOKUP($D15,BDDprix!$A:AJ,36,FALSE)</f>
        <v>#N/A</v>
      </c>
      <c r="BY15" t="e">
        <f>VLOOKUP($D15,BDDprix!$A:AK,37,FALSE)</f>
        <v>#N/A</v>
      </c>
      <c r="BZ15" t="e">
        <f>VLOOKUP($D15,BDDprix!$A:AL,38,FALSE)</f>
        <v>#N/A</v>
      </c>
      <c r="CA15" t="e">
        <f>VLOOKUP($D15,BDDprix!$A:AM,39,FALSE)</f>
        <v>#N/A</v>
      </c>
      <c r="CB15" t="e">
        <f>VLOOKUP($D15,BDDprix!$A:AN,40,FALSE)</f>
        <v>#N/A</v>
      </c>
      <c r="CC15" t="e">
        <f>VLOOKUP($D15,BDDprix!$A:AO,41,FALSE)</f>
        <v>#N/A</v>
      </c>
      <c r="CD15" t="e">
        <f>VLOOKUP($D15,BDDprix!$A:AP,42,FALSE)</f>
        <v>#N/A</v>
      </c>
      <c r="CE15" t="e">
        <f>VLOOKUP($D15,BDDprix!$A:AQ,43,FALSE)</f>
        <v>#N/A</v>
      </c>
      <c r="CF15" t="e">
        <f>VLOOKUP($D15,BDDprix!$A:AR,44,FALSE)</f>
        <v>#N/A</v>
      </c>
      <c r="CG15" t="e">
        <f>VLOOKUP($D15,BDDprix!$A:AS,45,FALSE)</f>
        <v>#N/A</v>
      </c>
      <c r="CH15" t="e">
        <f>VLOOKUP($D15,BDDprix!$A:AT,46,FALSE)</f>
        <v>#N/A</v>
      </c>
      <c r="CI15" t="e">
        <f>VLOOKUP($D15,BDDprix!$A:AU,47,FALSE)</f>
        <v>#N/A</v>
      </c>
      <c r="CJ15" t="e">
        <f>VLOOKUP($D15,BDDprix!$A:AV,48,FALSE)</f>
        <v>#N/A</v>
      </c>
      <c r="CK15" t="e">
        <f>VLOOKUP($D15,BDDprix!$A:AW,49,FALSE)</f>
        <v>#N/A</v>
      </c>
      <c r="CL15" t="str">
        <f t="shared" si="12"/>
        <v/>
      </c>
    </row>
    <row r="16" spans="1:90" x14ac:dyDescent="0.25">
      <c r="A16" s="207" t="str">
        <f>IF(VLOOKUP($G$3,BDD!A:AO,41,FALSE)="","",VLOOKUP($G$3,BDD!A:AO,41,FALSE))</f>
        <v/>
      </c>
      <c r="B16" s="200" t="str">
        <f t="shared" si="5"/>
        <v/>
      </c>
      <c r="C16" s="57"/>
      <c r="D16" s="202" t="str">
        <f t="shared" si="6"/>
        <v/>
      </c>
      <c r="E16" s="180"/>
      <c r="F16" s="181"/>
      <c r="G16" s="178"/>
      <c r="H16" s="178"/>
      <c r="I16" s="179"/>
      <c r="J16" s="202" t="str">
        <f t="shared" si="13"/>
        <v/>
      </c>
      <c r="K16" s="54"/>
      <c r="L16" s="202" t="str">
        <f t="shared" si="7"/>
        <v/>
      </c>
      <c r="M16" s="54"/>
      <c r="N16" s="202" t="str">
        <f t="shared" si="8"/>
        <v/>
      </c>
      <c r="O16" s="264"/>
      <c r="P16" s="62" t="str">
        <f t="shared" si="9"/>
        <v/>
      </c>
      <c r="Q16" s="63" t="str">
        <f>IF(J16="","",IF(E16=BDDprix!$A$41,SUM(0-(N16*J16)),IF($G$1=$X$5,SUM(0-(N16*J16)),SUM(N16*J16))))</f>
        <v/>
      </c>
      <c r="R16" s="64" t="str">
        <f t="shared" si="10"/>
        <v/>
      </c>
      <c r="S16" s="39"/>
      <c r="W16" s="25">
        <v>15</v>
      </c>
      <c r="Y16" s="69">
        <v>0.15</v>
      </c>
      <c r="AJ16" s="201" t="str">
        <f>IF(VLOOKUP($G$3,BDD!A:HT,42,FALSE)="","",VLOOKUP($G$3,BDD!A:HT,42,FALSE))</f>
        <v/>
      </c>
      <c r="AK16" s="206" t="str">
        <f>IF(VLOOKUP($G$3,BDD!A:HU,43,FALSE)="","",VLOOKUP($G$3,BDD!A:HU,43,FALSE))</f>
        <v/>
      </c>
      <c r="AL16" s="206" t="str">
        <f>IF(VLOOKUP($G$3,BDD!A:HV,44,FALSE)="","",VLOOKUP($G$3,BDD!A:HV,44,FALSE))</f>
        <v/>
      </c>
      <c r="AM16" s="206" t="str">
        <f>IF(VLOOKUP($G$3,BDD!A:HW,45,FALSE)="","",VLOOKUP($G$3,BDD!A:HW,45,FALSE))</f>
        <v/>
      </c>
      <c r="AN16" s="167" t="str">
        <f t="shared" si="11"/>
        <v/>
      </c>
      <c r="AO16" t="str">
        <f>IF(J$10=V$2,IF(L16=AP16,AX16,IF(L16=AQ16,BC16,IF(L16=AR16,BH16,IF(L16=AS16,BM16,IF(L16=AT16,BR16,IF(L16=AU16,BW16,IF(L16=AV16,CB16,IF(L16=AW16,CG16)))))))),IF(J$10=V$3,IF(L16=AP16,AY16,IF(L16=AQ16,BD16,IF(L16=AR16,BI16,IF(L16=AS16,BN16,IF(L16=AT16,BS16,IF(L16=AU16,BX16,IF(L16=AV16,CC16,IF(L16=AW16,CH16)))))))),IF(J$10=V$4,IF(L16=AP16,AZ16,IF(L16=AQ16,BE16,IF(L16=AR16,BJ16,IF(L16=AS16,BO16,IF(L16=AT16,BT16,IF(L16=AU16,BY16,IF(L16=AV16,CD16,IF(L16=AW16,CI16)))))))),IF(J$10=V$5,IF(L16=AP16,BA16,IF(L16=AQ16,BF16,IF(L16=AR16,BK16,IF(L16=AS16,BP16,IF(L16=AT16,BU16,IF(L16=AU16,BZ16,IF(L16=AV16,CE16,IF(L16=AW16,CJ16)))))))),IF(J$10=V$6,IF(L16=AP16,BB16,IF(L16=AQ16,BG16,IF(L16=AR16,BL16,IF(L16=AS16,BQ16,sil(L16=AT16,BV16,IF(L16=AU16,CA16,IF(L16=AV16,CF16,IF(L16=AW16,CK16)))))))),(""))))))</f>
        <v/>
      </c>
      <c r="AP16" t="e">
        <f>VLOOKUP($D16,BDDprix!$A:B,2,FALSE)</f>
        <v>#N/A</v>
      </c>
      <c r="AQ16" t="e">
        <f>VLOOKUP($D16,BDDprix!$A:C,3,FALSE)</f>
        <v>#N/A</v>
      </c>
      <c r="AR16" t="e">
        <f>VLOOKUP($D16,BDDprix!$A:D,4,FALSE)</f>
        <v>#N/A</v>
      </c>
      <c r="AS16" t="e">
        <f>VLOOKUP($D16,BDDprix!$A:E,5,FALSE)</f>
        <v>#N/A</v>
      </c>
      <c r="AT16" t="e">
        <f>VLOOKUP($D16,BDDprix!$A:F,6,FALSE)</f>
        <v>#N/A</v>
      </c>
      <c r="AU16" t="e">
        <f>VLOOKUP($D16,BDDprix!$A:G,7,FALSE)</f>
        <v>#N/A</v>
      </c>
      <c r="AV16" t="e">
        <f>VLOOKUP($D16,BDDprix!$A:H,8,FALSE)</f>
        <v>#N/A</v>
      </c>
      <c r="AW16" t="e">
        <f>VLOOKUP($D16,BDDprix!$A:I,9,FALSE)</f>
        <v>#N/A</v>
      </c>
      <c r="AX16" t="e">
        <f>VLOOKUP($D16,BDDprix!$A:J,10,FALSE)</f>
        <v>#N/A</v>
      </c>
      <c r="AY16" t="e">
        <f>VLOOKUP($D16,BDDprix!$A:K,11,FALSE)</f>
        <v>#N/A</v>
      </c>
      <c r="AZ16" t="e">
        <f>VLOOKUP($D16,BDDprix!$A:L,12,FALSE)</f>
        <v>#N/A</v>
      </c>
      <c r="BA16" t="e">
        <f>VLOOKUP($D16,BDDprix!$A:M,13,FALSE)</f>
        <v>#N/A</v>
      </c>
      <c r="BB16" t="e">
        <f>VLOOKUP($D16,BDDprix!$A:N,14,FALSE)</f>
        <v>#N/A</v>
      </c>
      <c r="BC16" t="e">
        <f>VLOOKUP($D16,BDDprix!$A:O,15,FALSE)</f>
        <v>#N/A</v>
      </c>
      <c r="BD16" t="e">
        <f>VLOOKUP($D16,BDDprix!$A:P,16,FALSE)</f>
        <v>#N/A</v>
      </c>
      <c r="BE16" t="e">
        <f>VLOOKUP($D16,BDDprix!$A:Q,17,FALSE)</f>
        <v>#N/A</v>
      </c>
      <c r="BF16" t="e">
        <f>VLOOKUP($D16,BDDprix!$A:R,18,FALSE)</f>
        <v>#N/A</v>
      </c>
      <c r="BG16" t="e">
        <f>VLOOKUP($D16,BDDprix!$A:S,19,FALSE)</f>
        <v>#N/A</v>
      </c>
      <c r="BH16" t="e">
        <f>VLOOKUP($D16,BDDprix!$A:T,20,FALSE)</f>
        <v>#N/A</v>
      </c>
      <c r="BI16" t="e">
        <f>VLOOKUP($D16,BDDprix!$A:U,21,FALSE)</f>
        <v>#N/A</v>
      </c>
      <c r="BJ16" t="e">
        <f>VLOOKUP($D16,BDDprix!$A:V,22,FALSE)</f>
        <v>#N/A</v>
      </c>
      <c r="BK16" t="e">
        <f>VLOOKUP($D16,BDDprix!$A:W,23,FALSE)</f>
        <v>#N/A</v>
      </c>
      <c r="BL16" t="e">
        <f>VLOOKUP($D16,BDDprix!$A:X,24,FALSE)</f>
        <v>#N/A</v>
      </c>
      <c r="BM16" t="e">
        <f>VLOOKUP($D16,BDDprix!$A:Y,25,FALSE)</f>
        <v>#N/A</v>
      </c>
      <c r="BN16" t="e">
        <f>VLOOKUP($D16,BDDprix!$A:Z,26,FALSE)</f>
        <v>#N/A</v>
      </c>
      <c r="BO16" t="e">
        <f>VLOOKUP($D16,BDDprix!$A:AA,27,FALSE)</f>
        <v>#N/A</v>
      </c>
      <c r="BP16" t="e">
        <f>VLOOKUP($D16,BDDprix!$A:AB,28,FALSE)</f>
        <v>#N/A</v>
      </c>
      <c r="BQ16" t="e">
        <f>VLOOKUP($D16,BDDprix!$A:AC,29,FALSE)</f>
        <v>#N/A</v>
      </c>
      <c r="BR16" t="e">
        <f>VLOOKUP($D16,BDDprix!$A:AD,26,FALSE)</f>
        <v>#N/A</v>
      </c>
      <c r="BS16" t="e">
        <f>VLOOKUP($D16,BDDprix!$A:AE,31,FALSE)</f>
        <v>#N/A</v>
      </c>
      <c r="BT16" t="e">
        <f>VLOOKUP($D16,BDDprix!$A:AF,32,FALSE)</f>
        <v>#N/A</v>
      </c>
      <c r="BU16" t="e">
        <f>VLOOKUP($D16,BDDprix!$A:AG,33,FALSE)</f>
        <v>#N/A</v>
      </c>
      <c r="BV16" t="e">
        <f>VLOOKUP($D16,BDDprix!$A:AH,34,FALSE)</f>
        <v>#N/A</v>
      </c>
      <c r="BW16" t="e">
        <f>VLOOKUP($D16,BDDprix!$A:AI,35,FALSE)</f>
        <v>#N/A</v>
      </c>
      <c r="BX16" t="e">
        <f>VLOOKUP($D16,BDDprix!$A:AJ,36,FALSE)</f>
        <v>#N/A</v>
      </c>
      <c r="BY16" t="e">
        <f>VLOOKUP($D16,BDDprix!$A:AK,37,FALSE)</f>
        <v>#N/A</v>
      </c>
      <c r="BZ16" t="e">
        <f>VLOOKUP($D16,BDDprix!$A:AL,38,FALSE)</f>
        <v>#N/A</v>
      </c>
      <c r="CA16" t="e">
        <f>VLOOKUP($D16,BDDprix!$A:AM,39,FALSE)</f>
        <v>#N/A</v>
      </c>
      <c r="CB16" t="e">
        <f>VLOOKUP($D16,BDDprix!$A:AN,40,FALSE)</f>
        <v>#N/A</v>
      </c>
      <c r="CC16" t="e">
        <f>VLOOKUP($D16,BDDprix!$A:AO,41,FALSE)</f>
        <v>#N/A</v>
      </c>
      <c r="CD16" t="e">
        <f>VLOOKUP($D16,BDDprix!$A:AP,42,FALSE)</f>
        <v>#N/A</v>
      </c>
      <c r="CE16" t="e">
        <f>VLOOKUP($D16,BDDprix!$A:AQ,43,FALSE)</f>
        <v>#N/A</v>
      </c>
      <c r="CF16" t="e">
        <f>VLOOKUP($D16,BDDprix!$A:AR,44,FALSE)</f>
        <v>#N/A</v>
      </c>
      <c r="CG16" t="e">
        <f>VLOOKUP($D16,BDDprix!$A:AS,45,FALSE)</f>
        <v>#N/A</v>
      </c>
      <c r="CH16" t="e">
        <f>VLOOKUP($D16,BDDprix!$A:AT,46,FALSE)</f>
        <v>#N/A</v>
      </c>
      <c r="CI16" t="e">
        <f>VLOOKUP($D16,BDDprix!$A:AU,47,FALSE)</f>
        <v>#N/A</v>
      </c>
      <c r="CJ16" t="e">
        <f>VLOOKUP($D16,BDDprix!$A:AV,48,FALSE)</f>
        <v>#N/A</v>
      </c>
      <c r="CK16" t="e">
        <f>VLOOKUP($D16,BDDprix!$A:AW,49,FALSE)</f>
        <v>#N/A</v>
      </c>
      <c r="CL16" t="str">
        <f t="shared" si="12"/>
        <v/>
      </c>
    </row>
    <row r="17" spans="1:90" x14ac:dyDescent="0.25">
      <c r="A17" s="207" t="str">
        <f>IF(VLOOKUP($G$3,BDD!A:AU,47,FALSE)="","",VLOOKUP($G$3,BDD!A:AU,47,FALSE))</f>
        <v/>
      </c>
      <c r="B17" s="200" t="str">
        <f t="shared" si="5"/>
        <v/>
      </c>
      <c r="C17" s="57"/>
      <c r="D17" s="202" t="str">
        <f t="shared" si="6"/>
        <v/>
      </c>
      <c r="E17" s="180"/>
      <c r="F17" s="181"/>
      <c r="G17" s="178"/>
      <c r="H17" s="178"/>
      <c r="I17" s="179"/>
      <c r="J17" s="202" t="str">
        <f t="shared" si="13"/>
        <v/>
      </c>
      <c r="K17" s="54"/>
      <c r="L17" s="202" t="str">
        <f t="shared" si="7"/>
        <v/>
      </c>
      <c r="M17" s="54"/>
      <c r="N17" s="202" t="str">
        <f t="shared" si="8"/>
        <v/>
      </c>
      <c r="O17" s="264"/>
      <c r="P17" s="62" t="str">
        <f t="shared" si="9"/>
        <v/>
      </c>
      <c r="Q17" s="63" t="str">
        <f>IF(J17="","",IF(E17=BDDprix!$A$41,SUM(0-(N17*J17)),IF($G$1=$X$5,SUM(0-(N17*J17)),SUM(N17*J17))))</f>
        <v/>
      </c>
      <c r="R17" s="64" t="str">
        <f t="shared" si="10"/>
        <v/>
      </c>
      <c r="S17" s="39"/>
      <c r="W17" s="25">
        <v>16</v>
      </c>
      <c r="Y17" s="69">
        <v>0.2</v>
      </c>
      <c r="AJ17" s="201" t="str">
        <f>IF(VLOOKUP($G$3,BDD!A:HT,48,FALSE)="","",VLOOKUP($G$3,BDD!A:HT,48,FALSE))</f>
        <v/>
      </c>
      <c r="AK17" s="206" t="str">
        <f>IF(VLOOKUP($G$3,BDD!A:HU,49,FALSE)="","",VLOOKUP($G$3,BDD!A:HU,49,FALSE))</f>
        <v/>
      </c>
      <c r="AL17" s="206" t="str">
        <f>IF(VLOOKUP($G$3,BDD!A:HV,50,FALSE)="","",VLOOKUP($G$3,BDD!A:HV,50,FALSE))</f>
        <v/>
      </c>
      <c r="AM17" s="206" t="str">
        <f>IF(VLOOKUP($G$3,BDD!A:HW,51,FALSE)="","",VLOOKUP($G$3,BDD!A:HW,51,FALSE))</f>
        <v/>
      </c>
      <c r="AN17" s="167" t="str">
        <f t="shared" si="11"/>
        <v/>
      </c>
      <c r="AO17" t="str">
        <f>IF(J$10=V$2,IF(L17=AP17,AX17,IF(L17=AQ17,BC17,IF(L17=AR17,BH17,IF(L17=AS17,BM17,IF(L17=AT17,BR17,IF(L17=AU17,BW17,IF(L17=AV17,CB17,IF(L17=AW17,CG17)))))))),IF(J$10=V$3,IF(L17=AP17,AY17,IF(L17=AQ17,BD17,IF(L17=AR17,BI17,IF(L17=AS17,BN17,IF(L17=AT17,BS17,IF(L17=AU17,BX17,IF(L17=AV17,CC17,IF(L17=AW17,CH17)))))))),IF(J$10=V$4,IF(L17=AP17,AZ17,IF(L17=AQ17,BE17,IF(L17=AR17,BJ17,IF(L17=AS17,BO17,IF(L17=AT17,BT17,IF(L17=AU17,BY17,IF(L17=AV17,CD17,IF(L17=AW17,CI17)))))))),IF(J$10=V$5,IF(L17=AP17,BA17,IF(L17=AQ17,BF17,IF(L17=AR17,BK17,IF(L17=AS17,BP17,IF(L17=AT17,BU17,IF(L17=AU17,BZ17,IF(L17=AV17,CE17,IF(L17=AW17,CJ17)))))))),IF(J$10=V$6,IF(L17=AP17,BB17,IF(L17=AQ17,BG17,IF(L17=AR17,BL17,IF(L17=AS17,BQ17,sil(L17=AT17,BV17,IF(L17=AU17,CA17,IF(L17=AV17,CF17,IF(L17=AW17,CK17)))))))),(""))))))</f>
        <v/>
      </c>
      <c r="AP17" t="e">
        <f>VLOOKUP($D17,BDDprix!$A:B,2,FALSE)</f>
        <v>#N/A</v>
      </c>
      <c r="AQ17" t="e">
        <f>VLOOKUP($D17,BDDprix!$A:C,3,FALSE)</f>
        <v>#N/A</v>
      </c>
      <c r="AR17" t="e">
        <f>VLOOKUP($D17,BDDprix!$A:D,4,FALSE)</f>
        <v>#N/A</v>
      </c>
      <c r="AS17" t="e">
        <f>VLOOKUP($D17,BDDprix!$A:E,5,FALSE)</f>
        <v>#N/A</v>
      </c>
      <c r="AT17" t="e">
        <f>VLOOKUP($D17,BDDprix!$A:F,6,FALSE)</f>
        <v>#N/A</v>
      </c>
      <c r="AU17" t="e">
        <f>VLOOKUP($D17,BDDprix!$A:G,7,FALSE)</f>
        <v>#N/A</v>
      </c>
      <c r="AV17" t="e">
        <f>VLOOKUP($D17,BDDprix!$A:H,8,FALSE)</f>
        <v>#N/A</v>
      </c>
      <c r="AW17" t="e">
        <f>VLOOKUP($D17,BDDprix!$A:I,9,FALSE)</f>
        <v>#N/A</v>
      </c>
      <c r="AX17" t="e">
        <f>VLOOKUP($D17,BDDprix!$A:J,10,FALSE)</f>
        <v>#N/A</v>
      </c>
      <c r="AY17" t="e">
        <f>VLOOKUP($D17,BDDprix!$A:K,11,FALSE)</f>
        <v>#N/A</v>
      </c>
      <c r="AZ17" t="e">
        <f>VLOOKUP($D17,BDDprix!$A:L,12,FALSE)</f>
        <v>#N/A</v>
      </c>
      <c r="BA17" t="e">
        <f>VLOOKUP($D17,BDDprix!$A:M,13,FALSE)</f>
        <v>#N/A</v>
      </c>
      <c r="BB17" t="e">
        <f>VLOOKUP($D17,BDDprix!$A:N,14,FALSE)</f>
        <v>#N/A</v>
      </c>
      <c r="BC17" t="e">
        <f>VLOOKUP($D17,BDDprix!$A:O,15,FALSE)</f>
        <v>#N/A</v>
      </c>
      <c r="BD17" t="e">
        <f>VLOOKUP($D17,BDDprix!$A:P,16,FALSE)</f>
        <v>#N/A</v>
      </c>
      <c r="BE17" t="e">
        <f>VLOOKUP($D17,BDDprix!$A:Q,17,FALSE)</f>
        <v>#N/A</v>
      </c>
      <c r="BF17" t="e">
        <f>VLOOKUP($D17,BDDprix!$A:R,18,FALSE)</f>
        <v>#N/A</v>
      </c>
      <c r="BG17" t="e">
        <f>VLOOKUP($D17,BDDprix!$A:S,19,FALSE)</f>
        <v>#N/A</v>
      </c>
      <c r="BH17" t="e">
        <f>VLOOKUP($D17,BDDprix!$A:T,20,FALSE)</f>
        <v>#N/A</v>
      </c>
      <c r="BI17" t="e">
        <f>VLOOKUP($D17,BDDprix!$A:U,21,FALSE)</f>
        <v>#N/A</v>
      </c>
      <c r="BJ17" t="e">
        <f>VLOOKUP($D17,BDDprix!$A:V,22,FALSE)</f>
        <v>#N/A</v>
      </c>
      <c r="BK17" t="e">
        <f>VLOOKUP($D17,BDDprix!$A:W,23,FALSE)</f>
        <v>#N/A</v>
      </c>
      <c r="BL17" t="e">
        <f>VLOOKUP($D17,BDDprix!$A:X,24,FALSE)</f>
        <v>#N/A</v>
      </c>
      <c r="BM17" t="e">
        <f>VLOOKUP($D17,BDDprix!$A:Y,25,FALSE)</f>
        <v>#N/A</v>
      </c>
      <c r="BN17" t="e">
        <f>VLOOKUP($D17,BDDprix!$A:Z,26,FALSE)</f>
        <v>#N/A</v>
      </c>
      <c r="BO17" t="e">
        <f>VLOOKUP($D17,BDDprix!$A:AA,27,FALSE)</f>
        <v>#N/A</v>
      </c>
      <c r="BP17" t="e">
        <f>VLOOKUP($D17,BDDprix!$A:AB,28,FALSE)</f>
        <v>#N/A</v>
      </c>
      <c r="BQ17" t="e">
        <f>VLOOKUP($D17,BDDprix!$A:AC,29,FALSE)</f>
        <v>#N/A</v>
      </c>
      <c r="BR17" t="e">
        <f>VLOOKUP($D17,BDDprix!$A:AD,26,FALSE)</f>
        <v>#N/A</v>
      </c>
      <c r="BS17" t="e">
        <f>VLOOKUP($D17,BDDprix!$A:AE,31,FALSE)</f>
        <v>#N/A</v>
      </c>
      <c r="BT17" t="e">
        <f>VLOOKUP($D17,BDDprix!$A:AF,32,FALSE)</f>
        <v>#N/A</v>
      </c>
      <c r="BU17" t="e">
        <f>VLOOKUP($D17,BDDprix!$A:AG,33,FALSE)</f>
        <v>#N/A</v>
      </c>
      <c r="BV17" t="e">
        <f>VLOOKUP($D17,BDDprix!$A:AH,34,FALSE)</f>
        <v>#N/A</v>
      </c>
      <c r="BW17" t="e">
        <f>VLOOKUP($D17,BDDprix!$A:AI,35,FALSE)</f>
        <v>#N/A</v>
      </c>
      <c r="BX17" t="e">
        <f>VLOOKUP($D17,BDDprix!$A:AJ,36,FALSE)</f>
        <v>#N/A</v>
      </c>
      <c r="BY17" t="e">
        <f>VLOOKUP($D17,BDDprix!$A:AK,37,FALSE)</f>
        <v>#N/A</v>
      </c>
      <c r="BZ17" t="e">
        <f>VLOOKUP($D17,BDDprix!$A:AL,38,FALSE)</f>
        <v>#N/A</v>
      </c>
      <c r="CA17" t="e">
        <f>VLOOKUP($D17,BDDprix!$A:AM,39,FALSE)</f>
        <v>#N/A</v>
      </c>
      <c r="CB17" t="e">
        <f>VLOOKUP($D17,BDDprix!$A:AN,40,FALSE)</f>
        <v>#N/A</v>
      </c>
      <c r="CC17" t="e">
        <f>VLOOKUP($D17,BDDprix!$A:AO,41,FALSE)</f>
        <v>#N/A</v>
      </c>
      <c r="CD17" t="e">
        <f>VLOOKUP($D17,BDDprix!$A:AP,42,FALSE)</f>
        <v>#N/A</v>
      </c>
      <c r="CE17" t="e">
        <f>VLOOKUP($D17,BDDprix!$A:AQ,43,FALSE)</f>
        <v>#N/A</v>
      </c>
      <c r="CF17" t="e">
        <f>VLOOKUP($D17,BDDprix!$A:AR,44,FALSE)</f>
        <v>#N/A</v>
      </c>
      <c r="CG17" t="e">
        <f>VLOOKUP($D17,BDDprix!$A:AS,45,FALSE)</f>
        <v>#N/A</v>
      </c>
      <c r="CH17" t="e">
        <f>VLOOKUP($D17,BDDprix!$A:AT,46,FALSE)</f>
        <v>#N/A</v>
      </c>
      <c r="CI17" t="e">
        <f>VLOOKUP($D17,BDDprix!$A:AU,47,FALSE)</f>
        <v>#N/A</v>
      </c>
      <c r="CJ17" t="e">
        <f>VLOOKUP($D17,BDDprix!$A:AV,48,FALSE)</f>
        <v>#N/A</v>
      </c>
      <c r="CK17" t="e">
        <f>VLOOKUP($D17,BDDprix!$A:AW,49,FALSE)</f>
        <v>#N/A</v>
      </c>
      <c r="CL17" t="str">
        <f t="shared" si="12"/>
        <v/>
      </c>
    </row>
    <row r="18" spans="1:90" x14ac:dyDescent="0.25">
      <c r="A18" s="207" t="str">
        <f>IF(VLOOKUP($G$3,BDD!A:BA,53,FALSE)="","",VLOOKUP($G$3,BDD!A:BA53,FALSE))</f>
        <v/>
      </c>
      <c r="B18" s="200" t="str">
        <f t="shared" si="5"/>
        <v/>
      </c>
      <c r="C18" s="57"/>
      <c r="D18" s="202" t="str">
        <f t="shared" si="6"/>
        <v/>
      </c>
      <c r="E18" s="180"/>
      <c r="F18" s="181"/>
      <c r="G18" s="178"/>
      <c r="H18" s="178"/>
      <c r="I18" s="179"/>
      <c r="J18" s="202" t="str">
        <f t="shared" si="13"/>
        <v/>
      </c>
      <c r="K18" s="54"/>
      <c r="L18" s="202" t="str">
        <f t="shared" si="7"/>
        <v/>
      </c>
      <c r="M18" s="54"/>
      <c r="N18" s="202" t="str">
        <f t="shared" si="8"/>
        <v/>
      </c>
      <c r="O18" s="264"/>
      <c r="P18" s="62" t="str">
        <f t="shared" si="9"/>
        <v/>
      </c>
      <c r="Q18" s="63" t="str">
        <f>IF(J18="","",IF(E18=BDDprix!$A$41,SUM(0-(N18*J18)),IF($G$1=$X$5,SUM(0-(N18*J18)),SUM(N18*J18))))</f>
        <v/>
      </c>
      <c r="R18" s="64" t="str">
        <f t="shared" si="10"/>
        <v/>
      </c>
      <c r="S18" s="39"/>
      <c r="T18" t="s">
        <v>303</v>
      </c>
      <c r="W18" s="25">
        <v>17</v>
      </c>
      <c r="AJ18" s="201" t="str">
        <f>IF(VLOOKUP($G$3,BDD!A:HT,54,FALSE)="","",VLOOKUP($G$3,BDD!A:HT,54,FALSE))</f>
        <v/>
      </c>
      <c r="AK18" s="206" t="str">
        <f>IF(VLOOKUP($G$3,BDD!A:HU,55,FALSE)="","",VLOOKUP($G$3,BDD!A:HU,55,FALSE))</f>
        <v/>
      </c>
      <c r="AL18" s="206" t="str">
        <f>IF(VLOOKUP($G$3,BDD!A:HV,56,FALSE)="","",VLOOKUP($G$3,BDD!A:HV,56,FALSE))</f>
        <v/>
      </c>
      <c r="AM18" s="206" t="str">
        <f>IF(VLOOKUP($G$3,BDD!A:HW,57,FALSE)="","",VLOOKUP($G$3,BDD!A:HW,57,FALSE))</f>
        <v/>
      </c>
      <c r="AN18" s="167" t="str">
        <f t="shared" si="11"/>
        <v/>
      </c>
      <c r="AO18" t="str">
        <f>IF(J$10=V$2,IF(L18=AP18,AX18,IF(L18=AQ18,BC18,IF(L18=AR18,BH18,IF(L18=AS18,BM18,IF(L18=AT18,BR18,IF(L18=AU18,BW18,IF(L18=AV18,CB18,IF(L18=AW18,CG18)))))))),IF(J$10=V$3,IF(L18=AP18,AY18,IF(L18=AQ18,BD18,IF(L18=AR18,BI18,IF(L18=AS18,BN18,IF(L18=AT18,BS18,IF(L18=AU18,BX18,IF(L18=AV18,CC18,IF(L18=AW18,CH18)))))))),IF(J$10=V$4,IF(L18=AP18,AZ18,IF(L18=AQ18,BE18,IF(L18=AR18,BJ18,IF(L18=AS18,BO18,IF(L18=AT18,BT18,IF(L18=AU18,BY18,IF(L18=AV18,CD18,IF(L18=AW18,CI18)))))))),IF(J$10=V$5,IF(L18=AP18,BA18,IF(L18=AQ18,BF18,IF(L18=AR18,BK18,IF(L18=AS18,BP18,IF(L18=AT18,BU18,IF(L18=AU18,BZ18,IF(L18=AV18,CE18,IF(L18=AW18,CJ18)))))))),IF(J$10=V$6,IF(L18=AP18,BB18,IF(L18=AQ18,BG18,IF(L18=AR18,BL18,IF(L18=AS18,BQ18,sil(L18=AT18,BV18,IF(L18=AU18,CA18,IF(L18=AV18,CF18,IF(L18=AW18,CK18)))))))),(""))))))</f>
        <v/>
      </c>
      <c r="AP18" t="e">
        <f>VLOOKUP($D18,BDDprix!$A:B,2,FALSE)</f>
        <v>#N/A</v>
      </c>
      <c r="AQ18" t="e">
        <f>VLOOKUP($D18,BDDprix!$A:C,3,FALSE)</f>
        <v>#N/A</v>
      </c>
      <c r="AR18" t="e">
        <f>VLOOKUP($D18,BDDprix!$A:D,4,FALSE)</f>
        <v>#N/A</v>
      </c>
      <c r="AS18" t="e">
        <f>VLOOKUP($D18,BDDprix!$A:E,5,FALSE)</f>
        <v>#N/A</v>
      </c>
      <c r="AT18" t="e">
        <f>VLOOKUP($D18,BDDprix!$A:F,6,FALSE)</f>
        <v>#N/A</v>
      </c>
      <c r="AU18" t="e">
        <f>VLOOKUP($D18,BDDprix!$A:G,7,FALSE)</f>
        <v>#N/A</v>
      </c>
      <c r="AV18" t="e">
        <f>VLOOKUP($D18,BDDprix!$A:H,8,FALSE)</f>
        <v>#N/A</v>
      </c>
      <c r="AW18" t="e">
        <f>VLOOKUP($D18,BDDprix!$A:I,9,FALSE)</f>
        <v>#N/A</v>
      </c>
      <c r="AX18" t="e">
        <f>VLOOKUP($D18,BDDprix!$A:J,10,FALSE)</f>
        <v>#N/A</v>
      </c>
      <c r="AY18" t="e">
        <f>VLOOKUP($D18,BDDprix!$A:K,11,FALSE)</f>
        <v>#N/A</v>
      </c>
      <c r="AZ18" t="e">
        <f>VLOOKUP($D18,BDDprix!$A:L,12,FALSE)</f>
        <v>#N/A</v>
      </c>
      <c r="BA18" t="e">
        <f>VLOOKUP($D18,BDDprix!$A:M,13,FALSE)</f>
        <v>#N/A</v>
      </c>
      <c r="BB18" t="e">
        <f>VLOOKUP($D18,BDDprix!$A:N,14,FALSE)</f>
        <v>#N/A</v>
      </c>
      <c r="BC18" t="e">
        <f>VLOOKUP($D18,BDDprix!$A:O,15,FALSE)</f>
        <v>#N/A</v>
      </c>
      <c r="BD18" t="e">
        <f>VLOOKUP($D18,BDDprix!$A:P,16,FALSE)</f>
        <v>#N/A</v>
      </c>
      <c r="BE18" t="e">
        <f>VLOOKUP($D18,BDDprix!$A:Q,17,FALSE)</f>
        <v>#N/A</v>
      </c>
      <c r="BF18" t="e">
        <f>VLOOKUP($D18,BDDprix!$A:R,18,FALSE)</f>
        <v>#N/A</v>
      </c>
      <c r="BG18" t="e">
        <f>VLOOKUP($D18,BDDprix!$A:S,19,FALSE)</f>
        <v>#N/A</v>
      </c>
      <c r="BH18" t="e">
        <f>VLOOKUP($D18,BDDprix!$A:T,20,FALSE)</f>
        <v>#N/A</v>
      </c>
      <c r="BI18" t="e">
        <f>VLOOKUP($D18,BDDprix!$A:U,21,FALSE)</f>
        <v>#N/A</v>
      </c>
      <c r="BJ18" t="e">
        <f>VLOOKUP($D18,BDDprix!$A:V,22,FALSE)</f>
        <v>#N/A</v>
      </c>
      <c r="BK18" t="e">
        <f>VLOOKUP($D18,BDDprix!$A:W,23,FALSE)</f>
        <v>#N/A</v>
      </c>
      <c r="BL18" t="e">
        <f>VLOOKUP($D18,BDDprix!$A:X,24,FALSE)</f>
        <v>#N/A</v>
      </c>
      <c r="BM18" t="e">
        <f>VLOOKUP($D18,BDDprix!$A:Y,25,FALSE)</f>
        <v>#N/A</v>
      </c>
      <c r="BN18" t="e">
        <f>VLOOKUP($D18,BDDprix!$A:Z,26,FALSE)</f>
        <v>#N/A</v>
      </c>
      <c r="BO18" t="e">
        <f>VLOOKUP($D18,BDDprix!$A:AA,27,FALSE)</f>
        <v>#N/A</v>
      </c>
      <c r="BP18" t="e">
        <f>VLOOKUP($D18,BDDprix!$A:AB,28,FALSE)</f>
        <v>#N/A</v>
      </c>
      <c r="BQ18" t="e">
        <f>VLOOKUP($D18,BDDprix!$A:AC,29,FALSE)</f>
        <v>#N/A</v>
      </c>
      <c r="BR18" t="e">
        <f>VLOOKUP($D18,BDDprix!$A:AD,26,FALSE)</f>
        <v>#N/A</v>
      </c>
      <c r="BS18" t="e">
        <f>VLOOKUP($D18,BDDprix!$A:AE,31,FALSE)</f>
        <v>#N/A</v>
      </c>
      <c r="BT18" t="e">
        <f>VLOOKUP($D18,BDDprix!$A:AF,32,FALSE)</f>
        <v>#N/A</v>
      </c>
      <c r="BU18" t="e">
        <f>VLOOKUP($D18,BDDprix!$A:AG,33,FALSE)</f>
        <v>#N/A</v>
      </c>
      <c r="BV18" t="e">
        <f>VLOOKUP($D18,BDDprix!$A:AH,34,FALSE)</f>
        <v>#N/A</v>
      </c>
      <c r="BW18" t="e">
        <f>VLOOKUP($D18,BDDprix!$A:AI,35,FALSE)</f>
        <v>#N/A</v>
      </c>
      <c r="BX18" t="e">
        <f>VLOOKUP($D18,BDDprix!$A:AJ,36,FALSE)</f>
        <v>#N/A</v>
      </c>
      <c r="BY18" t="e">
        <f>VLOOKUP($D18,BDDprix!$A:AK,37,FALSE)</f>
        <v>#N/A</v>
      </c>
      <c r="BZ18" t="e">
        <f>VLOOKUP($D18,BDDprix!$A:AL,38,FALSE)</f>
        <v>#N/A</v>
      </c>
      <c r="CA18" t="e">
        <f>VLOOKUP($D18,BDDprix!$A:AM,39,FALSE)</f>
        <v>#N/A</v>
      </c>
      <c r="CB18" t="e">
        <f>VLOOKUP($D18,BDDprix!$A:AN,40,FALSE)</f>
        <v>#N/A</v>
      </c>
      <c r="CC18" t="e">
        <f>VLOOKUP($D18,BDDprix!$A:AO,41,FALSE)</f>
        <v>#N/A</v>
      </c>
      <c r="CD18" t="e">
        <f>VLOOKUP($D18,BDDprix!$A:AP,42,FALSE)</f>
        <v>#N/A</v>
      </c>
      <c r="CE18" t="e">
        <f>VLOOKUP($D18,BDDprix!$A:AQ,43,FALSE)</f>
        <v>#N/A</v>
      </c>
      <c r="CF18" t="e">
        <f>VLOOKUP($D18,BDDprix!$A:AR,44,FALSE)</f>
        <v>#N/A</v>
      </c>
      <c r="CG18" t="e">
        <f>VLOOKUP($D18,BDDprix!$A:AS,45,FALSE)</f>
        <v>#N/A</v>
      </c>
      <c r="CH18" t="e">
        <f>VLOOKUP($D18,BDDprix!$A:AT,46,FALSE)</f>
        <v>#N/A</v>
      </c>
      <c r="CI18" t="e">
        <f>VLOOKUP($D18,BDDprix!$A:AU,47,FALSE)</f>
        <v>#N/A</v>
      </c>
      <c r="CJ18" t="e">
        <f>VLOOKUP($D18,BDDprix!$A:AV,48,FALSE)</f>
        <v>#N/A</v>
      </c>
      <c r="CK18" t="e">
        <f>VLOOKUP($D18,BDDprix!$A:AW,49,FALSE)</f>
        <v>#N/A</v>
      </c>
      <c r="CL18" t="str">
        <f t="shared" si="12"/>
        <v/>
      </c>
    </row>
    <row r="19" spans="1:90" x14ac:dyDescent="0.25">
      <c r="A19" s="207" t="str">
        <f>IF(VLOOKUP($G$3,BDD!A:BG,59,FALSE)="","",VLOOKUP($G$3,BDD!A:BG,59,FALSE))</f>
        <v/>
      </c>
      <c r="B19" s="200" t="str">
        <f t="shared" si="5"/>
        <v/>
      </c>
      <c r="C19" s="57"/>
      <c r="D19" s="202" t="str">
        <f t="shared" si="6"/>
        <v/>
      </c>
      <c r="E19" s="180"/>
      <c r="F19" s="181"/>
      <c r="G19" s="178"/>
      <c r="H19" s="178"/>
      <c r="I19" s="179"/>
      <c r="J19" s="202" t="str">
        <f t="shared" si="13"/>
        <v/>
      </c>
      <c r="K19" s="54"/>
      <c r="L19" s="202" t="str">
        <f t="shared" si="7"/>
        <v/>
      </c>
      <c r="M19" s="54"/>
      <c r="N19" s="202" t="str">
        <f t="shared" si="8"/>
        <v/>
      </c>
      <c r="O19" s="264"/>
      <c r="P19" s="62" t="str">
        <f t="shared" si="9"/>
        <v/>
      </c>
      <c r="Q19" s="63" t="str">
        <f>IF(J19="","",IF(E19=BDDprix!$A$41,SUM(0-(N19*J19)),IF($G$1=$X$5,SUM(0-(N19*J19)),SUM(N19*J19))))</f>
        <v/>
      </c>
      <c r="R19" s="64" t="str">
        <f t="shared" si="10"/>
        <v/>
      </c>
      <c r="S19" s="39"/>
      <c r="T19" t="s">
        <v>304</v>
      </c>
      <c r="W19" s="25">
        <v>18</v>
      </c>
      <c r="AJ19" s="201" t="str">
        <f>IF(VLOOKUP($G$3,BDD!A:HT,60,FALSE)="","",VLOOKUP($G$3,BDD!A:HT,60,FALSE))</f>
        <v/>
      </c>
      <c r="AK19" s="206" t="str">
        <f>IF(VLOOKUP($G$3,BDD!A:HU,61,FALSE)="","",VLOOKUP($G$3,BDD!A:HU,61,FALSE))</f>
        <v/>
      </c>
      <c r="AL19" s="206" t="str">
        <f>IF(VLOOKUP($G$3,BDD!A:HV,62,FALSE)="","",VLOOKUP($G$3,BDD!A:HV,62,FALSE))</f>
        <v/>
      </c>
      <c r="AM19" s="206" t="str">
        <f>IF(VLOOKUP($G$3,BDD!A:HW,63,FALSE)="","",VLOOKUP($G$3,BDD!A:HW,63,FALSE))</f>
        <v/>
      </c>
      <c r="AN19" s="167" t="str">
        <f t="shared" si="11"/>
        <v/>
      </c>
      <c r="AO19" t="str">
        <f>IF(J$10=V$2,IF(L19=AP19,AX19,IF(L19=AQ19,BC19,IF(L19=AR19,BH19,IF(L19=AS19,BM19,IF(L19=AT19,BR19,IF(L19=AU19,BW19,IF(L19=AV19,CB19,IF(L19=AW19,CG19)))))))),IF(J$10=V$3,IF(L19=AP19,AY19,IF(L19=AQ19,BD19,IF(L19=AR19,BI19,IF(L19=AS19,BN19,IF(L19=AT19,BS19,IF(L19=AU19,BX19,IF(L19=AV19,CC19,IF(L19=AW19,CH19)))))))),IF(J$10=V$4,IF(L19=AP19,AZ19,IF(L19=AQ19,BE19,IF(L19=AR19,BJ19,IF(L19=AS19,BO19,IF(L19=AT19,BT19,IF(L19=AU19,BY19,IF(L19=AV19,CD19,IF(L19=AW19,CI19)))))))),IF(J$10=V$5,IF(L19=AP19,BA19,IF(L19=AQ19,BF19,IF(L19=AR19,BK19,IF(L19=AS19,BP19,IF(L19=AT19,BU19,IF(L19=AU19,BZ19,IF(L19=AV19,CE19,IF(L19=AW19,CJ19)))))))),IF(J$10=V$6,IF(L19=AP19,BB19,IF(L19=AQ19,BG19,IF(L19=AR19,BL19,IF(L19=AS19,BQ19,sil(L19=AT19,BV19,IF(L19=AU19,CA19,IF(L19=AV19,CF19,IF(L19=AW19,CK19)))))))),(""))))))</f>
        <v/>
      </c>
      <c r="AP19" t="e">
        <f>VLOOKUP($D19,BDDprix!$A:B,2,FALSE)</f>
        <v>#N/A</v>
      </c>
      <c r="AQ19" t="e">
        <f>VLOOKUP($D19,BDDprix!$A:C,3,FALSE)</f>
        <v>#N/A</v>
      </c>
      <c r="AR19" t="e">
        <f>VLOOKUP($D19,BDDprix!$A:D,4,FALSE)</f>
        <v>#N/A</v>
      </c>
      <c r="AS19" t="e">
        <f>VLOOKUP($D19,BDDprix!$A:E,5,FALSE)</f>
        <v>#N/A</v>
      </c>
      <c r="AT19" t="e">
        <f>VLOOKUP($D19,BDDprix!$A:F,6,FALSE)</f>
        <v>#N/A</v>
      </c>
      <c r="AU19" t="e">
        <f>VLOOKUP($D19,BDDprix!$A:G,7,FALSE)</f>
        <v>#N/A</v>
      </c>
      <c r="AV19" t="e">
        <f>VLOOKUP($D19,BDDprix!$A:H,8,FALSE)</f>
        <v>#N/A</v>
      </c>
      <c r="AW19" t="e">
        <f>VLOOKUP($D19,BDDprix!$A:I,9,FALSE)</f>
        <v>#N/A</v>
      </c>
      <c r="AX19" t="e">
        <f>VLOOKUP($D19,BDDprix!$A:J,10,FALSE)</f>
        <v>#N/A</v>
      </c>
      <c r="AY19" t="e">
        <f>VLOOKUP($D19,BDDprix!$A:K,11,FALSE)</f>
        <v>#N/A</v>
      </c>
      <c r="AZ19" t="e">
        <f>VLOOKUP($D19,BDDprix!$A:L,12,FALSE)</f>
        <v>#N/A</v>
      </c>
      <c r="BA19" t="e">
        <f>VLOOKUP($D19,BDDprix!$A:M,13,FALSE)</f>
        <v>#N/A</v>
      </c>
      <c r="BB19" t="e">
        <f>VLOOKUP($D19,BDDprix!$A:N,14,FALSE)</f>
        <v>#N/A</v>
      </c>
      <c r="BC19" t="e">
        <f>VLOOKUP($D19,BDDprix!$A:O,15,FALSE)</f>
        <v>#N/A</v>
      </c>
      <c r="BD19" t="e">
        <f>VLOOKUP($D19,BDDprix!$A:P,16,FALSE)</f>
        <v>#N/A</v>
      </c>
      <c r="BE19" t="e">
        <f>VLOOKUP($D19,BDDprix!$A:Q,17,FALSE)</f>
        <v>#N/A</v>
      </c>
      <c r="BF19" t="e">
        <f>VLOOKUP($D19,BDDprix!$A:R,18,FALSE)</f>
        <v>#N/A</v>
      </c>
      <c r="BG19" t="e">
        <f>VLOOKUP($D19,BDDprix!$A:S,19,FALSE)</f>
        <v>#N/A</v>
      </c>
      <c r="BH19" t="e">
        <f>VLOOKUP($D19,BDDprix!$A:T,20,FALSE)</f>
        <v>#N/A</v>
      </c>
      <c r="BI19" t="e">
        <f>VLOOKUP($D19,BDDprix!$A:U,21,FALSE)</f>
        <v>#N/A</v>
      </c>
      <c r="BJ19" t="e">
        <f>VLOOKUP($D19,BDDprix!$A:V,22,FALSE)</f>
        <v>#N/A</v>
      </c>
      <c r="BK19" t="e">
        <f>VLOOKUP($D19,BDDprix!$A:W,23,FALSE)</f>
        <v>#N/A</v>
      </c>
      <c r="BL19" t="e">
        <f>VLOOKUP($D19,BDDprix!$A:X,24,FALSE)</f>
        <v>#N/A</v>
      </c>
      <c r="BM19" t="e">
        <f>VLOOKUP($D19,BDDprix!$A:Y,25,FALSE)</f>
        <v>#N/A</v>
      </c>
      <c r="BN19" t="e">
        <f>VLOOKUP($D19,BDDprix!$A:Z,26,FALSE)</f>
        <v>#N/A</v>
      </c>
      <c r="BO19" t="e">
        <f>VLOOKUP($D19,BDDprix!$A:AA,27,FALSE)</f>
        <v>#N/A</v>
      </c>
      <c r="BP19" t="e">
        <f>VLOOKUP($D19,BDDprix!$A:AB,28,FALSE)</f>
        <v>#N/A</v>
      </c>
      <c r="BQ19" t="e">
        <f>VLOOKUP($D19,BDDprix!$A:AC,29,FALSE)</f>
        <v>#N/A</v>
      </c>
      <c r="BR19" t="e">
        <f>VLOOKUP($D19,BDDprix!$A:AD,26,FALSE)</f>
        <v>#N/A</v>
      </c>
      <c r="BS19" t="e">
        <f>VLOOKUP($D19,BDDprix!$A:AE,31,FALSE)</f>
        <v>#N/A</v>
      </c>
      <c r="BT19" t="e">
        <f>VLOOKUP($D19,BDDprix!$A:AF,32,FALSE)</f>
        <v>#N/A</v>
      </c>
      <c r="BU19" t="e">
        <f>VLOOKUP($D19,BDDprix!$A:AG,33,FALSE)</f>
        <v>#N/A</v>
      </c>
      <c r="BV19" t="e">
        <f>VLOOKUP($D19,BDDprix!$A:AH,34,FALSE)</f>
        <v>#N/A</v>
      </c>
      <c r="BW19" t="e">
        <f>VLOOKUP($D19,BDDprix!$A:AI,35,FALSE)</f>
        <v>#N/A</v>
      </c>
      <c r="BX19" t="e">
        <f>VLOOKUP($D19,BDDprix!$A:AJ,36,FALSE)</f>
        <v>#N/A</v>
      </c>
      <c r="BY19" t="e">
        <f>VLOOKUP($D19,BDDprix!$A:AK,37,FALSE)</f>
        <v>#N/A</v>
      </c>
      <c r="BZ19" t="e">
        <f>VLOOKUP($D19,BDDprix!$A:AL,38,FALSE)</f>
        <v>#N/A</v>
      </c>
      <c r="CA19" t="e">
        <f>VLOOKUP($D19,BDDprix!$A:AM,39,FALSE)</f>
        <v>#N/A</v>
      </c>
      <c r="CB19" t="e">
        <f>VLOOKUP($D19,BDDprix!$A:AN,40,FALSE)</f>
        <v>#N/A</v>
      </c>
      <c r="CC19" t="e">
        <f>VLOOKUP($D19,BDDprix!$A:AO,41,FALSE)</f>
        <v>#N/A</v>
      </c>
      <c r="CD19" t="e">
        <f>VLOOKUP($D19,BDDprix!$A:AP,42,FALSE)</f>
        <v>#N/A</v>
      </c>
      <c r="CE19" t="e">
        <f>VLOOKUP($D19,BDDprix!$A:AQ,43,FALSE)</f>
        <v>#N/A</v>
      </c>
      <c r="CF19" t="e">
        <f>VLOOKUP($D19,BDDprix!$A:AR,44,FALSE)</f>
        <v>#N/A</v>
      </c>
      <c r="CG19" t="e">
        <f>VLOOKUP($D19,BDDprix!$A:AS,45,FALSE)</f>
        <v>#N/A</v>
      </c>
      <c r="CH19" t="e">
        <f>VLOOKUP($D19,BDDprix!$A:AT,46,FALSE)</f>
        <v>#N/A</v>
      </c>
      <c r="CI19" t="e">
        <f>VLOOKUP($D19,BDDprix!$A:AU,47,FALSE)</f>
        <v>#N/A</v>
      </c>
      <c r="CJ19" t="e">
        <f>VLOOKUP($D19,BDDprix!$A:AV,48,FALSE)</f>
        <v>#N/A</v>
      </c>
      <c r="CK19" t="e">
        <f>VLOOKUP($D19,BDDprix!$A:AW,49,FALSE)</f>
        <v>#N/A</v>
      </c>
      <c r="CL19" t="str">
        <f t="shared" si="12"/>
        <v/>
      </c>
    </row>
    <row r="20" spans="1:90" x14ac:dyDescent="0.25">
      <c r="A20" s="207" t="str">
        <f>IF(VLOOKUP($G$3,BDD!A:BM,65,FALSE)="","",VLOOKUP($G$3,BDD!A:BM,65,FALSE))</f>
        <v/>
      </c>
      <c r="B20" s="200" t="str">
        <f t="shared" si="5"/>
        <v/>
      </c>
      <c r="C20" s="57"/>
      <c r="D20" s="202" t="str">
        <f t="shared" si="6"/>
        <v/>
      </c>
      <c r="E20" s="180"/>
      <c r="F20" s="181"/>
      <c r="G20" s="178"/>
      <c r="H20" s="178"/>
      <c r="I20" s="179"/>
      <c r="J20" s="202" t="str">
        <f t="shared" si="13"/>
        <v/>
      </c>
      <c r="K20" s="54"/>
      <c r="L20" s="202" t="str">
        <f t="shared" si="7"/>
        <v/>
      </c>
      <c r="M20" s="54"/>
      <c r="N20" s="202" t="str">
        <f t="shared" si="8"/>
        <v/>
      </c>
      <c r="O20" s="264"/>
      <c r="P20" s="62" t="str">
        <f t="shared" si="9"/>
        <v/>
      </c>
      <c r="Q20" s="63" t="str">
        <f>IF(J20="","",IF(E20=BDDprix!$A$41,SUM(0-(N20*J20)),IF($G$1=$X$5,SUM(0-(N20*J20)),SUM(N20*J20))))</f>
        <v/>
      </c>
      <c r="R20" s="64" t="str">
        <f t="shared" si="10"/>
        <v/>
      </c>
      <c r="S20" s="39"/>
      <c r="T20" t="s">
        <v>305</v>
      </c>
      <c r="W20" s="25">
        <v>19</v>
      </c>
      <c r="AJ20" s="201" t="str">
        <f>IF(VLOOKUP($G$3,BDD!A:HT,66,FALSE)="","",VLOOKUP($G$3,BDD!A:HT,66,FALSE))</f>
        <v/>
      </c>
      <c r="AK20" s="206" t="str">
        <f>IF(VLOOKUP($G$3,BDD!A:HU,67,FALSE)="","",VLOOKUP($G$3,BDD!A:HU,67,FALSE))</f>
        <v/>
      </c>
      <c r="AL20" s="206" t="str">
        <f>IF(VLOOKUP($G$3,BDD!A:HV,68,FALSE)="","",VLOOKUP($G$3,BDD!A:HV,68,FALSE))</f>
        <v/>
      </c>
      <c r="AM20" s="206" t="str">
        <f>IF(VLOOKUP($G$3,BDD!A:HW,69,FALSE)="","",VLOOKUP($G$3,BDD!A:HW,69,FALSE))</f>
        <v/>
      </c>
      <c r="AN20" s="167" t="str">
        <f t="shared" si="11"/>
        <v/>
      </c>
      <c r="AO20" t="str">
        <f>IF(J$10=V$2,IF(L20=AP20,AX20,IF(L20=AQ20,BC20,IF(L20=AR20,BH20,IF(L20=AS20,BM20,IF(L20=AT20,BR20,IF(L20=AU20,BW20,IF(L20=AV20,CB20,IF(L20=AW20,CG20)))))))),IF(J$10=V$3,IF(L20=AP20,AY20,IF(L20=AQ20,BD20,IF(L20=AR20,BI20,IF(L20=AS20,BN20,IF(L20=AT20,BS20,IF(L20=AU20,BX20,IF(L20=AV20,CC20,IF(L20=AW20,CH20)))))))),IF(J$10=V$4,IF(L20=AP20,AZ20,IF(L20=AQ20,BE20,IF(L20=AR20,BJ20,IF(L20=AS20,BO20,IF(L20=AT20,BT20,IF(L20=AU20,BY20,IF(L20=AV20,CD20,IF(L20=AW20,CI20)))))))),IF(J$10=V$5,IF(L20=AP20,BA20,IF(L20=AQ20,BF20,IF(L20=AR20,BK20,IF(L20=AS20,BP20,IF(L20=AT20,BU20,IF(L20=AU20,BZ20,IF(L20=AV20,CE20,IF(L20=AW20,CJ20)))))))),IF(J$10=V$6,IF(L20=AP20,BB20,IF(L20=AQ20,BG20,IF(L20=AR20,BL20,IF(L20=AS20,BQ20,sil(L20=AT20,BV20,IF(L20=AU20,CA20,IF(L20=AV20,CF20,IF(L20=AW20,CK20)))))))),(""))))))</f>
        <v/>
      </c>
      <c r="AP20" t="e">
        <f>VLOOKUP($D20,BDDprix!$A:B,2,FALSE)</f>
        <v>#N/A</v>
      </c>
      <c r="AQ20" t="e">
        <f>VLOOKUP($D20,BDDprix!$A:C,3,FALSE)</f>
        <v>#N/A</v>
      </c>
      <c r="AR20" t="e">
        <f>VLOOKUP($D20,BDDprix!$A:D,4,FALSE)</f>
        <v>#N/A</v>
      </c>
      <c r="AS20" t="e">
        <f>VLOOKUP($D20,BDDprix!$A:E,5,FALSE)</f>
        <v>#N/A</v>
      </c>
      <c r="AT20" t="e">
        <f>VLOOKUP($D20,BDDprix!$A:F,6,FALSE)</f>
        <v>#N/A</v>
      </c>
      <c r="AU20" t="e">
        <f>VLOOKUP($D20,BDDprix!$A:G,7,FALSE)</f>
        <v>#N/A</v>
      </c>
      <c r="AV20" t="e">
        <f>VLOOKUP($D20,BDDprix!$A:H,8,FALSE)</f>
        <v>#N/A</v>
      </c>
      <c r="AW20" t="e">
        <f>VLOOKUP($D20,BDDprix!$A:I,9,FALSE)</f>
        <v>#N/A</v>
      </c>
      <c r="AX20" t="e">
        <f>VLOOKUP($D20,BDDprix!$A:J,10,FALSE)</f>
        <v>#N/A</v>
      </c>
      <c r="AY20" t="e">
        <f>VLOOKUP($D20,BDDprix!$A:K,11,FALSE)</f>
        <v>#N/A</v>
      </c>
      <c r="AZ20" t="e">
        <f>VLOOKUP($D20,BDDprix!$A:L,12,FALSE)</f>
        <v>#N/A</v>
      </c>
      <c r="BA20" t="e">
        <f>VLOOKUP($D20,BDDprix!$A:M,13,FALSE)</f>
        <v>#N/A</v>
      </c>
      <c r="BB20" t="e">
        <f>VLOOKUP($D20,BDDprix!$A:N,14,FALSE)</f>
        <v>#N/A</v>
      </c>
      <c r="BC20" t="e">
        <f>VLOOKUP($D20,BDDprix!$A:O,15,FALSE)</f>
        <v>#N/A</v>
      </c>
      <c r="BD20" t="e">
        <f>VLOOKUP($D20,BDDprix!$A:P,16,FALSE)</f>
        <v>#N/A</v>
      </c>
      <c r="BE20" t="e">
        <f>VLOOKUP($D20,BDDprix!$A:Q,17,FALSE)</f>
        <v>#N/A</v>
      </c>
      <c r="BF20" t="e">
        <f>VLOOKUP($D20,BDDprix!$A:R,18,FALSE)</f>
        <v>#N/A</v>
      </c>
      <c r="BG20" t="e">
        <f>VLOOKUP($D20,BDDprix!$A:S,19,FALSE)</f>
        <v>#N/A</v>
      </c>
      <c r="BH20" t="e">
        <f>VLOOKUP($D20,BDDprix!$A:T,20,FALSE)</f>
        <v>#N/A</v>
      </c>
      <c r="BI20" t="e">
        <f>VLOOKUP($D20,BDDprix!$A:U,21,FALSE)</f>
        <v>#N/A</v>
      </c>
      <c r="BJ20" t="e">
        <f>VLOOKUP($D20,BDDprix!$A:V,22,FALSE)</f>
        <v>#N/A</v>
      </c>
      <c r="BK20" t="e">
        <f>VLOOKUP($D20,BDDprix!$A:W,23,FALSE)</f>
        <v>#N/A</v>
      </c>
      <c r="BL20" t="e">
        <f>VLOOKUP($D20,BDDprix!$A:X,24,FALSE)</f>
        <v>#N/A</v>
      </c>
      <c r="BM20" t="e">
        <f>VLOOKUP($D20,BDDprix!$A:Y,25,FALSE)</f>
        <v>#N/A</v>
      </c>
      <c r="BN20" t="e">
        <f>VLOOKUP($D20,BDDprix!$A:Z,26,FALSE)</f>
        <v>#N/A</v>
      </c>
      <c r="BO20" t="e">
        <f>VLOOKUP($D20,BDDprix!$A:AA,27,FALSE)</f>
        <v>#N/A</v>
      </c>
      <c r="BP20" t="e">
        <f>VLOOKUP($D20,BDDprix!$A:AB,28,FALSE)</f>
        <v>#N/A</v>
      </c>
      <c r="BQ20" t="e">
        <f>VLOOKUP($D20,BDDprix!$A:AC,29,FALSE)</f>
        <v>#N/A</v>
      </c>
      <c r="BR20" t="e">
        <f>VLOOKUP($D20,BDDprix!$A:AD,26,FALSE)</f>
        <v>#N/A</v>
      </c>
      <c r="BS20" t="e">
        <f>VLOOKUP($D20,BDDprix!$A:AE,31,FALSE)</f>
        <v>#N/A</v>
      </c>
      <c r="BT20" t="e">
        <f>VLOOKUP($D20,BDDprix!$A:AF,32,FALSE)</f>
        <v>#N/A</v>
      </c>
      <c r="BU20" t="e">
        <f>VLOOKUP($D20,BDDprix!$A:AG,33,FALSE)</f>
        <v>#N/A</v>
      </c>
      <c r="BV20" t="e">
        <f>VLOOKUP($D20,BDDprix!$A:AH,34,FALSE)</f>
        <v>#N/A</v>
      </c>
      <c r="BW20" t="e">
        <f>VLOOKUP($D20,BDDprix!$A:AI,35,FALSE)</f>
        <v>#N/A</v>
      </c>
      <c r="BX20" t="e">
        <f>VLOOKUP($D20,BDDprix!$A:AJ,36,FALSE)</f>
        <v>#N/A</v>
      </c>
      <c r="BY20" t="e">
        <f>VLOOKUP($D20,BDDprix!$A:AK,37,FALSE)</f>
        <v>#N/A</v>
      </c>
      <c r="BZ20" t="e">
        <f>VLOOKUP($D20,BDDprix!$A:AL,38,FALSE)</f>
        <v>#N/A</v>
      </c>
      <c r="CA20" t="e">
        <f>VLOOKUP($D20,BDDprix!$A:AM,39,FALSE)</f>
        <v>#N/A</v>
      </c>
      <c r="CB20" t="e">
        <f>VLOOKUP($D20,BDDprix!$A:AN,40,FALSE)</f>
        <v>#N/A</v>
      </c>
      <c r="CC20" t="e">
        <f>VLOOKUP($D20,BDDprix!$A:AO,41,FALSE)</f>
        <v>#N/A</v>
      </c>
      <c r="CD20" t="e">
        <f>VLOOKUP($D20,BDDprix!$A:AP,42,FALSE)</f>
        <v>#N/A</v>
      </c>
      <c r="CE20" t="e">
        <f>VLOOKUP($D20,BDDprix!$A:AQ,43,FALSE)</f>
        <v>#N/A</v>
      </c>
      <c r="CF20" t="e">
        <f>VLOOKUP($D20,BDDprix!$A:AR,44,FALSE)</f>
        <v>#N/A</v>
      </c>
      <c r="CG20" t="e">
        <f>VLOOKUP($D20,BDDprix!$A:AS,45,FALSE)</f>
        <v>#N/A</v>
      </c>
      <c r="CH20" t="e">
        <f>VLOOKUP($D20,BDDprix!$A:AT,46,FALSE)</f>
        <v>#N/A</v>
      </c>
      <c r="CI20" t="e">
        <f>VLOOKUP($D20,BDDprix!$A:AU,47,FALSE)</f>
        <v>#N/A</v>
      </c>
      <c r="CJ20" t="e">
        <f>VLOOKUP($D20,BDDprix!$A:AV,48,FALSE)</f>
        <v>#N/A</v>
      </c>
      <c r="CK20" t="e">
        <f>VLOOKUP($D20,BDDprix!$A:AW,49,FALSE)</f>
        <v>#N/A</v>
      </c>
      <c r="CL20" t="str">
        <f t="shared" si="12"/>
        <v/>
      </c>
    </row>
    <row r="21" spans="1:90" x14ac:dyDescent="0.25">
      <c r="A21" s="207" t="str">
        <f>IF(VLOOKUP($G$3,BDD!A:BS,71,FALSE)="","",VLOOKUP($G$3,BDD!A:BS,71,FALSE))</f>
        <v/>
      </c>
      <c r="B21" s="200" t="str">
        <f t="shared" si="5"/>
        <v/>
      </c>
      <c r="C21" s="57"/>
      <c r="D21" s="202" t="str">
        <f t="shared" si="6"/>
        <v/>
      </c>
      <c r="E21" s="180"/>
      <c r="F21" s="181"/>
      <c r="G21" s="178"/>
      <c r="H21" s="178"/>
      <c r="I21" s="179"/>
      <c r="J21" s="202" t="str">
        <f t="shared" si="13"/>
        <v/>
      </c>
      <c r="K21" s="54"/>
      <c r="L21" s="202" t="str">
        <f t="shared" si="7"/>
        <v/>
      </c>
      <c r="M21" s="54"/>
      <c r="N21" s="202" t="str">
        <f t="shared" si="8"/>
        <v/>
      </c>
      <c r="O21" s="264"/>
      <c r="P21" s="62" t="str">
        <f t="shared" si="9"/>
        <v/>
      </c>
      <c r="Q21" s="63" t="str">
        <f>IF(J21="","",IF(E21=BDDprix!$A$41,SUM(0-(N21*J21)),IF($G$1=$X$5,SUM(0-(N21*J21)),SUM(N21*J21))))</f>
        <v/>
      </c>
      <c r="R21" s="64" t="str">
        <f t="shared" si="10"/>
        <v/>
      </c>
      <c r="S21" s="39"/>
      <c r="T21" t="s">
        <v>306</v>
      </c>
      <c r="W21" s="26">
        <v>20</v>
      </c>
      <c r="AJ21" s="201" t="str">
        <f>IF(VLOOKUP($G$3,BDD!A:HT,72,FALSE)="","",VLOOKUP($G$3,BDD!A:HT,72,FALSE))</f>
        <v/>
      </c>
      <c r="AK21" s="206" t="str">
        <f>IF(VLOOKUP($G$3,BDD!A:HU,73,FALSE)="","",VLOOKUP($G$3,BDD!A:HU73,FALSE))</f>
        <v/>
      </c>
      <c r="AL21" s="206" t="str">
        <f>IF(VLOOKUP($G$3,BDD!A:HV,74,FALSE)="","",VLOOKUP($G$3,BDD!A:HV,74,FALSE))</f>
        <v/>
      </c>
      <c r="AM21" s="206" t="str">
        <f>IF(VLOOKUP($G$3,BDD!A:HW,75,FALSE)="","",VLOOKUP($G$3,BDD!A:HW,75,FALSE))</f>
        <v/>
      </c>
      <c r="AN21" s="167" t="str">
        <f t="shared" si="11"/>
        <v/>
      </c>
      <c r="AO21" t="str">
        <f>IF(J$10=V$2,IF(L21=AP21,AX21,IF(L21=AQ21,BC21,IF(L21=AR21,BH21,IF(L21=AS21,BM21,IF(L21=AT21,BR21,IF(L21=AU21,BW21,IF(L21=AV21,CB21,IF(L21=AW21,CG21)))))))),IF(J$10=V$3,IF(L21=AP21,AY21,IF(L21=AQ21,BD21,IF(L21=AR21,BI21,IF(L21=AS21,BN21,IF(L21=AT21,BS21,IF(L21=AU21,BX21,IF(L21=AV21,CC21,IF(L21=AW21,CH21)))))))),IF(J$10=V$4,IF(L21=AP21,AZ21,IF(L21=AQ21,BE21,IF(L21=AR21,BJ21,IF(L21=AS21,BO21,IF(L21=AT21,BT21,IF(L21=AU21,BY21,IF(L21=AV21,CD21,IF(L21=AW21,CI21)))))))),IF(J$10=V$5,IF(L21=AP21,BA21,IF(L21=AQ21,BF21,IF(L21=AR21,BK21,IF(L21=AS21,BP21,IF(L21=AT21,BU21,IF(L21=AU21,BZ21,IF(L21=AV21,CE21,IF(L21=AW21,CJ21)))))))),IF(J$10=V$6,IF(L21=AP21,BB21,IF(L21=AQ21,BG21,IF(L21=AR21,BL21,IF(L21=AS21,BQ21,sil(L21=AT21,BV21,IF(L21=AU21,CA21,IF(L21=AV21,CF21,IF(L21=AW21,CK21)))))))),(""))))))</f>
        <v/>
      </c>
      <c r="AP21" t="e">
        <f>VLOOKUP($D21,BDDprix!$A:B,2,FALSE)</f>
        <v>#N/A</v>
      </c>
      <c r="AQ21" t="e">
        <f>VLOOKUP($D21,BDDprix!$A:C,3,FALSE)</f>
        <v>#N/A</v>
      </c>
      <c r="AR21" t="e">
        <f>VLOOKUP($D21,BDDprix!$A:D,4,FALSE)</f>
        <v>#N/A</v>
      </c>
      <c r="AS21" t="e">
        <f>VLOOKUP($D21,BDDprix!$A:E,5,FALSE)</f>
        <v>#N/A</v>
      </c>
      <c r="AT21" t="e">
        <f>VLOOKUP($D21,BDDprix!$A:F,6,FALSE)</f>
        <v>#N/A</v>
      </c>
      <c r="AU21" t="e">
        <f>VLOOKUP($D21,BDDprix!$A:G,7,FALSE)</f>
        <v>#N/A</v>
      </c>
      <c r="AV21" t="e">
        <f>VLOOKUP($D21,BDDprix!$A:H,8,FALSE)</f>
        <v>#N/A</v>
      </c>
      <c r="AW21" t="e">
        <f>VLOOKUP($D21,BDDprix!$A:I,9,FALSE)</f>
        <v>#N/A</v>
      </c>
      <c r="AX21" t="e">
        <f>VLOOKUP($D21,BDDprix!$A:J,10,FALSE)</f>
        <v>#N/A</v>
      </c>
      <c r="AY21" t="e">
        <f>VLOOKUP($D21,BDDprix!$A:K,11,FALSE)</f>
        <v>#N/A</v>
      </c>
      <c r="AZ21" t="e">
        <f>VLOOKUP($D21,BDDprix!$A:L,12,FALSE)</f>
        <v>#N/A</v>
      </c>
      <c r="BA21" t="e">
        <f>VLOOKUP($D21,BDDprix!$A:M,13,FALSE)</f>
        <v>#N/A</v>
      </c>
      <c r="BB21" t="e">
        <f>VLOOKUP($D21,BDDprix!$A:N,14,FALSE)</f>
        <v>#N/A</v>
      </c>
      <c r="BC21" t="e">
        <f>VLOOKUP($D21,BDDprix!$A:O,15,FALSE)</f>
        <v>#N/A</v>
      </c>
      <c r="BD21" t="e">
        <f>VLOOKUP($D21,BDDprix!$A:P,16,FALSE)</f>
        <v>#N/A</v>
      </c>
      <c r="BE21" t="e">
        <f>VLOOKUP($D21,BDDprix!$A:Q,17,FALSE)</f>
        <v>#N/A</v>
      </c>
      <c r="BF21" t="e">
        <f>VLOOKUP($D21,BDDprix!$A:R,18,FALSE)</f>
        <v>#N/A</v>
      </c>
      <c r="BG21" t="e">
        <f>VLOOKUP($D21,BDDprix!$A:S,19,FALSE)</f>
        <v>#N/A</v>
      </c>
      <c r="BH21" t="e">
        <f>VLOOKUP($D21,BDDprix!$A:T,20,FALSE)</f>
        <v>#N/A</v>
      </c>
      <c r="BI21" t="e">
        <f>VLOOKUP($D21,BDDprix!$A:U,21,FALSE)</f>
        <v>#N/A</v>
      </c>
      <c r="BJ21" t="e">
        <f>VLOOKUP($D21,BDDprix!$A:V,22,FALSE)</f>
        <v>#N/A</v>
      </c>
      <c r="BK21" t="e">
        <f>VLOOKUP($D21,BDDprix!$A:W,23,FALSE)</f>
        <v>#N/A</v>
      </c>
      <c r="BL21" t="e">
        <f>VLOOKUP($D21,BDDprix!$A:X,24,FALSE)</f>
        <v>#N/A</v>
      </c>
      <c r="BM21" t="e">
        <f>VLOOKUP($D21,BDDprix!$A:Y,25,FALSE)</f>
        <v>#N/A</v>
      </c>
      <c r="BN21" t="e">
        <f>VLOOKUP($D21,BDDprix!$A:Z,26,FALSE)</f>
        <v>#N/A</v>
      </c>
      <c r="BO21" t="e">
        <f>VLOOKUP($D21,BDDprix!$A:AA,27,FALSE)</f>
        <v>#N/A</v>
      </c>
      <c r="BP21" t="e">
        <f>VLOOKUP($D21,BDDprix!$A:AB,28,FALSE)</f>
        <v>#N/A</v>
      </c>
      <c r="BQ21" t="e">
        <f>VLOOKUP($D21,BDDprix!$A:AC,29,FALSE)</f>
        <v>#N/A</v>
      </c>
      <c r="BR21" t="e">
        <f>VLOOKUP($D21,BDDprix!$A:AD,26,FALSE)</f>
        <v>#N/A</v>
      </c>
      <c r="BS21" t="e">
        <f>VLOOKUP($D21,BDDprix!$A:AE,31,FALSE)</f>
        <v>#N/A</v>
      </c>
      <c r="BT21" t="e">
        <f>VLOOKUP($D21,BDDprix!$A:AF,32,FALSE)</f>
        <v>#N/A</v>
      </c>
      <c r="BU21" t="e">
        <f>VLOOKUP($D21,BDDprix!$A:AG,33,FALSE)</f>
        <v>#N/A</v>
      </c>
      <c r="BV21" t="e">
        <f>VLOOKUP($D21,BDDprix!$A:AH,34,FALSE)</f>
        <v>#N/A</v>
      </c>
      <c r="BW21" t="e">
        <f>VLOOKUP($D21,BDDprix!$A:AI,35,FALSE)</f>
        <v>#N/A</v>
      </c>
      <c r="BX21" t="e">
        <f>VLOOKUP($D21,BDDprix!$A:AJ,36,FALSE)</f>
        <v>#N/A</v>
      </c>
      <c r="BY21" t="e">
        <f>VLOOKUP($D21,BDDprix!$A:AK,37,FALSE)</f>
        <v>#N/A</v>
      </c>
      <c r="BZ21" t="e">
        <f>VLOOKUP($D21,BDDprix!$A:AL,38,FALSE)</f>
        <v>#N/A</v>
      </c>
      <c r="CA21" t="e">
        <f>VLOOKUP($D21,BDDprix!$A:AM,39,FALSE)</f>
        <v>#N/A</v>
      </c>
      <c r="CB21" t="e">
        <f>VLOOKUP($D21,BDDprix!$A:AN,40,FALSE)</f>
        <v>#N/A</v>
      </c>
      <c r="CC21" t="e">
        <f>VLOOKUP($D21,BDDprix!$A:AO,41,FALSE)</f>
        <v>#N/A</v>
      </c>
      <c r="CD21" t="e">
        <f>VLOOKUP($D21,BDDprix!$A:AP,42,FALSE)</f>
        <v>#N/A</v>
      </c>
      <c r="CE21" t="e">
        <f>VLOOKUP($D21,BDDprix!$A:AQ,43,FALSE)</f>
        <v>#N/A</v>
      </c>
      <c r="CF21" t="e">
        <f>VLOOKUP($D21,BDDprix!$A:AR,44,FALSE)</f>
        <v>#N/A</v>
      </c>
      <c r="CG21" t="e">
        <f>VLOOKUP($D21,BDDprix!$A:AS,45,FALSE)</f>
        <v>#N/A</v>
      </c>
      <c r="CH21" t="e">
        <f>VLOOKUP($D21,BDDprix!$A:AT,46,FALSE)</f>
        <v>#N/A</v>
      </c>
      <c r="CI21" t="e">
        <f>VLOOKUP($D21,BDDprix!$A:AU,47,FALSE)</f>
        <v>#N/A</v>
      </c>
      <c r="CJ21" t="e">
        <f>VLOOKUP($D21,BDDprix!$A:AV,48,FALSE)</f>
        <v>#N/A</v>
      </c>
      <c r="CK21" t="e">
        <f>VLOOKUP($D21,BDDprix!$A:AW,49,FALSE)</f>
        <v>#N/A</v>
      </c>
      <c r="CL21" t="str">
        <f t="shared" si="12"/>
        <v/>
      </c>
    </row>
    <row r="22" spans="1:90" x14ac:dyDescent="0.25">
      <c r="A22" s="207" t="str">
        <f>IF(VLOOKUP($G$3,BDD!A:BY,77,FALSE)="","",VLOOKUP($G$3,BDD!A:BY,77,FALSE))</f>
        <v/>
      </c>
      <c r="B22" s="200" t="str">
        <f t="shared" si="5"/>
        <v/>
      </c>
      <c r="C22" s="57"/>
      <c r="D22" s="202" t="str">
        <f t="shared" si="6"/>
        <v/>
      </c>
      <c r="E22" s="180"/>
      <c r="F22" s="181"/>
      <c r="G22" s="178"/>
      <c r="H22" s="178"/>
      <c r="I22" s="179"/>
      <c r="J22" s="202" t="str">
        <f t="shared" si="13"/>
        <v/>
      </c>
      <c r="K22" s="54"/>
      <c r="L22" s="202" t="str">
        <f t="shared" si="7"/>
        <v/>
      </c>
      <c r="M22" s="54"/>
      <c r="N22" s="202" t="str">
        <f t="shared" si="8"/>
        <v/>
      </c>
      <c r="O22" s="264"/>
      <c r="P22" s="62" t="str">
        <f t="shared" si="9"/>
        <v/>
      </c>
      <c r="Q22" s="63" t="str">
        <f>IF(J22="","",IF(E22=BDDprix!$A$41,SUM(0-(N22*J22)),IF($G$1=$X$5,SUM(0-(N22*J22)),SUM(N22*J22))))</f>
        <v/>
      </c>
      <c r="R22" s="64" t="str">
        <f t="shared" si="10"/>
        <v/>
      </c>
      <c r="S22" s="39"/>
      <c r="T22" t="s">
        <v>307</v>
      </c>
      <c r="AJ22" s="201" t="str">
        <f>IF(VLOOKUP($G$3,BDD!A:HT,78,FALSE)="","",VLOOKUP($G$3,BDD!A:HT,78,FALSE))</f>
        <v/>
      </c>
      <c r="AK22" s="206" t="str">
        <f>IF(VLOOKUP($G$3,BDD!A:HU,79,FALSE)="","",VLOOKUP($G$3,BDD!A:HU,79,FALSE))</f>
        <v/>
      </c>
      <c r="AL22" s="206" t="str">
        <f>IF(VLOOKUP($G$3,BDD!A:HV,80,FALSE)="","",VLOOKUP($G$3,BDD!A:HV,80,FALSE))</f>
        <v/>
      </c>
      <c r="AM22" s="206" t="str">
        <f>IF(VLOOKUP($G$3,BDD!A:HW,81,FALSE)="","",VLOOKUP($G$3,BDD!A:HW,81,FALSE))</f>
        <v/>
      </c>
      <c r="AN22" s="167" t="str">
        <f t="shared" si="11"/>
        <v/>
      </c>
      <c r="AO22" t="str">
        <f>IF(J$10=V$2,IF(L22=AP22,AX22,IF(L22=AQ22,BC22,IF(L22=AR22,BH22,IF(L22=AS22,BM22,IF(L22=AT22,BR22,IF(L22=AU22,BW22,IF(L22=AV22,CB22,IF(L22=AW22,CG22)))))))),IF(J$10=V$3,IF(L22=AP22,AY22,IF(L22=AQ22,BD22,IF(L22=AR22,BI22,IF(L22=AS22,BN22,IF(L22=AT22,BS22,IF(L22=AU22,BX22,IF(L22=AV22,CC22,IF(L22=AW22,CH22)))))))),IF(J$10=V$4,IF(L22=AP22,AZ22,IF(L22=AQ22,BE22,IF(L22=AR22,BJ22,IF(L22=AS22,BO22,IF(L22=AT22,BT22,IF(L22=AU22,BY22,IF(L22=AV22,CD22,IF(L22=AW22,CI22)))))))),IF(J$10=V$5,IF(L22=AP22,BA22,IF(L22=AQ22,BF22,IF(L22=AR22,BK22,IF(L22=AS22,BP22,IF(L22=AT22,BU22,IF(L22=AU22,BZ22,IF(L22=AV22,CE22,IF(L22=AW22,CJ22)))))))),IF(J$10=V$6,IF(L22=AP22,BB22,IF(L22=AQ22,BG22,IF(L22=AR22,BL22,IF(L22=AS22,BQ22,sil(L22=AT22,BV22,IF(L22=AU22,CA22,IF(L22=AV22,CF22,IF(L22=AW22,CK22)))))))),(""))))))</f>
        <v/>
      </c>
      <c r="AP22" t="e">
        <f>VLOOKUP($D22,BDDprix!$A:B,2,FALSE)</f>
        <v>#N/A</v>
      </c>
      <c r="AQ22" t="e">
        <f>VLOOKUP($D22,BDDprix!$A:C,3,FALSE)</f>
        <v>#N/A</v>
      </c>
      <c r="AR22" t="e">
        <f>VLOOKUP($D22,BDDprix!$A:D,4,FALSE)</f>
        <v>#N/A</v>
      </c>
      <c r="AS22" t="e">
        <f>VLOOKUP($D22,BDDprix!$A:E,5,FALSE)</f>
        <v>#N/A</v>
      </c>
      <c r="AT22" t="e">
        <f>VLOOKUP($D22,BDDprix!$A:F,6,FALSE)</f>
        <v>#N/A</v>
      </c>
      <c r="AU22" t="e">
        <f>VLOOKUP($D22,BDDprix!$A:G,7,FALSE)</f>
        <v>#N/A</v>
      </c>
      <c r="AV22" t="e">
        <f>VLOOKUP($D22,BDDprix!$A:H,8,FALSE)</f>
        <v>#N/A</v>
      </c>
      <c r="AW22" t="e">
        <f>VLOOKUP($D22,BDDprix!$A:I,9,FALSE)</f>
        <v>#N/A</v>
      </c>
      <c r="AX22" t="e">
        <f>VLOOKUP($D22,BDDprix!$A:J,10,FALSE)</f>
        <v>#N/A</v>
      </c>
      <c r="AY22" t="e">
        <f>VLOOKUP($D22,BDDprix!$A:K,11,FALSE)</f>
        <v>#N/A</v>
      </c>
      <c r="AZ22" t="e">
        <f>VLOOKUP($D22,BDDprix!$A:L,12,FALSE)</f>
        <v>#N/A</v>
      </c>
      <c r="BA22" t="e">
        <f>VLOOKUP($D22,BDDprix!$A:M,13,FALSE)</f>
        <v>#N/A</v>
      </c>
      <c r="BB22" t="e">
        <f>VLOOKUP($D22,BDDprix!$A:N,14,FALSE)</f>
        <v>#N/A</v>
      </c>
      <c r="BC22" t="e">
        <f>VLOOKUP($D22,BDDprix!$A:O,15,FALSE)</f>
        <v>#N/A</v>
      </c>
      <c r="BD22" t="e">
        <f>VLOOKUP($D22,BDDprix!$A:P,16,FALSE)</f>
        <v>#N/A</v>
      </c>
      <c r="BE22" t="e">
        <f>VLOOKUP($D22,BDDprix!$A:Q,17,FALSE)</f>
        <v>#N/A</v>
      </c>
      <c r="BF22" t="e">
        <f>VLOOKUP($D22,BDDprix!$A:R,18,FALSE)</f>
        <v>#N/A</v>
      </c>
      <c r="BG22" t="e">
        <f>VLOOKUP($D22,BDDprix!$A:S,19,FALSE)</f>
        <v>#N/A</v>
      </c>
      <c r="BH22" t="e">
        <f>VLOOKUP($D22,BDDprix!$A:T,20,FALSE)</f>
        <v>#N/A</v>
      </c>
      <c r="BI22" t="e">
        <f>VLOOKUP($D22,BDDprix!$A:U,21,FALSE)</f>
        <v>#N/A</v>
      </c>
      <c r="BJ22" t="e">
        <f>VLOOKUP($D22,BDDprix!$A:V,22,FALSE)</f>
        <v>#N/A</v>
      </c>
      <c r="BK22" t="e">
        <f>VLOOKUP($D22,BDDprix!$A:W,23,FALSE)</f>
        <v>#N/A</v>
      </c>
      <c r="BL22" t="e">
        <f>VLOOKUP($D22,BDDprix!$A:X,24,FALSE)</f>
        <v>#N/A</v>
      </c>
      <c r="BM22" t="e">
        <f>VLOOKUP($D22,BDDprix!$A:Y,25,FALSE)</f>
        <v>#N/A</v>
      </c>
      <c r="BN22" t="e">
        <f>VLOOKUP($D22,BDDprix!$A:Z,26,FALSE)</f>
        <v>#N/A</v>
      </c>
      <c r="BO22" t="e">
        <f>VLOOKUP($D22,BDDprix!$A:AA,27,FALSE)</f>
        <v>#N/A</v>
      </c>
      <c r="BP22" t="e">
        <f>VLOOKUP($D22,BDDprix!$A:AB,28,FALSE)</f>
        <v>#N/A</v>
      </c>
      <c r="BQ22" t="e">
        <f>VLOOKUP($D22,BDDprix!$A:AC,29,FALSE)</f>
        <v>#N/A</v>
      </c>
      <c r="BR22" t="e">
        <f>VLOOKUP($D22,BDDprix!$A:AD,26,FALSE)</f>
        <v>#N/A</v>
      </c>
      <c r="BS22" t="e">
        <f>VLOOKUP($D22,BDDprix!$A:AE,31,FALSE)</f>
        <v>#N/A</v>
      </c>
      <c r="BT22" t="e">
        <f>VLOOKUP($D22,BDDprix!$A:AF,32,FALSE)</f>
        <v>#N/A</v>
      </c>
      <c r="BU22" t="e">
        <f>VLOOKUP($D22,BDDprix!$A:AG,33,FALSE)</f>
        <v>#N/A</v>
      </c>
      <c r="BV22" t="e">
        <f>VLOOKUP($D22,BDDprix!$A:AH,34,FALSE)</f>
        <v>#N/A</v>
      </c>
      <c r="BW22" t="e">
        <f>VLOOKUP($D22,BDDprix!$A:AI,35,FALSE)</f>
        <v>#N/A</v>
      </c>
      <c r="BX22" t="e">
        <f>VLOOKUP($D22,BDDprix!$A:AJ,36,FALSE)</f>
        <v>#N/A</v>
      </c>
      <c r="BY22" t="e">
        <f>VLOOKUP($D22,BDDprix!$A:AK,37,FALSE)</f>
        <v>#N/A</v>
      </c>
      <c r="BZ22" t="e">
        <f>VLOOKUP($D22,BDDprix!$A:AL,38,FALSE)</f>
        <v>#N/A</v>
      </c>
      <c r="CA22" t="e">
        <f>VLOOKUP($D22,BDDprix!$A:AM,39,FALSE)</f>
        <v>#N/A</v>
      </c>
      <c r="CB22" t="e">
        <f>VLOOKUP($D22,BDDprix!$A:AN,40,FALSE)</f>
        <v>#N/A</v>
      </c>
      <c r="CC22" t="e">
        <f>VLOOKUP($D22,BDDprix!$A:AO,41,FALSE)</f>
        <v>#N/A</v>
      </c>
      <c r="CD22" t="e">
        <f>VLOOKUP($D22,BDDprix!$A:AP,42,FALSE)</f>
        <v>#N/A</v>
      </c>
      <c r="CE22" t="e">
        <f>VLOOKUP($D22,BDDprix!$A:AQ,43,FALSE)</f>
        <v>#N/A</v>
      </c>
      <c r="CF22" t="e">
        <f>VLOOKUP($D22,BDDprix!$A:AR,44,FALSE)</f>
        <v>#N/A</v>
      </c>
      <c r="CG22" t="e">
        <f>VLOOKUP($D22,BDDprix!$A:AS,45,FALSE)</f>
        <v>#N/A</v>
      </c>
      <c r="CH22" t="e">
        <f>VLOOKUP($D22,BDDprix!$A:AT,46,FALSE)</f>
        <v>#N/A</v>
      </c>
      <c r="CI22" t="e">
        <f>VLOOKUP($D22,BDDprix!$A:AU,47,FALSE)</f>
        <v>#N/A</v>
      </c>
      <c r="CJ22" t="e">
        <f>VLOOKUP($D22,BDDprix!$A:AV,48,FALSE)</f>
        <v>#N/A</v>
      </c>
      <c r="CK22" t="e">
        <f>VLOOKUP($D22,BDDprix!$A:AW,49,FALSE)</f>
        <v>#N/A</v>
      </c>
      <c r="CL22" t="str">
        <f t="shared" si="12"/>
        <v/>
      </c>
    </row>
    <row r="23" spans="1:90" x14ac:dyDescent="0.25">
      <c r="A23" s="207" t="str">
        <f>IF(VLOOKUP($G$3,BDD!A:CE,83,FALSE)="","",VLOOKUP($G$3,BDD!A:CE,83,FALSE))</f>
        <v/>
      </c>
      <c r="B23" s="200" t="str">
        <f t="shared" si="5"/>
        <v/>
      </c>
      <c r="C23" s="57"/>
      <c r="D23" s="202" t="str">
        <f t="shared" si="6"/>
        <v/>
      </c>
      <c r="E23" s="180"/>
      <c r="F23" s="181"/>
      <c r="G23" s="178"/>
      <c r="H23" s="178"/>
      <c r="I23" s="179"/>
      <c r="J23" s="202" t="str">
        <f t="shared" si="13"/>
        <v/>
      </c>
      <c r="K23" s="54"/>
      <c r="L23" s="202" t="str">
        <f t="shared" si="7"/>
        <v/>
      </c>
      <c r="M23" s="54"/>
      <c r="N23" s="202" t="str">
        <f t="shared" si="8"/>
        <v/>
      </c>
      <c r="O23" s="264"/>
      <c r="P23" s="62" t="str">
        <f t="shared" si="9"/>
        <v/>
      </c>
      <c r="Q23" s="63" t="str">
        <f>IF(J23="","",IF(E23=BDDprix!$A$41,SUM(0-(N23*J23)),IF($G$1=$X$5,SUM(0-(N23*J23)),SUM(N23*J23))))</f>
        <v/>
      </c>
      <c r="R23" s="64" t="str">
        <f t="shared" si="10"/>
        <v/>
      </c>
      <c r="S23" s="39"/>
      <c r="AJ23" s="201" t="str">
        <f>IF(VLOOKUP($G$3,BDD!A:HT,84,FALSE)="","",VLOOKUP($G$3,BDD!A:HT,84,FALSE))</f>
        <v/>
      </c>
      <c r="AK23" s="206" t="str">
        <f>IF(VLOOKUP($G$3,BDD!A:HU,85,FALSE)="","",VLOOKUP($G$3,BDD!A:HU,85,FALSE))</f>
        <v/>
      </c>
      <c r="AL23" s="206" t="str">
        <f>IF(VLOOKUP($G$3,BDD!A:HV,86,FALSE)="","",VLOOKUP($G$3,BDD!A:HV,86,FALSE))</f>
        <v/>
      </c>
      <c r="AM23" s="206" t="str">
        <f>IF(VLOOKUP($G$3,BDD!A:HW,87,FALSE)="","",VLOOKUP($G$3,BDD!A:HW,87,FALSE))</f>
        <v/>
      </c>
      <c r="AN23" s="167" t="str">
        <f t="shared" si="11"/>
        <v/>
      </c>
      <c r="AO23" t="str">
        <f>IF(J$10=V$2,IF(L23=AP23,AX23,IF(L23=AQ23,BC23,IF(L23=AR23,BH23,IF(L23=AS23,BM23,IF(L23=AT23,BR23,IF(L23=AU23,BW23,IF(L23=AV23,CB23,IF(L23=AW23,CG23)))))))),IF(J$10=V$3,IF(L23=AP23,AY23,IF(L23=AQ23,BD23,IF(L23=AR23,BI23,IF(L23=AS23,BN23,IF(L23=AT23,BS23,IF(L23=AU23,BX23,IF(L23=AV23,CC23,IF(L23=AW23,CH23)))))))),IF(J$10=V$4,IF(L23=AP23,AZ23,IF(L23=AQ23,BE23,IF(L23=AR23,BJ23,IF(L23=AS23,BO23,IF(L23=AT23,BT23,IF(L23=AU23,BY23,IF(L23=AV23,CD23,IF(L23=AW23,CI23)))))))),IF(J$10=V$5,IF(L23=AP23,BA23,IF(L23=AQ23,BF23,IF(L23=AR23,BK23,IF(L23=AS23,BP23,IF(L23=AT23,BU23,IF(L23=AU23,BZ23,IF(L23=AV23,CE23,IF(L23=AW23,CJ23)))))))),IF(J$10=V$6,IF(L23=AP23,BB23,IF(L23=AQ23,BG23,IF(L23=AR23,BL23,IF(L23=AS23,BQ23,sil(L23=AT23,BV23,IF(L23=AU23,CA23,IF(L23=AV23,CF23,IF(L23=AW23,CK23)))))))),(""))))))</f>
        <v/>
      </c>
      <c r="AP23" t="e">
        <f>VLOOKUP($D23,BDDprix!$A:B,2,FALSE)</f>
        <v>#N/A</v>
      </c>
      <c r="AQ23" t="e">
        <f>VLOOKUP($D23,BDDprix!$A:C,3,FALSE)</f>
        <v>#N/A</v>
      </c>
      <c r="AR23" t="e">
        <f>VLOOKUP($D23,BDDprix!$A:D,4,FALSE)</f>
        <v>#N/A</v>
      </c>
      <c r="AS23" t="e">
        <f>VLOOKUP($D23,BDDprix!$A:E,5,FALSE)</f>
        <v>#N/A</v>
      </c>
      <c r="AT23" t="e">
        <f>VLOOKUP($D23,BDDprix!$A:F,6,FALSE)</f>
        <v>#N/A</v>
      </c>
      <c r="AU23" t="e">
        <f>VLOOKUP($D23,BDDprix!$A:G,7,FALSE)</f>
        <v>#N/A</v>
      </c>
      <c r="AV23" t="e">
        <f>VLOOKUP($D23,BDDprix!$A:H,8,FALSE)</f>
        <v>#N/A</v>
      </c>
      <c r="AW23" t="e">
        <f>VLOOKUP($D23,BDDprix!$A:I,9,FALSE)</f>
        <v>#N/A</v>
      </c>
      <c r="AX23" t="e">
        <f>VLOOKUP($D23,BDDprix!$A:J,10,FALSE)</f>
        <v>#N/A</v>
      </c>
      <c r="AY23" t="e">
        <f>VLOOKUP($D23,BDDprix!$A:K,11,FALSE)</f>
        <v>#N/A</v>
      </c>
      <c r="AZ23" t="e">
        <f>VLOOKUP($D23,BDDprix!$A:L,12,FALSE)</f>
        <v>#N/A</v>
      </c>
      <c r="BA23" t="e">
        <f>VLOOKUP($D23,BDDprix!$A:M,13,FALSE)</f>
        <v>#N/A</v>
      </c>
      <c r="BB23" t="e">
        <f>VLOOKUP($D23,BDDprix!$A:N,14,FALSE)</f>
        <v>#N/A</v>
      </c>
      <c r="BC23" t="e">
        <f>VLOOKUP($D23,BDDprix!$A:O,15,FALSE)</f>
        <v>#N/A</v>
      </c>
      <c r="BD23" t="e">
        <f>VLOOKUP($D23,BDDprix!$A:P,16,FALSE)</f>
        <v>#N/A</v>
      </c>
      <c r="BE23" t="e">
        <f>VLOOKUP($D23,BDDprix!$A:Q,17,FALSE)</f>
        <v>#N/A</v>
      </c>
      <c r="BF23" t="e">
        <f>VLOOKUP($D23,BDDprix!$A:R,18,FALSE)</f>
        <v>#N/A</v>
      </c>
      <c r="BG23" t="e">
        <f>VLOOKUP($D23,BDDprix!$A:S,19,FALSE)</f>
        <v>#N/A</v>
      </c>
      <c r="BH23" t="e">
        <f>VLOOKUP($D23,BDDprix!$A:T,20,FALSE)</f>
        <v>#N/A</v>
      </c>
      <c r="BI23" t="e">
        <f>VLOOKUP($D23,BDDprix!$A:U,21,FALSE)</f>
        <v>#N/A</v>
      </c>
      <c r="BJ23" t="e">
        <f>VLOOKUP($D23,BDDprix!$A:V,22,FALSE)</f>
        <v>#N/A</v>
      </c>
      <c r="BK23" t="e">
        <f>VLOOKUP($D23,BDDprix!$A:W,23,FALSE)</f>
        <v>#N/A</v>
      </c>
      <c r="BL23" t="e">
        <f>VLOOKUP($D23,BDDprix!$A:X,24,FALSE)</f>
        <v>#N/A</v>
      </c>
      <c r="BM23" t="e">
        <f>VLOOKUP($D23,BDDprix!$A:Y,25,FALSE)</f>
        <v>#N/A</v>
      </c>
      <c r="BN23" t="e">
        <f>VLOOKUP($D23,BDDprix!$A:Z,26,FALSE)</f>
        <v>#N/A</v>
      </c>
      <c r="BO23" t="e">
        <f>VLOOKUP($D23,BDDprix!$A:AA,27,FALSE)</f>
        <v>#N/A</v>
      </c>
      <c r="BP23" t="e">
        <f>VLOOKUP($D23,BDDprix!$A:AB,28,FALSE)</f>
        <v>#N/A</v>
      </c>
      <c r="BQ23" t="e">
        <f>VLOOKUP($D23,BDDprix!$A:AC,29,FALSE)</f>
        <v>#N/A</v>
      </c>
      <c r="BR23" t="e">
        <f>VLOOKUP($D23,BDDprix!$A:AD,26,FALSE)</f>
        <v>#N/A</v>
      </c>
      <c r="BS23" t="e">
        <f>VLOOKUP($D23,BDDprix!$A:AE,31,FALSE)</f>
        <v>#N/A</v>
      </c>
      <c r="BT23" t="e">
        <f>VLOOKUP($D23,BDDprix!$A:AF,32,FALSE)</f>
        <v>#N/A</v>
      </c>
      <c r="BU23" t="e">
        <f>VLOOKUP($D23,BDDprix!$A:AG,33,FALSE)</f>
        <v>#N/A</v>
      </c>
      <c r="BV23" t="e">
        <f>VLOOKUP($D23,BDDprix!$A:AH,34,FALSE)</f>
        <v>#N/A</v>
      </c>
      <c r="BW23" t="e">
        <f>VLOOKUP($D23,BDDprix!$A:AI,35,FALSE)</f>
        <v>#N/A</v>
      </c>
      <c r="BX23" t="e">
        <f>VLOOKUP($D23,BDDprix!$A:AJ,36,FALSE)</f>
        <v>#N/A</v>
      </c>
      <c r="BY23" t="e">
        <f>VLOOKUP($D23,BDDprix!$A:AK,37,FALSE)</f>
        <v>#N/A</v>
      </c>
      <c r="BZ23" t="e">
        <f>VLOOKUP($D23,BDDprix!$A:AL,38,FALSE)</f>
        <v>#N/A</v>
      </c>
      <c r="CA23" t="e">
        <f>VLOOKUP($D23,BDDprix!$A:AM,39,FALSE)</f>
        <v>#N/A</v>
      </c>
      <c r="CB23" t="e">
        <f>VLOOKUP($D23,BDDprix!$A:AN,40,FALSE)</f>
        <v>#N/A</v>
      </c>
      <c r="CC23" t="e">
        <f>VLOOKUP($D23,BDDprix!$A:AO,41,FALSE)</f>
        <v>#N/A</v>
      </c>
      <c r="CD23" t="e">
        <f>VLOOKUP($D23,BDDprix!$A:AP,42,FALSE)</f>
        <v>#N/A</v>
      </c>
      <c r="CE23" t="e">
        <f>VLOOKUP($D23,BDDprix!$A:AQ,43,FALSE)</f>
        <v>#N/A</v>
      </c>
      <c r="CF23" t="e">
        <f>VLOOKUP($D23,BDDprix!$A:AR,44,FALSE)</f>
        <v>#N/A</v>
      </c>
      <c r="CG23" t="e">
        <f>VLOOKUP($D23,BDDprix!$A:AS,45,FALSE)</f>
        <v>#N/A</v>
      </c>
      <c r="CH23" t="e">
        <f>VLOOKUP($D23,BDDprix!$A:AT,46,FALSE)</f>
        <v>#N/A</v>
      </c>
      <c r="CI23" t="e">
        <f>VLOOKUP($D23,BDDprix!$A:AU,47,FALSE)</f>
        <v>#N/A</v>
      </c>
      <c r="CJ23" t="e">
        <f>VLOOKUP($D23,BDDprix!$A:AV,48,FALSE)</f>
        <v>#N/A</v>
      </c>
      <c r="CK23" t="e">
        <f>VLOOKUP($D23,BDDprix!$A:AW,49,FALSE)</f>
        <v>#N/A</v>
      </c>
      <c r="CL23" t="str">
        <f t="shared" si="12"/>
        <v/>
      </c>
    </row>
    <row r="24" spans="1:90" x14ac:dyDescent="0.25">
      <c r="A24" s="207" t="str">
        <f>IF(VLOOKUP($G$3,BDD!A:CK,89,FALSE)="","",VLOOKUP($G$3,BDD!A:CK,89,FALSE))</f>
        <v/>
      </c>
      <c r="B24" s="200" t="str">
        <f t="shared" si="5"/>
        <v/>
      </c>
      <c r="C24" s="57"/>
      <c r="D24" s="202" t="str">
        <f t="shared" si="6"/>
        <v/>
      </c>
      <c r="E24" s="180"/>
      <c r="F24" s="181"/>
      <c r="G24" s="178"/>
      <c r="H24" s="178"/>
      <c r="I24" s="179"/>
      <c r="J24" s="202" t="str">
        <f t="shared" si="13"/>
        <v/>
      </c>
      <c r="K24" s="54"/>
      <c r="L24" s="202" t="str">
        <f t="shared" si="7"/>
        <v/>
      </c>
      <c r="M24" s="54"/>
      <c r="N24" s="202" t="str">
        <f t="shared" si="8"/>
        <v/>
      </c>
      <c r="O24" s="264"/>
      <c r="P24" s="62" t="str">
        <f t="shared" si="9"/>
        <v/>
      </c>
      <c r="Q24" s="63" t="str">
        <f>IF(J24="","",IF(E24=BDDprix!$A$41,SUM(0-(N24*J24)),IF($G$1=$X$5,SUM(0-(N24*J24)),SUM(N24*J24))))</f>
        <v/>
      </c>
      <c r="R24" s="64" t="str">
        <f t="shared" si="10"/>
        <v/>
      </c>
      <c r="S24" s="39"/>
      <c r="T24" t="s">
        <v>312</v>
      </c>
      <c r="AJ24" s="201" t="str">
        <f>IF(VLOOKUP($G$3,BDD!A:HT,90,FALSE)="","",VLOOKUP($G$3,BDD!A:HT,90,FALSE))</f>
        <v/>
      </c>
      <c r="AK24" s="206" t="str">
        <f>IF(VLOOKUP($G$3,BDD!A:HU,91,FALSE)="","",VLOOKUP($G$3,BDD!A:HU,91,FALSE))</f>
        <v/>
      </c>
      <c r="AL24" s="206" t="str">
        <f>IF(VLOOKUP($G$3,BDD!A:HV,92,FALSE)="","",VLOOKUP($G$3,BDD!A:HV,92,FALSE))</f>
        <v/>
      </c>
      <c r="AM24" s="206" t="str">
        <f>IF(VLOOKUP($G$3,BDD!A:HW,93,FALSE)="","",VLOOKUP($G$3,BDD!A:HW,93,FALSE))</f>
        <v/>
      </c>
      <c r="AN24" s="167" t="str">
        <f t="shared" si="11"/>
        <v/>
      </c>
      <c r="AO24" t="str">
        <f>IF(J$10=V$2,IF(L24=AP24,AX24,IF(L24=AQ24,BC24,IF(L24=AR24,BH24,IF(L24=AS24,BM24,IF(L24=AT24,BR24,IF(L24=AU24,BW24,IF(L24=AV24,CB24,IF(L24=AW24,CG24)))))))),IF(J$10=V$3,IF(L24=AP24,AY24,IF(L24=AQ24,BD24,IF(L24=AR24,BI24,IF(L24=AS24,BN24,IF(L24=AT24,BS24,IF(L24=AU24,BX24,IF(L24=AV24,CC24,IF(L24=AW24,CH24)))))))),IF(J$10=V$4,IF(L24=AP24,AZ24,IF(L24=AQ24,BE24,IF(L24=AR24,BJ24,IF(L24=AS24,BO24,IF(L24=AT24,BT24,IF(L24=AU24,BY24,IF(L24=AV24,CD24,IF(L24=AW24,CI24)))))))),IF(J$10=V$5,IF(L24=AP24,BA24,IF(L24=AQ24,BF24,IF(L24=AR24,BK24,IF(L24=AS24,BP24,IF(L24=AT24,BU24,IF(L24=AU24,BZ24,IF(L24=AV24,CE24,IF(L24=AW24,CJ24)))))))),IF(J$10=V$6,IF(L24=AP24,BB24,IF(L24=AQ24,BG24,IF(L24=AR24,BL24,IF(L24=AS24,BQ24,sil(L24=AT24,BV24,IF(L24=AU24,CA24,IF(L24=AV24,CF24,IF(L24=AW24,CK24)))))))),(""))))))</f>
        <v/>
      </c>
      <c r="AP24" t="e">
        <f>VLOOKUP($D24,BDDprix!$A:B,2,FALSE)</f>
        <v>#N/A</v>
      </c>
      <c r="AQ24" t="e">
        <f>VLOOKUP($D24,BDDprix!$A:C,3,FALSE)</f>
        <v>#N/A</v>
      </c>
      <c r="AR24" t="e">
        <f>VLOOKUP($D24,BDDprix!$A:D,4,FALSE)</f>
        <v>#N/A</v>
      </c>
      <c r="AS24" t="e">
        <f>VLOOKUP($D24,BDDprix!$A:E,5,FALSE)</f>
        <v>#N/A</v>
      </c>
      <c r="AT24" t="e">
        <f>VLOOKUP($D24,BDDprix!$A:F,6,FALSE)</f>
        <v>#N/A</v>
      </c>
      <c r="AU24" t="e">
        <f>VLOOKUP($D24,BDDprix!$A:G,7,FALSE)</f>
        <v>#N/A</v>
      </c>
      <c r="AV24" t="e">
        <f>VLOOKUP($D24,BDDprix!$A:H,8,FALSE)</f>
        <v>#N/A</v>
      </c>
      <c r="AW24" t="e">
        <f>VLOOKUP($D24,BDDprix!$A:I,9,FALSE)</f>
        <v>#N/A</v>
      </c>
      <c r="AX24" t="e">
        <f>VLOOKUP($D24,BDDprix!$A:J,10,FALSE)</f>
        <v>#N/A</v>
      </c>
      <c r="AY24" t="e">
        <f>VLOOKUP($D24,BDDprix!$A:K,11,FALSE)</f>
        <v>#N/A</v>
      </c>
      <c r="AZ24" t="e">
        <f>VLOOKUP($D24,BDDprix!$A:L,12,FALSE)</f>
        <v>#N/A</v>
      </c>
      <c r="BA24" t="e">
        <f>VLOOKUP($D24,BDDprix!$A:M,13,FALSE)</f>
        <v>#N/A</v>
      </c>
      <c r="BB24" t="e">
        <f>VLOOKUP($D24,BDDprix!$A:N,14,FALSE)</f>
        <v>#N/A</v>
      </c>
      <c r="BC24" t="e">
        <f>VLOOKUP($D24,BDDprix!$A:O,15,FALSE)</f>
        <v>#N/A</v>
      </c>
      <c r="BD24" t="e">
        <f>VLOOKUP($D24,BDDprix!$A:P,16,FALSE)</f>
        <v>#N/A</v>
      </c>
      <c r="BE24" t="e">
        <f>VLOOKUP($D24,BDDprix!$A:Q,17,FALSE)</f>
        <v>#N/A</v>
      </c>
      <c r="BF24" t="e">
        <f>VLOOKUP($D24,BDDprix!$A:R,18,FALSE)</f>
        <v>#N/A</v>
      </c>
      <c r="BG24" t="e">
        <f>VLOOKUP($D24,BDDprix!$A:S,19,FALSE)</f>
        <v>#N/A</v>
      </c>
      <c r="BH24" t="e">
        <f>VLOOKUP($D24,BDDprix!$A:T,20,FALSE)</f>
        <v>#N/A</v>
      </c>
      <c r="BI24" t="e">
        <f>VLOOKUP($D24,BDDprix!$A:U,21,FALSE)</f>
        <v>#N/A</v>
      </c>
      <c r="BJ24" t="e">
        <f>VLOOKUP($D24,BDDprix!$A:V,22,FALSE)</f>
        <v>#N/A</v>
      </c>
      <c r="BK24" t="e">
        <f>VLOOKUP($D24,BDDprix!$A:W,23,FALSE)</f>
        <v>#N/A</v>
      </c>
      <c r="BL24" t="e">
        <f>VLOOKUP($D24,BDDprix!$A:X,24,FALSE)</f>
        <v>#N/A</v>
      </c>
      <c r="BM24" t="e">
        <f>VLOOKUP($D24,BDDprix!$A:Y,25,FALSE)</f>
        <v>#N/A</v>
      </c>
      <c r="BN24" t="e">
        <f>VLOOKUP($D24,BDDprix!$A:Z,26,FALSE)</f>
        <v>#N/A</v>
      </c>
      <c r="BO24" t="e">
        <f>VLOOKUP($D24,BDDprix!$A:AA,27,FALSE)</f>
        <v>#N/A</v>
      </c>
      <c r="BP24" t="e">
        <f>VLOOKUP($D24,BDDprix!$A:AB,28,FALSE)</f>
        <v>#N/A</v>
      </c>
      <c r="BQ24" t="e">
        <f>VLOOKUP($D24,BDDprix!$A:AC,29,FALSE)</f>
        <v>#N/A</v>
      </c>
      <c r="BR24" t="e">
        <f>VLOOKUP($D24,BDDprix!$A:AD,26,FALSE)</f>
        <v>#N/A</v>
      </c>
      <c r="BS24" t="e">
        <f>VLOOKUP($D24,BDDprix!$A:AE,31,FALSE)</f>
        <v>#N/A</v>
      </c>
      <c r="BT24" t="e">
        <f>VLOOKUP($D24,BDDprix!$A:AF,32,FALSE)</f>
        <v>#N/A</v>
      </c>
      <c r="BU24" t="e">
        <f>VLOOKUP($D24,BDDprix!$A:AG,33,FALSE)</f>
        <v>#N/A</v>
      </c>
      <c r="BV24" t="e">
        <f>VLOOKUP($D24,BDDprix!$A:AH,34,FALSE)</f>
        <v>#N/A</v>
      </c>
      <c r="BW24" t="e">
        <f>VLOOKUP($D24,BDDprix!$A:AI,35,FALSE)</f>
        <v>#N/A</v>
      </c>
      <c r="BX24" t="e">
        <f>VLOOKUP($D24,BDDprix!$A:AJ,36,FALSE)</f>
        <v>#N/A</v>
      </c>
      <c r="BY24" t="e">
        <f>VLOOKUP($D24,BDDprix!$A:AK,37,FALSE)</f>
        <v>#N/A</v>
      </c>
      <c r="BZ24" t="e">
        <f>VLOOKUP($D24,BDDprix!$A:AL,38,FALSE)</f>
        <v>#N/A</v>
      </c>
      <c r="CA24" t="e">
        <f>VLOOKUP($D24,BDDprix!$A:AM,39,FALSE)</f>
        <v>#N/A</v>
      </c>
      <c r="CB24" t="e">
        <f>VLOOKUP($D24,BDDprix!$A:AN,40,FALSE)</f>
        <v>#N/A</v>
      </c>
      <c r="CC24" t="e">
        <f>VLOOKUP($D24,BDDprix!$A:AO,41,FALSE)</f>
        <v>#N/A</v>
      </c>
      <c r="CD24" t="e">
        <f>VLOOKUP($D24,BDDprix!$A:AP,42,FALSE)</f>
        <v>#N/A</v>
      </c>
      <c r="CE24" t="e">
        <f>VLOOKUP($D24,BDDprix!$A:AQ,43,FALSE)</f>
        <v>#N/A</v>
      </c>
      <c r="CF24" t="e">
        <f>VLOOKUP($D24,BDDprix!$A:AR,44,FALSE)</f>
        <v>#N/A</v>
      </c>
      <c r="CG24" t="e">
        <f>VLOOKUP($D24,BDDprix!$A:AS,45,FALSE)</f>
        <v>#N/A</v>
      </c>
      <c r="CH24" t="e">
        <f>VLOOKUP($D24,BDDprix!$A:AT,46,FALSE)</f>
        <v>#N/A</v>
      </c>
      <c r="CI24" t="e">
        <f>VLOOKUP($D24,BDDprix!$A:AU,47,FALSE)</f>
        <v>#N/A</v>
      </c>
      <c r="CJ24" t="e">
        <f>VLOOKUP($D24,BDDprix!$A:AV,48,FALSE)</f>
        <v>#N/A</v>
      </c>
      <c r="CK24" t="e">
        <f>VLOOKUP($D24,BDDprix!$A:AW,49,FALSE)</f>
        <v>#N/A</v>
      </c>
      <c r="CL24" t="str">
        <f t="shared" si="12"/>
        <v/>
      </c>
    </row>
    <row r="25" spans="1:90" x14ac:dyDescent="0.25">
      <c r="A25" s="207" t="str">
        <f>IF(VLOOKUP($G$3,BDD!A:CQ,95,FALSE)="","",VLOOKUP($G$3,BDD!A:CQ,95,FALSE))</f>
        <v/>
      </c>
      <c r="B25" s="200" t="str">
        <f t="shared" si="5"/>
        <v/>
      </c>
      <c r="C25" s="57"/>
      <c r="D25" s="202" t="str">
        <f t="shared" si="6"/>
        <v/>
      </c>
      <c r="E25" s="180"/>
      <c r="F25" s="181"/>
      <c r="G25" s="178"/>
      <c r="H25" s="178"/>
      <c r="I25" s="179"/>
      <c r="J25" s="202" t="str">
        <f t="shared" si="13"/>
        <v/>
      </c>
      <c r="K25" s="54"/>
      <c r="L25" s="202" t="str">
        <f t="shared" si="7"/>
        <v/>
      </c>
      <c r="M25" s="54"/>
      <c r="N25" s="202" t="str">
        <f t="shared" si="8"/>
        <v/>
      </c>
      <c r="O25" s="264"/>
      <c r="P25" s="62" t="str">
        <f t="shared" si="9"/>
        <v/>
      </c>
      <c r="Q25" s="63" t="str">
        <f>IF(J25="","",IF(E25=BDDprix!$A$41,SUM(0-(N25*J25)),IF($G$1=$X$5,SUM(0-(N25*J25)),SUM(N25*J25))))</f>
        <v/>
      </c>
      <c r="R25" s="64" t="str">
        <f t="shared" si="10"/>
        <v/>
      </c>
      <c r="S25" s="39"/>
      <c r="T25" t="s">
        <v>342</v>
      </c>
      <c r="AJ25" s="201" t="str">
        <f>IF(VLOOKUP($G$3,BDD!A:HT,96,FALSE)="","",VLOOKUP($G$3,BDD!A:HT,96,FALSE))</f>
        <v/>
      </c>
      <c r="AK25" s="206" t="str">
        <f>IF(VLOOKUP($G$3,BDD!A:HU,97,FALSE)="","",VLOOKUP($G$3,BDD!A:HU,97,FALSE))</f>
        <v/>
      </c>
      <c r="AL25" s="206" t="str">
        <f>IF(VLOOKUP($G$3,BDD!A:HV,98,FALSE)="","",VLOOKUP($G$3,BDD!A:HV,98,FALSE))</f>
        <v/>
      </c>
      <c r="AM25" s="206" t="str">
        <f>IF(VLOOKUP($G$3,BDD!A:HW,99,FALSE)="","",VLOOKUP($G$3,BDD!A:HW,99,FALSE))</f>
        <v/>
      </c>
      <c r="AN25" s="167" t="str">
        <f t="shared" si="11"/>
        <v/>
      </c>
      <c r="AO25" t="str">
        <f>IF(J$10=V$2,IF(L25=AP25,AX25,IF(L25=AQ25,BC25,IF(L25=AR25,BH25,IF(L25=AS25,BM25,IF(L25=AT25,BR25,IF(L25=AU25,BW25,IF(L25=AV25,CB25,IF(L25=AW25,CG25)))))))),IF(J$10=V$3,IF(L25=AP25,AY25,IF(L25=AQ25,BD25,IF(L25=AR25,BI25,IF(L25=AS25,BN25,IF(L25=AT25,BS25,IF(L25=AU25,BX25,IF(L25=AV25,CC25,IF(L25=AW25,CH25)))))))),IF(J$10=V$4,IF(L25=AP25,AZ25,IF(L25=AQ25,BE25,IF(L25=AR25,BJ25,IF(L25=AS25,BO25,IF(L25=AT25,BT25,IF(L25=AU25,BY25,IF(L25=AV25,CD25,IF(L25=AW25,CI25)))))))),IF(J$10=V$5,IF(L25=AP25,BA25,IF(L25=AQ25,BF25,IF(L25=AR25,BK25,IF(L25=AS25,BP25,IF(L25=AT25,BU25,IF(L25=AU25,BZ25,IF(L25=AV25,CE25,IF(L25=AW25,CJ25)))))))),IF(J$10=V$6,IF(L25=AP25,BB25,IF(L25=AQ25,BG25,IF(L25=AR25,BL25,IF(L25=AS25,BQ25,sil(L25=AT25,BV25,IF(L25=AU25,CA25,IF(L25=AV25,CF25,IF(L25=AW25,CK25)))))))),(""))))))</f>
        <v/>
      </c>
      <c r="AP25" t="e">
        <f>VLOOKUP($D25,BDDprix!$A:B,2,FALSE)</f>
        <v>#N/A</v>
      </c>
      <c r="AQ25" t="e">
        <f>VLOOKUP($D25,BDDprix!$A:C,3,FALSE)</f>
        <v>#N/A</v>
      </c>
      <c r="AR25" t="e">
        <f>VLOOKUP($D25,BDDprix!$A:D,4,FALSE)</f>
        <v>#N/A</v>
      </c>
      <c r="AS25" t="e">
        <f>VLOOKUP($D25,BDDprix!$A:E,5,FALSE)</f>
        <v>#N/A</v>
      </c>
      <c r="AT25" t="e">
        <f>VLOOKUP($D25,BDDprix!$A:F,6,FALSE)</f>
        <v>#N/A</v>
      </c>
      <c r="AU25" t="e">
        <f>VLOOKUP($D25,BDDprix!$A:G,7,FALSE)</f>
        <v>#N/A</v>
      </c>
      <c r="AV25" t="e">
        <f>VLOOKUP($D25,BDDprix!$A:H,8,FALSE)</f>
        <v>#N/A</v>
      </c>
      <c r="AW25" t="e">
        <f>VLOOKUP($D25,BDDprix!$A:I,9,FALSE)</f>
        <v>#N/A</v>
      </c>
      <c r="AX25" t="e">
        <f>VLOOKUP($D25,BDDprix!$A:J,10,FALSE)</f>
        <v>#N/A</v>
      </c>
      <c r="AY25" t="e">
        <f>VLOOKUP($D25,BDDprix!$A:K,11,FALSE)</f>
        <v>#N/A</v>
      </c>
      <c r="AZ25" t="e">
        <f>VLOOKUP($D25,BDDprix!$A:L,12,FALSE)</f>
        <v>#N/A</v>
      </c>
      <c r="BA25" t="e">
        <f>VLOOKUP($D25,BDDprix!$A:M,13,FALSE)</f>
        <v>#N/A</v>
      </c>
      <c r="BB25" t="e">
        <f>VLOOKUP($D25,BDDprix!$A:N,14,FALSE)</f>
        <v>#N/A</v>
      </c>
      <c r="BC25" t="e">
        <f>VLOOKUP($D25,BDDprix!$A:O,15,FALSE)</f>
        <v>#N/A</v>
      </c>
      <c r="BD25" t="e">
        <f>VLOOKUP($D25,BDDprix!$A:P,16,FALSE)</f>
        <v>#N/A</v>
      </c>
      <c r="BE25" t="e">
        <f>VLOOKUP($D25,BDDprix!$A:Q,17,FALSE)</f>
        <v>#N/A</v>
      </c>
      <c r="BF25" t="e">
        <f>VLOOKUP($D25,BDDprix!$A:R,18,FALSE)</f>
        <v>#N/A</v>
      </c>
      <c r="BG25" t="e">
        <f>VLOOKUP($D25,BDDprix!$A:S,19,FALSE)</f>
        <v>#N/A</v>
      </c>
      <c r="BH25" t="e">
        <f>VLOOKUP($D25,BDDprix!$A:T,20,FALSE)</f>
        <v>#N/A</v>
      </c>
      <c r="BI25" t="e">
        <f>VLOOKUP($D25,BDDprix!$A:U,21,FALSE)</f>
        <v>#N/A</v>
      </c>
      <c r="BJ25" t="e">
        <f>VLOOKUP($D25,BDDprix!$A:V,22,FALSE)</f>
        <v>#N/A</v>
      </c>
      <c r="BK25" t="e">
        <f>VLOOKUP($D25,BDDprix!$A:W,23,FALSE)</f>
        <v>#N/A</v>
      </c>
      <c r="BL25" t="e">
        <f>VLOOKUP($D25,BDDprix!$A:X,24,FALSE)</f>
        <v>#N/A</v>
      </c>
      <c r="BM25" t="e">
        <f>VLOOKUP($D25,BDDprix!$A:Y,25,FALSE)</f>
        <v>#N/A</v>
      </c>
      <c r="BN25" t="e">
        <f>VLOOKUP($D25,BDDprix!$A:Z,26,FALSE)</f>
        <v>#N/A</v>
      </c>
      <c r="BO25" t="e">
        <f>VLOOKUP($D25,BDDprix!$A:AA,27,FALSE)</f>
        <v>#N/A</v>
      </c>
      <c r="BP25" t="e">
        <f>VLOOKUP($D25,BDDprix!$A:AB,28,FALSE)</f>
        <v>#N/A</v>
      </c>
      <c r="BQ25" t="e">
        <f>VLOOKUP($D25,BDDprix!$A:AC,29,FALSE)</f>
        <v>#N/A</v>
      </c>
      <c r="BR25" t="e">
        <f>VLOOKUP($D25,BDDprix!$A:AD,26,FALSE)</f>
        <v>#N/A</v>
      </c>
      <c r="BS25" t="e">
        <f>VLOOKUP($D25,BDDprix!$A:AE,31,FALSE)</f>
        <v>#N/A</v>
      </c>
      <c r="BT25" t="e">
        <f>VLOOKUP($D25,BDDprix!$A:AF,32,FALSE)</f>
        <v>#N/A</v>
      </c>
      <c r="BU25" t="e">
        <f>VLOOKUP($D25,BDDprix!$A:AG,33,FALSE)</f>
        <v>#N/A</v>
      </c>
      <c r="BV25" t="e">
        <f>VLOOKUP($D25,BDDprix!$A:AH,34,FALSE)</f>
        <v>#N/A</v>
      </c>
      <c r="BW25" t="e">
        <f>VLOOKUP($D25,BDDprix!$A:AI,35,FALSE)</f>
        <v>#N/A</v>
      </c>
      <c r="BX25" t="e">
        <f>VLOOKUP($D25,BDDprix!$A:AJ,36,FALSE)</f>
        <v>#N/A</v>
      </c>
      <c r="BY25" t="e">
        <f>VLOOKUP($D25,BDDprix!$A:AK,37,FALSE)</f>
        <v>#N/A</v>
      </c>
      <c r="BZ25" t="e">
        <f>VLOOKUP($D25,BDDprix!$A:AL,38,FALSE)</f>
        <v>#N/A</v>
      </c>
      <c r="CA25" t="e">
        <f>VLOOKUP($D25,BDDprix!$A:AM,39,FALSE)</f>
        <v>#N/A</v>
      </c>
      <c r="CB25" t="e">
        <f>VLOOKUP($D25,BDDprix!$A:AN,40,FALSE)</f>
        <v>#N/A</v>
      </c>
      <c r="CC25" t="e">
        <f>VLOOKUP($D25,BDDprix!$A:AO,41,FALSE)</f>
        <v>#N/A</v>
      </c>
      <c r="CD25" t="e">
        <f>VLOOKUP($D25,BDDprix!$A:AP,42,FALSE)</f>
        <v>#N/A</v>
      </c>
      <c r="CE25" t="e">
        <f>VLOOKUP($D25,BDDprix!$A:AQ,43,FALSE)</f>
        <v>#N/A</v>
      </c>
      <c r="CF25" t="e">
        <f>VLOOKUP($D25,BDDprix!$A:AR,44,FALSE)</f>
        <v>#N/A</v>
      </c>
      <c r="CG25" t="e">
        <f>VLOOKUP($D25,BDDprix!$A:AS,45,FALSE)</f>
        <v>#N/A</v>
      </c>
      <c r="CH25" t="e">
        <f>VLOOKUP($D25,BDDprix!$A:AT,46,FALSE)</f>
        <v>#N/A</v>
      </c>
      <c r="CI25" t="e">
        <f>VLOOKUP($D25,BDDprix!$A:AU,47,FALSE)</f>
        <v>#N/A</v>
      </c>
      <c r="CJ25" t="e">
        <f>VLOOKUP($D25,BDDprix!$A:AV,48,FALSE)</f>
        <v>#N/A</v>
      </c>
      <c r="CK25" t="e">
        <f>VLOOKUP($D25,BDDprix!$A:AW,49,FALSE)</f>
        <v>#N/A</v>
      </c>
      <c r="CL25" t="str">
        <f t="shared" si="12"/>
        <v/>
      </c>
    </row>
    <row r="26" spans="1:90" x14ac:dyDescent="0.25">
      <c r="A26" s="207" t="str">
        <f>IF(VLOOKUP($G$3,BDD!A:CW,101,FALSE)="","",VLOOKUP($G$3,BDD!A:CW,101,FALSE))</f>
        <v/>
      </c>
      <c r="B26" s="200" t="str">
        <f t="shared" si="5"/>
        <v/>
      </c>
      <c r="C26" s="57"/>
      <c r="D26" s="202" t="str">
        <f t="shared" si="6"/>
        <v/>
      </c>
      <c r="E26" s="180"/>
      <c r="F26" s="181"/>
      <c r="G26" s="178"/>
      <c r="H26" s="178"/>
      <c r="I26" s="179"/>
      <c r="J26" s="202" t="str">
        <f t="shared" si="13"/>
        <v/>
      </c>
      <c r="K26" s="54"/>
      <c r="L26" s="202" t="str">
        <f t="shared" si="7"/>
        <v/>
      </c>
      <c r="M26" s="54"/>
      <c r="N26" s="202" t="str">
        <f t="shared" si="8"/>
        <v/>
      </c>
      <c r="O26" s="264"/>
      <c r="P26" s="62" t="str">
        <f t="shared" si="9"/>
        <v/>
      </c>
      <c r="Q26" s="63" t="str">
        <f>IF(J26="","",IF(E26=BDDprix!$A$41,SUM(0-(N26*J26)),IF($G$1=$X$5,SUM(0-(N26*J26)),SUM(N26*J26))))</f>
        <v/>
      </c>
      <c r="R26" s="64" t="str">
        <f t="shared" si="10"/>
        <v/>
      </c>
      <c r="S26" s="39"/>
      <c r="T26" t="s">
        <v>313</v>
      </c>
      <c r="AG26" s="107"/>
      <c r="AH26" s="107"/>
      <c r="AJ26" s="201" t="str">
        <f>IF(VLOOKUP($G$3,BDD!A:HT,102,FALSE)="","",VLOOKUP($G$3,BDD!A:HT,102,FALSE))</f>
        <v/>
      </c>
      <c r="AK26" s="206" t="str">
        <f>IF(VLOOKUP($G$3,BDD!A:HU,103,FALSE)="","",VLOOKUP($G$3,BDD!A:HU,103,FALSE))</f>
        <v/>
      </c>
      <c r="AL26" s="206" t="str">
        <f>IF(VLOOKUP($G$3,BDD!A:HV,104,FALSE)="","",VLOOKUP($G$3,BDD!A:HV,104,FALSE))</f>
        <v/>
      </c>
      <c r="AM26" s="206" t="str">
        <f>IF(VLOOKUP($G$3,BDD!A:HW,105,FALSE)="","",VLOOKUP($G$3,BDD!A:HW,105,FALSE))</f>
        <v/>
      </c>
      <c r="AN26" s="167" t="str">
        <f t="shared" si="11"/>
        <v/>
      </c>
      <c r="AO26" t="str">
        <f>IF(J$10=V$2,IF(L26=AP26,AX26,IF(L26=AQ26,BC26,IF(L26=AR26,BH26,IF(L26=AS26,BM26,IF(L26=AT26,BR26,IF(L26=AU26,BW26,IF(L26=AV26,CB26,IF(L26=AW26,CG26)))))))),IF(J$10=V$3,IF(L26=AP26,AY26,IF(L26=AQ26,BD26,IF(L26=AR26,BI26,IF(L26=AS26,BN26,IF(L26=AT26,BS26,IF(L26=AU26,BX26,IF(L26=AV26,CC26,IF(L26=AW26,CH26)))))))),IF(J$10=V$4,IF(L26=AP26,AZ26,IF(L26=AQ26,BE26,IF(L26=AR26,BJ26,IF(L26=AS26,BO26,IF(L26=AT26,BT26,IF(L26=AU26,BY26,IF(L26=AV26,CD26,IF(L26=AW26,CI26)))))))),IF(J$10=V$5,IF(L26=AP26,BA26,IF(L26=AQ26,BF26,IF(L26=AR26,BK26,IF(L26=AS26,BP26,IF(L26=AT26,BU26,IF(L26=AU26,BZ26,IF(L26=AV26,CE26,IF(L26=AW26,CJ26)))))))),IF(J$10=V$6,IF(L26=AP26,BB26,IF(L26=AQ26,BG26,IF(L26=AR26,BL26,IF(L26=AS26,BQ26,sil(L26=AT26,BV26,IF(L26=AU26,CA26,IF(L26=AV26,CF26,IF(L26=AW26,CK26)))))))),(""))))))</f>
        <v/>
      </c>
      <c r="AP26" t="e">
        <f>VLOOKUP($D26,BDDprix!$A:B,2,FALSE)</f>
        <v>#N/A</v>
      </c>
      <c r="AQ26" t="e">
        <f>VLOOKUP($D26,BDDprix!$A:C,3,FALSE)</f>
        <v>#N/A</v>
      </c>
      <c r="AR26" t="e">
        <f>VLOOKUP($D26,BDDprix!$A:D,4,FALSE)</f>
        <v>#N/A</v>
      </c>
      <c r="AS26" t="e">
        <f>VLOOKUP($D26,BDDprix!$A:E,5,FALSE)</f>
        <v>#N/A</v>
      </c>
      <c r="AT26" t="e">
        <f>VLOOKUP($D26,BDDprix!$A:F,6,FALSE)</f>
        <v>#N/A</v>
      </c>
      <c r="AU26" t="e">
        <f>VLOOKUP($D26,BDDprix!$A:G,7,FALSE)</f>
        <v>#N/A</v>
      </c>
      <c r="AV26" t="e">
        <f>VLOOKUP($D26,BDDprix!$A:H,8,FALSE)</f>
        <v>#N/A</v>
      </c>
      <c r="AW26" t="e">
        <f>VLOOKUP($D26,BDDprix!$A:I,9,FALSE)</f>
        <v>#N/A</v>
      </c>
      <c r="AX26" t="e">
        <f>VLOOKUP($D26,BDDprix!$A:J,10,FALSE)</f>
        <v>#N/A</v>
      </c>
      <c r="AY26" t="e">
        <f>VLOOKUP($D26,BDDprix!$A:K,11,FALSE)</f>
        <v>#N/A</v>
      </c>
      <c r="AZ26" t="e">
        <f>VLOOKUP($D26,BDDprix!$A:L,12,FALSE)</f>
        <v>#N/A</v>
      </c>
      <c r="BA26" t="e">
        <f>VLOOKUP($D26,BDDprix!$A:M,13,FALSE)</f>
        <v>#N/A</v>
      </c>
      <c r="BB26" t="e">
        <f>VLOOKUP($D26,BDDprix!$A:N,14,FALSE)</f>
        <v>#N/A</v>
      </c>
      <c r="BC26" t="e">
        <f>VLOOKUP($D26,BDDprix!$A:O,15,FALSE)</f>
        <v>#N/A</v>
      </c>
      <c r="BD26" t="e">
        <f>VLOOKUP($D26,BDDprix!$A:P,16,FALSE)</f>
        <v>#N/A</v>
      </c>
      <c r="BE26" t="e">
        <f>VLOOKUP($D26,BDDprix!$A:Q,17,FALSE)</f>
        <v>#N/A</v>
      </c>
      <c r="BF26" t="e">
        <f>VLOOKUP($D26,BDDprix!$A:R,18,FALSE)</f>
        <v>#N/A</v>
      </c>
      <c r="BG26" t="e">
        <f>VLOOKUP($D26,BDDprix!$A:S,19,FALSE)</f>
        <v>#N/A</v>
      </c>
      <c r="BH26" t="e">
        <f>VLOOKUP($D26,BDDprix!$A:T,20,FALSE)</f>
        <v>#N/A</v>
      </c>
      <c r="BI26" t="e">
        <f>VLOOKUP($D26,BDDprix!$A:U,21,FALSE)</f>
        <v>#N/A</v>
      </c>
      <c r="BJ26" t="e">
        <f>VLOOKUP($D26,BDDprix!$A:V,22,FALSE)</f>
        <v>#N/A</v>
      </c>
      <c r="BK26" t="e">
        <f>VLOOKUP($D26,BDDprix!$A:W,23,FALSE)</f>
        <v>#N/A</v>
      </c>
      <c r="BL26" t="e">
        <f>VLOOKUP($D26,BDDprix!$A:X,24,FALSE)</f>
        <v>#N/A</v>
      </c>
      <c r="BM26" t="e">
        <f>VLOOKUP($D26,BDDprix!$A:Y,25,FALSE)</f>
        <v>#N/A</v>
      </c>
      <c r="BN26" t="e">
        <f>VLOOKUP($D26,BDDprix!$A:Z,26,FALSE)</f>
        <v>#N/A</v>
      </c>
      <c r="BO26" t="e">
        <f>VLOOKUP($D26,BDDprix!$A:AA,27,FALSE)</f>
        <v>#N/A</v>
      </c>
      <c r="BP26" t="e">
        <f>VLOOKUP($D26,BDDprix!$A:AB,28,FALSE)</f>
        <v>#N/A</v>
      </c>
      <c r="BQ26" t="e">
        <f>VLOOKUP($D26,BDDprix!$A:AC,29,FALSE)</f>
        <v>#N/A</v>
      </c>
      <c r="BR26" t="e">
        <f>VLOOKUP($D26,BDDprix!$A:AD,26,FALSE)</f>
        <v>#N/A</v>
      </c>
      <c r="BS26" t="e">
        <f>VLOOKUP($D26,BDDprix!$A:AE,31,FALSE)</f>
        <v>#N/A</v>
      </c>
      <c r="BT26" t="e">
        <f>VLOOKUP($D26,BDDprix!$A:AF,32,FALSE)</f>
        <v>#N/A</v>
      </c>
      <c r="BU26" t="e">
        <f>VLOOKUP($D26,BDDprix!$A:AG,33,FALSE)</f>
        <v>#N/A</v>
      </c>
      <c r="BV26" t="e">
        <f>VLOOKUP($D26,BDDprix!$A:AH,34,FALSE)</f>
        <v>#N/A</v>
      </c>
      <c r="BW26" t="e">
        <f>VLOOKUP($D26,BDDprix!$A:AI,35,FALSE)</f>
        <v>#N/A</v>
      </c>
      <c r="BX26" t="e">
        <f>VLOOKUP($D26,BDDprix!$A:AJ,36,FALSE)</f>
        <v>#N/A</v>
      </c>
      <c r="BY26" t="e">
        <f>VLOOKUP($D26,BDDprix!$A:AK,37,FALSE)</f>
        <v>#N/A</v>
      </c>
      <c r="BZ26" t="e">
        <f>VLOOKUP($D26,BDDprix!$A:AL,38,FALSE)</f>
        <v>#N/A</v>
      </c>
      <c r="CA26" t="e">
        <f>VLOOKUP($D26,BDDprix!$A:AM,39,FALSE)</f>
        <v>#N/A</v>
      </c>
      <c r="CB26" t="e">
        <f>VLOOKUP($D26,BDDprix!$A:AN,40,FALSE)</f>
        <v>#N/A</v>
      </c>
      <c r="CC26" t="e">
        <f>VLOOKUP($D26,BDDprix!$A:AO,41,FALSE)</f>
        <v>#N/A</v>
      </c>
      <c r="CD26" t="e">
        <f>VLOOKUP($D26,BDDprix!$A:AP,42,FALSE)</f>
        <v>#N/A</v>
      </c>
      <c r="CE26" t="e">
        <f>VLOOKUP($D26,BDDprix!$A:AQ,43,FALSE)</f>
        <v>#N/A</v>
      </c>
      <c r="CF26" t="e">
        <f>VLOOKUP($D26,BDDprix!$A:AR,44,FALSE)</f>
        <v>#N/A</v>
      </c>
      <c r="CG26" t="e">
        <f>VLOOKUP($D26,BDDprix!$A:AS,45,FALSE)</f>
        <v>#N/A</v>
      </c>
      <c r="CH26" t="e">
        <f>VLOOKUP($D26,BDDprix!$A:AT,46,FALSE)</f>
        <v>#N/A</v>
      </c>
      <c r="CI26" t="e">
        <f>VLOOKUP($D26,BDDprix!$A:AU,47,FALSE)</f>
        <v>#N/A</v>
      </c>
      <c r="CJ26" t="e">
        <f>VLOOKUP($D26,BDDprix!$A:AV,48,FALSE)</f>
        <v>#N/A</v>
      </c>
      <c r="CK26" t="e">
        <f>VLOOKUP($D26,BDDprix!$A:AW,49,FALSE)</f>
        <v>#N/A</v>
      </c>
      <c r="CL26" t="str">
        <f t="shared" si="12"/>
        <v/>
      </c>
    </row>
    <row r="27" spans="1:90" x14ac:dyDescent="0.25">
      <c r="A27" s="207" t="str">
        <f>IF(VLOOKUP($G$3,BDD!A:DC,107,FALSE)="","",VLOOKUP($G$3,BDD!A:DC,107,FALSE))</f>
        <v/>
      </c>
      <c r="B27" s="200" t="str">
        <f t="shared" si="5"/>
        <v/>
      </c>
      <c r="C27" s="57"/>
      <c r="D27" s="202" t="str">
        <f t="shared" si="6"/>
        <v/>
      </c>
      <c r="E27" s="180"/>
      <c r="F27" s="181"/>
      <c r="G27" s="178"/>
      <c r="H27" s="178"/>
      <c r="I27" s="179"/>
      <c r="J27" s="202" t="str">
        <f t="shared" si="13"/>
        <v/>
      </c>
      <c r="K27" s="54"/>
      <c r="L27" s="202" t="str">
        <f t="shared" si="7"/>
        <v/>
      </c>
      <c r="M27" s="54"/>
      <c r="N27" s="202" t="str">
        <f t="shared" si="8"/>
        <v/>
      </c>
      <c r="O27" s="264"/>
      <c r="P27" s="62" t="str">
        <f t="shared" si="9"/>
        <v/>
      </c>
      <c r="Q27" s="63" t="str">
        <f>IF(J27="","",IF(E27=BDDprix!$A$41,SUM(0-(N27*J27)),IF($G$1=$X$5,SUM(0-(N27*J27)),SUM(N27*J27))))</f>
        <v/>
      </c>
      <c r="R27" s="64" t="str">
        <f t="shared" si="10"/>
        <v/>
      </c>
      <c r="S27" s="39"/>
      <c r="T27" t="s">
        <v>315</v>
      </c>
      <c r="AG27" s="108"/>
      <c r="AH27" s="107"/>
      <c r="AJ27" s="201" t="str">
        <f>IF(VLOOKUP($G$3,BDD!A:HT,108,FALSE)="","",VLOOKUP($G$3,BDD!A:HT,108,FALSE))</f>
        <v/>
      </c>
      <c r="AK27" s="206" t="str">
        <f>IF(VLOOKUP($G$3,BDD!A:HU,109,FALSE)="","",VLOOKUP($G$3,BDD!A:HU,109,FALSE))</f>
        <v/>
      </c>
      <c r="AL27" s="206" t="str">
        <f>IF(VLOOKUP($G$3,BDD!A:HV,110,FALSE)="","",VLOOKUP($G$3,BDD!A:HV,110,FALSE))</f>
        <v/>
      </c>
      <c r="AM27" s="206" t="str">
        <f>IF(VLOOKUP($G$3,BDD!A:HW,111,FALSE)="","",VLOOKUP($G$3,BDD!A:HW,111,FALSE))</f>
        <v/>
      </c>
      <c r="AN27" s="167" t="str">
        <f t="shared" si="11"/>
        <v/>
      </c>
      <c r="AO27" t="str">
        <f>IF(J$10=V$2,IF(L27=AP27,AX27,IF(L27=AQ27,BC27,IF(L27=AR27,BH27,IF(L27=AS27,BM27,IF(L27=AT27,BR27,IF(L27=AU27,BW27,IF(L27=AV27,CB27,IF(L27=AW27,CG27)))))))),IF(J$10=V$3,IF(L27=AP27,AY27,IF(L27=AQ27,BD27,IF(L27=AR27,BI27,IF(L27=AS27,BN27,IF(L27=AT27,BS27,IF(L27=AU27,BX27,IF(L27=AV27,CC27,IF(L27=AW27,CH27)))))))),IF(J$10=V$4,IF(L27=AP27,AZ27,IF(L27=AQ27,BE27,IF(L27=AR27,BJ27,IF(L27=AS27,BO27,IF(L27=AT27,BT27,IF(L27=AU27,BY27,IF(L27=AV27,CD27,IF(L27=AW27,CI27)))))))),IF(J$10=V$5,IF(L27=AP27,BA27,IF(L27=AQ27,BF27,IF(L27=AR27,BK27,IF(L27=AS27,BP27,IF(L27=AT27,BU27,IF(L27=AU27,BZ27,IF(L27=AV27,CE27,IF(L27=AW27,CJ27)))))))),IF(J$10=V$6,IF(L27=AP27,BB27,IF(L27=AQ27,BG27,IF(L27=AR27,BL27,IF(L27=AS27,BQ27,sil(L27=AT27,BV27,IF(L27=AU27,CA27,IF(L27=AV27,CF27,IF(L27=AW27,CK27)))))))),(""))))))</f>
        <v/>
      </c>
      <c r="AP27" t="e">
        <f>VLOOKUP($D27,BDDprix!$A:B,2,FALSE)</f>
        <v>#N/A</v>
      </c>
      <c r="AQ27" t="e">
        <f>VLOOKUP($D27,BDDprix!$A:C,3,FALSE)</f>
        <v>#N/A</v>
      </c>
      <c r="AR27" t="e">
        <f>VLOOKUP($D27,BDDprix!$A:D,4,FALSE)</f>
        <v>#N/A</v>
      </c>
      <c r="AS27" t="e">
        <f>VLOOKUP($D27,BDDprix!$A:E,5,FALSE)</f>
        <v>#N/A</v>
      </c>
      <c r="AT27" t="e">
        <f>VLOOKUP($D27,BDDprix!$A:F,6,FALSE)</f>
        <v>#N/A</v>
      </c>
      <c r="AU27" t="e">
        <f>VLOOKUP($D27,BDDprix!$A:G,7,FALSE)</f>
        <v>#N/A</v>
      </c>
      <c r="AV27" t="e">
        <f>VLOOKUP($D27,BDDprix!$A:H,8,FALSE)</f>
        <v>#N/A</v>
      </c>
      <c r="AW27" t="e">
        <f>VLOOKUP($D27,BDDprix!$A:I,9,FALSE)</f>
        <v>#N/A</v>
      </c>
      <c r="AX27" t="e">
        <f>VLOOKUP($D27,BDDprix!$A:J,10,FALSE)</f>
        <v>#N/A</v>
      </c>
      <c r="AY27" t="e">
        <f>VLOOKUP($D27,BDDprix!$A:K,11,FALSE)</f>
        <v>#N/A</v>
      </c>
      <c r="AZ27" t="e">
        <f>VLOOKUP($D27,BDDprix!$A:L,12,FALSE)</f>
        <v>#N/A</v>
      </c>
      <c r="BA27" t="e">
        <f>VLOOKUP($D27,BDDprix!$A:M,13,FALSE)</f>
        <v>#N/A</v>
      </c>
      <c r="BB27" t="e">
        <f>VLOOKUP($D27,BDDprix!$A:N,14,FALSE)</f>
        <v>#N/A</v>
      </c>
      <c r="BC27" t="e">
        <f>VLOOKUP($D27,BDDprix!$A:O,15,FALSE)</f>
        <v>#N/A</v>
      </c>
      <c r="BD27" t="e">
        <f>VLOOKUP($D27,BDDprix!$A:P,16,FALSE)</f>
        <v>#N/A</v>
      </c>
      <c r="BE27" t="e">
        <f>VLOOKUP($D27,BDDprix!$A:Q,17,FALSE)</f>
        <v>#N/A</v>
      </c>
      <c r="BF27" t="e">
        <f>VLOOKUP($D27,BDDprix!$A:R,18,FALSE)</f>
        <v>#N/A</v>
      </c>
      <c r="BG27" t="e">
        <f>VLOOKUP($D27,BDDprix!$A:S,19,FALSE)</f>
        <v>#N/A</v>
      </c>
      <c r="BH27" t="e">
        <f>VLOOKUP($D27,BDDprix!$A:T,20,FALSE)</f>
        <v>#N/A</v>
      </c>
      <c r="BI27" t="e">
        <f>VLOOKUP($D27,BDDprix!$A:U,21,FALSE)</f>
        <v>#N/A</v>
      </c>
      <c r="BJ27" t="e">
        <f>VLOOKUP($D27,BDDprix!$A:V,22,FALSE)</f>
        <v>#N/A</v>
      </c>
      <c r="BK27" t="e">
        <f>VLOOKUP($D27,BDDprix!$A:W,23,FALSE)</f>
        <v>#N/A</v>
      </c>
      <c r="BL27" t="e">
        <f>VLOOKUP($D27,BDDprix!$A:X,24,FALSE)</f>
        <v>#N/A</v>
      </c>
      <c r="BM27" t="e">
        <f>VLOOKUP($D27,BDDprix!$A:Y,25,FALSE)</f>
        <v>#N/A</v>
      </c>
      <c r="BN27" t="e">
        <f>VLOOKUP($D27,BDDprix!$A:Z,26,FALSE)</f>
        <v>#N/A</v>
      </c>
      <c r="BO27" t="e">
        <f>VLOOKUP($D27,BDDprix!$A:AA,27,FALSE)</f>
        <v>#N/A</v>
      </c>
      <c r="BP27" t="e">
        <f>VLOOKUP($D27,BDDprix!$A:AB,28,FALSE)</f>
        <v>#N/A</v>
      </c>
      <c r="BQ27" t="e">
        <f>VLOOKUP($D27,BDDprix!$A:AC,29,FALSE)</f>
        <v>#N/A</v>
      </c>
      <c r="BR27" t="e">
        <f>VLOOKUP($D27,BDDprix!$A:AD,26,FALSE)</f>
        <v>#N/A</v>
      </c>
      <c r="BS27" t="e">
        <f>VLOOKUP($D27,BDDprix!$A:AE,31,FALSE)</f>
        <v>#N/A</v>
      </c>
      <c r="BT27" t="e">
        <f>VLOOKUP($D27,BDDprix!$A:AF,32,FALSE)</f>
        <v>#N/A</v>
      </c>
      <c r="BU27" t="e">
        <f>VLOOKUP($D27,BDDprix!$A:AG,33,FALSE)</f>
        <v>#N/A</v>
      </c>
      <c r="BV27" t="e">
        <f>VLOOKUP($D27,BDDprix!$A:AH,34,FALSE)</f>
        <v>#N/A</v>
      </c>
      <c r="BW27" t="e">
        <f>VLOOKUP($D27,BDDprix!$A:AI,35,FALSE)</f>
        <v>#N/A</v>
      </c>
      <c r="BX27" t="e">
        <f>VLOOKUP($D27,BDDprix!$A:AJ,36,FALSE)</f>
        <v>#N/A</v>
      </c>
      <c r="BY27" t="e">
        <f>VLOOKUP($D27,BDDprix!$A:AK,37,FALSE)</f>
        <v>#N/A</v>
      </c>
      <c r="BZ27" t="e">
        <f>VLOOKUP($D27,BDDprix!$A:AL,38,FALSE)</f>
        <v>#N/A</v>
      </c>
      <c r="CA27" t="e">
        <f>VLOOKUP($D27,BDDprix!$A:AM,39,FALSE)</f>
        <v>#N/A</v>
      </c>
      <c r="CB27" t="e">
        <f>VLOOKUP($D27,BDDprix!$A:AN,40,FALSE)</f>
        <v>#N/A</v>
      </c>
      <c r="CC27" t="e">
        <f>VLOOKUP($D27,BDDprix!$A:AO,41,FALSE)</f>
        <v>#N/A</v>
      </c>
      <c r="CD27" t="e">
        <f>VLOOKUP($D27,BDDprix!$A:AP,42,FALSE)</f>
        <v>#N/A</v>
      </c>
      <c r="CE27" t="e">
        <f>VLOOKUP($D27,BDDprix!$A:AQ,43,FALSE)</f>
        <v>#N/A</v>
      </c>
      <c r="CF27" t="e">
        <f>VLOOKUP($D27,BDDprix!$A:AR,44,FALSE)</f>
        <v>#N/A</v>
      </c>
      <c r="CG27" t="e">
        <f>VLOOKUP($D27,BDDprix!$A:AS,45,FALSE)</f>
        <v>#N/A</v>
      </c>
      <c r="CH27" t="e">
        <f>VLOOKUP($D27,BDDprix!$A:AT,46,FALSE)</f>
        <v>#N/A</v>
      </c>
      <c r="CI27" t="e">
        <f>VLOOKUP($D27,BDDprix!$A:AU,47,FALSE)</f>
        <v>#N/A</v>
      </c>
      <c r="CJ27" t="e">
        <f>VLOOKUP($D27,BDDprix!$A:AV,48,FALSE)</f>
        <v>#N/A</v>
      </c>
      <c r="CK27" t="e">
        <f>VLOOKUP($D27,BDDprix!$A:AW,49,FALSE)</f>
        <v>#N/A</v>
      </c>
      <c r="CL27" t="str">
        <f t="shared" si="12"/>
        <v/>
      </c>
    </row>
    <row r="28" spans="1:90" x14ac:dyDescent="0.25">
      <c r="A28" s="207" t="str">
        <f>IF(VLOOKUP($G$3,BDD!A:DI,113,FALSE)="","",VLOOKUP($G$3,BDD!A:DI,113,FALSE))</f>
        <v/>
      </c>
      <c r="B28" s="200" t="str">
        <f t="shared" si="5"/>
        <v/>
      </c>
      <c r="C28" s="57"/>
      <c r="D28" s="202" t="str">
        <f t="shared" si="6"/>
        <v/>
      </c>
      <c r="E28" s="180"/>
      <c r="F28" s="181"/>
      <c r="G28" s="178"/>
      <c r="H28" s="178"/>
      <c r="I28" s="179"/>
      <c r="J28" s="202" t="str">
        <f t="shared" si="13"/>
        <v/>
      </c>
      <c r="K28" s="54"/>
      <c r="L28" s="202" t="str">
        <f t="shared" si="7"/>
        <v/>
      </c>
      <c r="M28" s="54"/>
      <c r="N28" s="202" t="str">
        <f t="shared" si="8"/>
        <v/>
      </c>
      <c r="O28" s="264"/>
      <c r="P28" s="62" t="str">
        <f t="shared" si="9"/>
        <v/>
      </c>
      <c r="Q28" s="63" t="str">
        <f>IF(J28="","",IF(E28=BDDprix!$A$41,SUM(0-(N28*J28)),IF($G$1=$X$5,SUM(0-(N28*J28)),SUM(N28*J28))))</f>
        <v/>
      </c>
      <c r="R28" s="64" t="str">
        <f t="shared" si="10"/>
        <v/>
      </c>
      <c r="S28" s="39"/>
      <c r="T28" t="s">
        <v>314</v>
      </c>
      <c r="AE28">
        <v>0</v>
      </c>
      <c r="AG28" s="108"/>
      <c r="AH28" s="107"/>
      <c r="AJ28" s="201" t="str">
        <f>IF(VLOOKUP($G$3,BDD!A:HT,114,FALSE)="","",VLOOKUP($G$3,BDD!A:HT,114,FALSE))</f>
        <v/>
      </c>
      <c r="AK28" s="206" t="str">
        <f>IF(VLOOKUP($G$3,BDD!A:HU,115,FALSE)="","",VLOOKUP($G$3,BDD!A:HU,115,FALSE))</f>
        <v/>
      </c>
      <c r="AL28" s="206" t="str">
        <f>IF(VLOOKUP($G$3,BDD!A:HV,116,FALSE)="","",VLOOKUP($G$3,BDD!A:HV,116,FALSE))</f>
        <v/>
      </c>
      <c r="AM28" s="206" t="str">
        <f>IF(VLOOKUP($G$3,BDD!A:HW,117,FALSE)="","",VLOOKUP($G$3,BDD!A:HW,117,FALSE))</f>
        <v/>
      </c>
      <c r="AN28" s="167" t="str">
        <f t="shared" si="11"/>
        <v/>
      </c>
      <c r="AO28" t="str">
        <f>IF(J$10=V$2,IF(L28=AP28,AX28,IF(L28=AQ28,BC28,IF(L28=AR28,BH28,IF(L28=AS28,BM28,IF(L28=AT28,BR28,IF(L28=AU28,BW28,IF(L28=AV28,CB28,IF(L28=AW28,CG28)))))))),IF(J$10=V$3,IF(L28=AP28,AY28,IF(L28=AQ28,BD28,IF(L28=AR28,BI28,IF(L28=AS28,BN28,IF(L28=AT28,BS28,IF(L28=AU28,BX28,IF(L28=AV28,CC28,IF(L28=AW28,CH28)))))))),IF(J$10=V$4,IF(L28=AP28,AZ28,IF(L28=AQ28,BE28,IF(L28=AR28,BJ28,IF(L28=AS28,BO28,IF(L28=AT28,BT28,IF(L28=AU28,BY28,IF(L28=AV28,CD28,IF(L28=AW28,CI28)))))))),IF(J$10=V$5,IF(L28=AP28,BA28,IF(L28=AQ28,BF28,IF(L28=AR28,BK28,IF(L28=AS28,BP28,IF(L28=AT28,BU28,IF(L28=AU28,BZ28,IF(L28=AV28,CE28,IF(L28=AW28,CJ28)))))))),IF(J$10=V$6,IF(L28=AP28,BB28,IF(L28=AQ28,BG28,IF(L28=AR28,BL28,IF(L28=AS28,BQ28,sil(L28=AT28,BV28,IF(L28=AU28,CA28,IF(L28=AV28,CF28,IF(L28=AW28,CK28)))))))),(""))))))</f>
        <v/>
      </c>
      <c r="AP28" t="e">
        <f>VLOOKUP($D28,BDDprix!$A:B,2,FALSE)</f>
        <v>#N/A</v>
      </c>
      <c r="AQ28" t="e">
        <f>VLOOKUP($D28,BDDprix!$A:C,3,FALSE)</f>
        <v>#N/A</v>
      </c>
      <c r="AR28" t="e">
        <f>VLOOKUP($D28,BDDprix!$A:D,4,FALSE)</f>
        <v>#N/A</v>
      </c>
      <c r="AS28" t="e">
        <f>VLOOKUP($D28,BDDprix!$A:E,5,FALSE)</f>
        <v>#N/A</v>
      </c>
      <c r="AT28" t="e">
        <f>VLOOKUP($D28,BDDprix!$A:F,6,FALSE)</f>
        <v>#N/A</v>
      </c>
      <c r="AU28" t="e">
        <f>VLOOKUP($D28,BDDprix!$A:G,7,FALSE)</f>
        <v>#N/A</v>
      </c>
      <c r="AV28" t="e">
        <f>VLOOKUP($D28,BDDprix!$A:H,8,FALSE)</f>
        <v>#N/A</v>
      </c>
      <c r="AW28" t="e">
        <f>VLOOKUP($D28,BDDprix!$A:I,9,FALSE)</f>
        <v>#N/A</v>
      </c>
      <c r="AX28" t="e">
        <f>VLOOKUP($D28,BDDprix!$A:J,10,FALSE)</f>
        <v>#N/A</v>
      </c>
      <c r="AY28" t="e">
        <f>VLOOKUP($D28,BDDprix!$A:K,11,FALSE)</f>
        <v>#N/A</v>
      </c>
      <c r="AZ28" t="e">
        <f>VLOOKUP($D28,BDDprix!$A:L,12,FALSE)</f>
        <v>#N/A</v>
      </c>
      <c r="BA28" t="e">
        <f>VLOOKUP($D28,BDDprix!$A:M,13,FALSE)</f>
        <v>#N/A</v>
      </c>
      <c r="BB28" t="e">
        <f>VLOOKUP($D28,BDDprix!$A:N,14,FALSE)</f>
        <v>#N/A</v>
      </c>
      <c r="BC28" t="e">
        <f>VLOOKUP($D28,BDDprix!$A:O,15,FALSE)</f>
        <v>#N/A</v>
      </c>
      <c r="BD28" t="e">
        <f>VLOOKUP($D28,BDDprix!$A:P,16,FALSE)</f>
        <v>#N/A</v>
      </c>
      <c r="BE28" t="e">
        <f>VLOOKUP($D28,BDDprix!$A:Q,17,FALSE)</f>
        <v>#N/A</v>
      </c>
      <c r="BF28" t="e">
        <f>VLOOKUP($D28,BDDprix!$A:R,18,FALSE)</f>
        <v>#N/A</v>
      </c>
      <c r="BG28" t="e">
        <f>VLOOKUP($D28,BDDprix!$A:S,19,FALSE)</f>
        <v>#N/A</v>
      </c>
      <c r="BH28" t="e">
        <f>VLOOKUP($D28,BDDprix!$A:T,20,FALSE)</f>
        <v>#N/A</v>
      </c>
      <c r="BI28" t="e">
        <f>VLOOKUP($D28,BDDprix!$A:U,21,FALSE)</f>
        <v>#N/A</v>
      </c>
      <c r="BJ28" t="e">
        <f>VLOOKUP($D28,BDDprix!$A:V,22,FALSE)</f>
        <v>#N/A</v>
      </c>
      <c r="BK28" t="e">
        <f>VLOOKUP($D28,BDDprix!$A:W,23,FALSE)</f>
        <v>#N/A</v>
      </c>
      <c r="BL28" t="e">
        <f>VLOOKUP($D28,BDDprix!$A:X,24,FALSE)</f>
        <v>#N/A</v>
      </c>
      <c r="BM28" t="e">
        <f>VLOOKUP($D28,BDDprix!$A:Y,25,FALSE)</f>
        <v>#N/A</v>
      </c>
      <c r="BN28" t="e">
        <f>VLOOKUP($D28,BDDprix!$A:Z,26,FALSE)</f>
        <v>#N/A</v>
      </c>
      <c r="BO28" t="e">
        <f>VLOOKUP($D28,BDDprix!$A:AA,27,FALSE)</f>
        <v>#N/A</v>
      </c>
      <c r="BP28" t="e">
        <f>VLOOKUP($D28,BDDprix!$A:AB,28,FALSE)</f>
        <v>#N/A</v>
      </c>
      <c r="BQ28" t="e">
        <f>VLOOKUP($D28,BDDprix!$A:AC,29,FALSE)</f>
        <v>#N/A</v>
      </c>
      <c r="BR28" t="e">
        <f>VLOOKUP($D28,BDDprix!$A:AD,26,FALSE)</f>
        <v>#N/A</v>
      </c>
      <c r="BS28" t="e">
        <f>VLOOKUP($D28,BDDprix!$A:AE,31,FALSE)</f>
        <v>#N/A</v>
      </c>
      <c r="BT28" t="e">
        <f>VLOOKUP($D28,BDDprix!$A:AF,32,FALSE)</f>
        <v>#N/A</v>
      </c>
      <c r="BU28" t="e">
        <f>VLOOKUP($D28,BDDprix!$A:AG,33,FALSE)</f>
        <v>#N/A</v>
      </c>
      <c r="BV28" t="e">
        <f>VLOOKUP($D28,BDDprix!$A:AH,34,FALSE)</f>
        <v>#N/A</v>
      </c>
      <c r="BW28" t="e">
        <f>VLOOKUP($D28,BDDprix!$A:AI,35,FALSE)</f>
        <v>#N/A</v>
      </c>
      <c r="BX28" t="e">
        <f>VLOOKUP($D28,BDDprix!$A:AJ,36,FALSE)</f>
        <v>#N/A</v>
      </c>
      <c r="BY28" t="e">
        <f>VLOOKUP($D28,BDDprix!$A:AK,37,FALSE)</f>
        <v>#N/A</v>
      </c>
      <c r="BZ28" t="e">
        <f>VLOOKUP($D28,BDDprix!$A:AL,38,FALSE)</f>
        <v>#N/A</v>
      </c>
      <c r="CA28" t="e">
        <f>VLOOKUP($D28,BDDprix!$A:AM,39,FALSE)</f>
        <v>#N/A</v>
      </c>
      <c r="CB28" t="e">
        <f>VLOOKUP($D28,BDDprix!$A:AN,40,FALSE)</f>
        <v>#N/A</v>
      </c>
      <c r="CC28" t="e">
        <f>VLOOKUP($D28,BDDprix!$A:AO,41,FALSE)</f>
        <v>#N/A</v>
      </c>
      <c r="CD28" t="e">
        <f>VLOOKUP($D28,BDDprix!$A:AP,42,FALSE)</f>
        <v>#N/A</v>
      </c>
      <c r="CE28" t="e">
        <f>VLOOKUP($D28,BDDprix!$A:AQ,43,FALSE)</f>
        <v>#N/A</v>
      </c>
      <c r="CF28" t="e">
        <f>VLOOKUP($D28,BDDprix!$A:AR,44,FALSE)</f>
        <v>#N/A</v>
      </c>
      <c r="CG28" t="e">
        <f>VLOOKUP($D28,BDDprix!$A:AS,45,FALSE)</f>
        <v>#N/A</v>
      </c>
      <c r="CH28" t="e">
        <f>VLOOKUP($D28,BDDprix!$A:AT,46,FALSE)</f>
        <v>#N/A</v>
      </c>
      <c r="CI28" t="e">
        <f>VLOOKUP($D28,BDDprix!$A:AU,47,FALSE)</f>
        <v>#N/A</v>
      </c>
      <c r="CJ28" t="e">
        <f>VLOOKUP($D28,BDDprix!$A:AV,48,FALSE)</f>
        <v>#N/A</v>
      </c>
      <c r="CK28" t="e">
        <f>VLOOKUP($D28,BDDprix!$A:AW,49,FALSE)</f>
        <v>#N/A</v>
      </c>
      <c r="CL28" t="str">
        <f t="shared" si="12"/>
        <v/>
      </c>
    </row>
    <row r="29" spans="1:90" x14ac:dyDescent="0.25">
      <c r="A29" s="207" t="str">
        <f>IF(VLOOKUP($G$3,BDD!A:DO,119,FALSE)="","",VLOOKUP($G$3,BDD!A:DO,119,FALSE))</f>
        <v/>
      </c>
      <c r="B29" s="200" t="str">
        <f t="shared" si="5"/>
        <v/>
      </c>
      <c r="C29" s="58"/>
      <c r="D29" s="202" t="str">
        <f t="shared" si="6"/>
        <v/>
      </c>
      <c r="E29" s="180"/>
      <c r="F29" s="181"/>
      <c r="G29" s="178"/>
      <c r="H29" s="178"/>
      <c r="I29" s="179"/>
      <c r="J29" s="202" t="str">
        <f t="shared" si="13"/>
        <v/>
      </c>
      <c r="K29" s="59"/>
      <c r="L29" s="202" t="str">
        <f t="shared" si="7"/>
        <v/>
      </c>
      <c r="M29" s="54"/>
      <c r="N29" s="202" t="str">
        <f t="shared" si="8"/>
        <v/>
      </c>
      <c r="O29" s="264"/>
      <c r="P29" s="62" t="str">
        <f t="shared" si="9"/>
        <v/>
      </c>
      <c r="Q29" s="63" t="str">
        <f>IF(J29="","",IF(E29=BDDprix!$A$41,SUM(0-(N29*J29)),IF($G$1=$X$5,SUM(0-(N29*J29)),SUM(N29*J29))))</f>
        <v/>
      </c>
      <c r="R29" s="64" t="str">
        <f t="shared" si="10"/>
        <v/>
      </c>
      <c r="S29" s="39"/>
      <c r="T29" t="s">
        <v>316</v>
      </c>
      <c r="AC29" t="str">
        <f>IF(R10=1,VLOOKUP(G3,BDD!A:HS,227,FALSE),"")</f>
        <v/>
      </c>
      <c r="AD29" t="str">
        <f>IF(ISERROR(AC29),"",AC29)</f>
        <v/>
      </c>
      <c r="AE29" t="str">
        <f>IF(AD29="Afficher","Afficher",IF(AG29=1,"Afficher","Masquer"))</f>
        <v>Masquer</v>
      </c>
      <c r="AG29" s="194"/>
      <c r="AH29" s="113" t="s">
        <v>442</v>
      </c>
      <c r="AI29" s="155"/>
      <c r="AJ29" s="201" t="str">
        <f>IF(VLOOKUP($G$3,BDD!A:HT,120,FALSE)="","",VLOOKUP($G$3,BDD!A:HT,120,FALSE))</f>
        <v/>
      </c>
      <c r="AK29" s="206" t="str">
        <f>IF(VLOOKUP($G$3,BDD!A:HU,121,FALSE)="","",VLOOKUP($G$3,BDD!A:HU,121,FALSE))</f>
        <v/>
      </c>
      <c r="AL29" s="206" t="str">
        <f>IF(VLOOKUP($G$3,BDD!A:HV,122,FALSE)="","",VLOOKUP($G$3,BDD!A:HV,122,FALSE))</f>
        <v/>
      </c>
      <c r="AM29" s="206" t="str">
        <f>IF(VLOOKUP($G$3,BDD!A:HW,123,FALSE)="","",VLOOKUP($G$3,BDD!A:HW,123,FALSE))</f>
        <v/>
      </c>
      <c r="AN29" s="167" t="str">
        <f t="shared" si="11"/>
        <v/>
      </c>
      <c r="AO29" t="str">
        <f>IF(J$10=V$2,IF(L29=AP29,AX29,IF(L29=AQ29,BC29,IF(L29=AR29,BH29,IF(L29=AS29,BM29,IF(L29=AT29,BR29,IF(L29=AU29,BW29,IF(L29=AV29,CB29,IF(L29=AW29,CG29)))))))),IF(J$10=V$3,IF(L29=AP29,AY29,IF(L29=AQ29,BD29,IF(L29=AR29,BI29,IF(L29=AS29,BN29,IF(L29=AT29,BS29,IF(L29=AU29,BX29,IF(L29=AV29,CC29,IF(L29=AW29,CH29)))))))),IF(J$10=V$4,IF(L29=AP29,AZ29,IF(L29=AQ29,BE29,IF(L29=AR29,BJ29,IF(L29=AS29,BO29,IF(L29=AT29,BT29,IF(L29=AU29,BY29,IF(L29=AV29,CD29,IF(L29=AW29,CI29)))))))),IF(J$10=V$5,IF(L29=AP29,BA29,IF(L29=AQ29,BF29,IF(L29=AR29,BK29,IF(L29=AS29,BP29,IF(L29=AT29,BU29,IF(L29=AU29,BZ29,IF(L29=AV29,CE29,IF(L29=AW29,CJ29)))))))),IF(J$10=V$6,IF(L29=AP29,BB29,IF(L29=AQ29,BG29,IF(L29=AR29,BL29,IF(L29=AS29,BQ29,sil(L29=AT29,BV29,IF(L29=AU29,CA29,IF(L29=AV29,CF29,IF(L29=AW29,CK29)))))))),(""))))))</f>
        <v/>
      </c>
      <c r="AP29" t="e">
        <f>VLOOKUP($D29,BDDprix!$A:B,2,FALSE)</f>
        <v>#N/A</v>
      </c>
      <c r="AQ29" t="e">
        <f>VLOOKUP($D29,BDDprix!$A:C,3,FALSE)</f>
        <v>#N/A</v>
      </c>
      <c r="AR29" t="e">
        <f>VLOOKUP($D29,BDDprix!$A:D,4,FALSE)</f>
        <v>#N/A</v>
      </c>
      <c r="AS29" t="e">
        <f>VLOOKUP($D29,BDDprix!$A:E,5,FALSE)</f>
        <v>#N/A</v>
      </c>
      <c r="AT29" t="e">
        <f>VLOOKUP($D29,BDDprix!$A:F,6,FALSE)</f>
        <v>#N/A</v>
      </c>
      <c r="AU29" t="e">
        <f>VLOOKUP($D29,BDDprix!$A:G,7,FALSE)</f>
        <v>#N/A</v>
      </c>
      <c r="AV29" t="e">
        <f>VLOOKUP($D29,BDDprix!$A:H,8,FALSE)</f>
        <v>#N/A</v>
      </c>
      <c r="AW29" t="e">
        <f>VLOOKUP($D29,BDDprix!$A:I,9,FALSE)</f>
        <v>#N/A</v>
      </c>
      <c r="AX29" t="e">
        <f>VLOOKUP($D29,BDDprix!$A:J,10,FALSE)</f>
        <v>#N/A</v>
      </c>
      <c r="AY29" t="e">
        <f>VLOOKUP($D29,BDDprix!$A:K,11,FALSE)</f>
        <v>#N/A</v>
      </c>
      <c r="AZ29" t="e">
        <f>VLOOKUP($D29,BDDprix!$A:L,12,FALSE)</f>
        <v>#N/A</v>
      </c>
      <c r="BA29" t="e">
        <f>VLOOKUP($D29,BDDprix!$A:M,13,FALSE)</f>
        <v>#N/A</v>
      </c>
      <c r="BB29" t="e">
        <f>VLOOKUP($D29,BDDprix!$A:N,14,FALSE)</f>
        <v>#N/A</v>
      </c>
      <c r="BC29" t="e">
        <f>VLOOKUP($D29,BDDprix!$A:O,15,FALSE)</f>
        <v>#N/A</v>
      </c>
      <c r="BD29" t="e">
        <f>VLOOKUP($D29,BDDprix!$A:P,16,FALSE)</f>
        <v>#N/A</v>
      </c>
      <c r="BE29" t="e">
        <f>VLOOKUP($D29,BDDprix!$A:Q,17,FALSE)</f>
        <v>#N/A</v>
      </c>
      <c r="BF29" t="e">
        <f>VLOOKUP($D29,BDDprix!$A:R,18,FALSE)</f>
        <v>#N/A</v>
      </c>
      <c r="BG29" t="e">
        <f>VLOOKUP($D29,BDDprix!$A:S,19,FALSE)</f>
        <v>#N/A</v>
      </c>
      <c r="BH29" t="e">
        <f>VLOOKUP($D29,BDDprix!$A:T,20,FALSE)</f>
        <v>#N/A</v>
      </c>
      <c r="BI29" t="e">
        <f>VLOOKUP($D29,BDDprix!$A:U,21,FALSE)</f>
        <v>#N/A</v>
      </c>
      <c r="BJ29" t="e">
        <f>VLOOKUP($D29,BDDprix!$A:V,22,FALSE)</f>
        <v>#N/A</v>
      </c>
      <c r="BK29" t="e">
        <f>VLOOKUP($D29,BDDprix!$A:W,23,FALSE)</f>
        <v>#N/A</v>
      </c>
      <c r="BL29" t="e">
        <f>VLOOKUP($D29,BDDprix!$A:X,24,FALSE)</f>
        <v>#N/A</v>
      </c>
      <c r="BM29" t="e">
        <f>VLOOKUP($D29,BDDprix!$A:Y,25,FALSE)</f>
        <v>#N/A</v>
      </c>
      <c r="BN29" t="e">
        <f>VLOOKUP($D29,BDDprix!$A:Z,26,FALSE)</f>
        <v>#N/A</v>
      </c>
      <c r="BO29" t="e">
        <f>VLOOKUP($D29,BDDprix!$A:AA,27,FALSE)</f>
        <v>#N/A</v>
      </c>
      <c r="BP29" t="e">
        <f>VLOOKUP($D29,BDDprix!$A:AB,28,FALSE)</f>
        <v>#N/A</v>
      </c>
      <c r="BQ29" t="e">
        <f>VLOOKUP($D29,BDDprix!$A:AC,29,FALSE)</f>
        <v>#N/A</v>
      </c>
      <c r="BR29" t="e">
        <f>VLOOKUP($D29,BDDprix!$A:AD,26,FALSE)</f>
        <v>#N/A</v>
      </c>
      <c r="BS29" t="e">
        <f>VLOOKUP($D29,BDDprix!$A:AE,31,FALSE)</f>
        <v>#N/A</v>
      </c>
      <c r="BT29" t="e">
        <f>VLOOKUP($D29,BDDprix!$A:AF,32,FALSE)</f>
        <v>#N/A</v>
      </c>
      <c r="BU29" t="e">
        <f>VLOOKUP($D29,BDDprix!$A:AG,33,FALSE)</f>
        <v>#N/A</v>
      </c>
      <c r="BV29" t="e">
        <f>VLOOKUP($D29,BDDprix!$A:AH,34,FALSE)</f>
        <v>#N/A</v>
      </c>
      <c r="BW29" t="e">
        <f>VLOOKUP($D29,BDDprix!$A:AI,35,FALSE)</f>
        <v>#N/A</v>
      </c>
      <c r="BX29" t="e">
        <f>VLOOKUP($D29,BDDprix!$A:AJ,36,FALSE)</f>
        <v>#N/A</v>
      </c>
      <c r="BY29" t="e">
        <f>VLOOKUP($D29,BDDprix!$A:AK,37,FALSE)</f>
        <v>#N/A</v>
      </c>
      <c r="BZ29" t="e">
        <f>VLOOKUP($D29,BDDprix!$A:AL,38,FALSE)</f>
        <v>#N/A</v>
      </c>
      <c r="CA29" t="e">
        <f>VLOOKUP($D29,BDDprix!$A:AM,39,FALSE)</f>
        <v>#N/A</v>
      </c>
      <c r="CB29" t="e">
        <f>VLOOKUP($D29,BDDprix!$A:AN,40,FALSE)</f>
        <v>#N/A</v>
      </c>
      <c r="CC29" t="e">
        <f>VLOOKUP($D29,BDDprix!$A:AO,41,FALSE)</f>
        <v>#N/A</v>
      </c>
      <c r="CD29" t="e">
        <f>VLOOKUP($D29,BDDprix!$A:AP,42,FALSE)</f>
        <v>#N/A</v>
      </c>
      <c r="CE29" t="e">
        <f>VLOOKUP($D29,BDDprix!$A:AQ,43,FALSE)</f>
        <v>#N/A</v>
      </c>
      <c r="CF29" t="e">
        <f>VLOOKUP($D29,BDDprix!$A:AR,44,FALSE)</f>
        <v>#N/A</v>
      </c>
      <c r="CG29" t="e">
        <f>VLOOKUP($D29,BDDprix!$A:AS,45,FALSE)</f>
        <v>#N/A</v>
      </c>
      <c r="CH29" t="e">
        <f>VLOOKUP($D29,BDDprix!$A:AT,46,FALSE)</f>
        <v>#N/A</v>
      </c>
      <c r="CI29" t="e">
        <f>VLOOKUP($D29,BDDprix!$A:AU,47,FALSE)</f>
        <v>#N/A</v>
      </c>
      <c r="CJ29" t="e">
        <f>VLOOKUP($D29,BDDprix!$A:AV,48,FALSE)</f>
        <v>#N/A</v>
      </c>
      <c r="CK29" t="e">
        <f>VLOOKUP($D29,BDDprix!$A:AW,49,FALSE)</f>
        <v>#N/A</v>
      </c>
      <c r="CL29" t="str">
        <f t="shared" si="12"/>
        <v/>
      </c>
    </row>
    <row r="30" spans="1:90" x14ac:dyDescent="0.25">
      <c r="A30" s="207"/>
      <c r="B30" s="118"/>
      <c r="C30" s="38"/>
      <c r="D30" s="119"/>
      <c r="E30" s="38"/>
      <c r="F30" s="119"/>
      <c r="G30" s="38"/>
      <c r="H30" s="38"/>
      <c r="I30" s="38"/>
      <c r="J30" s="119"/>
      <c r="K30" s="38"/>
      <c r="L30" s="119"/>
      <c r="M30" s="38" t="str">
        <f>IF(AG29=1,"Total à repporter:","Total:")</f>
        <v>Total:</v>
      </c>
      <c r="N30" s="119"/>
      <c r="O30" s="38"/>
      <c r="P30" s="38"/>
      <c r="Q30" s="41">
        <f>SUM(Q12:Q29)</f>
        <v>0</v>
      </c>
      <c r="R30" s="42" t="str">
        <f>IF($J$10="","",$J$10)</f>
        <v/>
      </c>
      <c r="S30" s="39"/>
      <c r="T30" t="s">
        <v>288</v>
      </c>
    </row>
    <row r="31" spans="1:90" x14ac:dyDescent="0.25">
      <c r="A31" s="207"/>
      <c r="B31" s="118"/>
      <c r="C31" s="38" t="s">
        <v>210</v>
      </c>
      <c r="D31" s="119"/>
      <c r="E31" s="38"/>
      <c r="F31" s="119"/>
      <c r="G31" s="38"/>
      <c r="H31" s="38"/>
      <c r="I31" s="38"/>
      <c r="J31" s="119"/>
      <c r="K31" s="38"/>
      <c r="L31" s="119"/>
      <c r="M31" s="38" t="s">
        <v>345</v>
      </c>
      <c r="N31" s="119"/>
      <c r="O31" s="43">
        <v>0.15</v>
      </c>
      <c r="P31" s="43"/>
      <c r="Q31" s="41">
        <f>Q30-Q32</f>
        <v>0</v>
      </c>
      <c r="R31" s="42" t="str">
        <f>IF($J$10="","",$J$10)</f>
        <v/>
      </c>
      <c r="S31" s="39"/>
      <c r="T31" t="s">
        <v>289</v>
      </c>
      <c r="AG31" s="115">
        <f>$AG$29</f>
        <v>0</v>
      </c>
      <c r="AM31">
        <v>1</v>
      </c>
    </row>
    <row r="32" spans="1:90" ht="15.75" thickBot="1" x14ac:dyDescent="0.3">
      <c r="A32" s="208" t="str">
        <f>IF(G1=X4,"       Valable 1 mois.","")</f>
        <v xml:space="preserve">       Valable 1 mois.</v>
      </c>
      <c r="B32" s="119"/>
      <c r="C32" s="232"/>
      <c r="D32" s="232"/>
      <c r="E32" s="252"/>
      <c r="F32" s="252"/>
      <c r="G32" s="252"/>
      <c r="H32" s="252"/>
      <c r="I32" s="252"/>
      <c r="J32" s="138"/>
      <c r="K32" s="38"/>
      <c r="L32" s="119"/>
      <c r="M32" s="38" t="s">
        <v>381</v>
      </c>
      <c r="N32" s="119"/>
      <c r="O32" s="38"/>
      <c r="P32" s="38"/>
      <c r="Q32" s="60">
        <f>SUM(Q30/(O31+1))</f>
        <v>0</v>
      </c>
      <c r="R32" s="61" t="str">
        <f>IF($J$10="","",$J$10)</f>
        <v/>
      </c>
      <c r="S32" s="39"/>
      <c r="T32" t="s">
        <v>287</v>
      </c>
    </row>
    <row r="33" spans="1:33" ht="15.75" thickTop="1" x14ac:dyDescent="0.25">
      <c r="A33" s="207"/>
      <c r="B33" s="118"/>
      <c r="C33" s="232"/>
      <c r="D33" s="232"/>
      <c r="E33" s="252"/>
      <c r="F33" s="252"/>
      <c r="G33" s="252"/>
      <c r="H33" s="252"/>
      <c r="I33" s="252"/>
      <c r="J33" s="138"/>
      <c r="K33" s="38"/>
      <c r="L33" s="119"/>
      <c r="M33" s="38" t="s">
        <v>250</v>
      </c>
      <c r="N33" s="119"/>
      <c r="O33" s="38"/>
      <c r="P33" s="38"/>
      <c r="Q33" s="36">
        <f>SUM(Q31:Q32)</f>
        <v>0</v>
      </c>
      <c r="R33" s="44" t="str">
        <f>IF($J$10="","",$J$10)</f>
        <v/>
      </c>
      <c r="S33" s="39"/>
      <c r="T33" t="s">
        <v>286</v>
      </c>
      <c r="AG33" s="115">
        <f>$AG$29</f>
        <v>0</v>
      </c>
    </row>
    <row r="34" spans="1:33" x14ac:dyDescent="0.25">
      <c r="A34" s="207"/>
      <c r="B34" s="118"/>
      <c r="C34" s="38"/>
      <c r="D34" s="119"/>
      <c r="E34" s="38"/>
      <c r="F34" s="119"/>
      <c r="G34" s="38"/>
      <c r="H34" s="45"/>
      <c r="I34" s="45"/>
      <c r="J34" s="118"/>
      <c r="K34" s="45"/>
      <c r="L34" s="118"/>
      <c r="M34" s="89" t="str">
        <f>IF(G1=X2,"Accompte le:","")</f>
        <v/>
      </c>
      <c r="N34" s="129"/>
      <c r="O34" s="103"/>
      <c r="P34" s="103"/>
      <c r="Q34" s="41"/>
      <c r="R34" s="42" t="str">
        <f>IF($Q$36="","",IF(Q34="","",$J$10))</f>
        <v/>
      </c>
      <c r="S34" s="39"/>
      <c r="T34" t="s">
        <v>281</v>
      </c>
      <c r="V34" t="s">
        <v>375</v>
      </c>
    </row>
    <row r="35" spans="1:33" x14ac:dyDescent="0.25">
      <c r="A35" s="207"/>
      <c r="B35" s="118"/>
      <c r="C35" s="46" t="str">
        <f>IF(G1=X4,"",IF(G1=X5,"",IF(G35=AD6,T34,IF(G35=AD7,T33,IF(G35=AD8,T31,IF(G35=AD9,T32,IF(G35=AD10,T30,IF(G35=AD11,T34,IF(G35=AD12,V34,T35)))))))))</f>
        <v/>
      </c>
      <c r="D35" s="125"/>
      <c r="E35" s="47"/>
      <c r="F35" s="132"/>
      <c r="G35" s="65"/>
      <c r="H35" s="45"/>
      <c r="I35" s="45"/>
      <c r="J35" s="118"/>
      <c r="K35" s="45"/>
      <c r="L35" s="118"/>
      <c r="M35" s="89" t="str">
        <f>IF(G1=X2,"Payement le:","")</f>
        <v/>
      </c>
      <c r="N35" s="129"/>
      <c r="O35" s="104"/>
      <c r="P35" s="105"/>
      <c r="Q35" s="41"/>
      <c r="R35" s="42" t="str">
        <f>IF($Q$36="","",IF(Q35="","",$J$10))</f>
        <v/>
      </c>
      <c r="S35" s="39"/>
      <c r="T35" s="32" t="s">
        <v>256</v>
      </c>
      <c r="AG35" s="115">
        <f>$AG$29</f>
        <v>0</v>
      </c>
    </row>
    <row r="36" spans="1:33" x14ac:dyDescent="0.25">
      <c r="A36" s="207"/>
      <c r="B36" s="118"/>
      <c r="C36" s="38" t="str">
        <f>IF($G$1=$X$4,"",IF($G$1=$X$5,"",IF($G$35=$AD$4,T36,IF($G$35=$AD$2,U36,IF($G$35=$AD$3,V36,IF($G$35=$AD$5,W36,""))))))</f>
        <v/>
      </c>
      <c r="D36" s="119"/>
      <c r="E36" s="38"/>
      <c r="F36" s="119"/>
      <c r="G36" s="38"/>
      <c r="H36" s="38"/>
      <c r="I36" s="38"/>
      <c r="J36" s="119"/>
      <c r="K36" s="38"/>
      <c r="L36" s="119"/>
      <c r="M36" s="38"/>
      <c r="N36" s="119"/>
      <c r="O36" s="48" t="str">
        <f>IF(G1="FACTURE","Solde à payer:","")</f>
        <v/>
      </c>
      <c r="P36" s="48"/>
      <c r="Q36" s="41" t="str">
        <f>IF(G1=X2,(Q33-(Q34+Q35)),"")</f>
        <v/>
      </c>
      <c r="R36" s="42" t="str">
        <f>IF($J$10="","",$J$10)</f>
        <v/>
      </c>
      <c r="S36" s="39"/>
      <c r="T36" s="24" t="s">
        <v>264</v>
      </c>
      <c r="U36" s="24" t="s">
        <v>264</v>
      </c>
      <c r="V36" s="24" t="s">
        <v>264</v>
      </c>
      <c r="W36" s="24" t="s">
        <v>272</v>
      </c>
    </row>
    <row r="37" spans="1:33" x14ac:dyDescent="0.25">
      <c r="A37" s="207"/>
      <c r="B37" s="118"/>
      <c r="C37" s="38" t="str">
        <f>IF($G$1=$X$4,"",IF($G$1=$X$5,"",IF($G$35=$AD$4,T37,IF($G$35=$AD$2,U37,IF($G$35=$AD$3,V37,IF($G$35=$AD$5,W37,""))))))</f>
        <v/>
      </c>
      <c r="D37" s="119"/>
      <c r="E37" s="38"/>
      <c r="F37" s="119"/>
      <c r="G37" s="38"/>
      <c r="H37" s="38"/>
      <c r="I37" s="38"/>
      <c r="J37" s="119"/>
      <c r="K37" s="38"/>
      <c r="L37" s="119"/>
      <c r="M37" s="38"/>
      <c r="N37" s="119"/>
      <c r="O37" s="38"/>
      <c r="P37" s="38"/>
      <c r="Q37" s="38"/>
      <c r="R37" s="38"/>
      <c r="S37" s="49"/>
      <c r="T37" s="24" t="s">
        <v>277</v>
      </c>
      <c r="U37" s="24" t="s">
        <v>276</v>
      </c>
      <c r="V37" s="24" t="s">
        <v>278</v>
      </c>
      <c r="W37" s="24" t="s">
        <v>279</v>
      </c>
      <c r="AG37" s="115">
        <f>$AG$29</f>
        <v>0</v>
      </c>
    </row>
    <row r="38" spans="1:33" x14ac:dyDescent="0.25">
      <c r="A38" s="207"/>
      <c r="B38" s="118"/>
      <c r="C38" s="38" t="str">
        <f>IF($G$1=$X$4,"",IF($G$1=$X$5,"",IF($G$35=$AD$4,T38,IF($G$35=$AD$2,U38,IF($G$35=$AD$3,V38,IF($G$35=$AD$5,W38,""))))))</f>
        <v/>
      </c>
      <c r="D38" s="119"/>
      <c r="E38" s="48"/>
      <c r="F38" s="122"/>
      <c r="G38" s="38"/>
      <c r="H38" s="38"/>
      <c r="I38" s="38"/>
      <c r="J38" s="119"/>
      <c r="K38" s="85"/>
      <c r="L38" s="141"/>
      <c r="M38" s="85"/>
      <c r="N38" s="141"/>
      <c r="O38" s="85"/>
      <c r="P38" s="85"/>
      <c r="Q38" s="38"/>
      <c r="R38" s="38"/>
      <c r="S38" s="49"/>
      <c r="T38" s="24" t="s">
        <v>270</v>
      </c>
      <c r="U38" s="24" t="s">
        <v>265</v>
      </c>
      <c r="V38" s="24" t="s">
        <v>266</v>
      </c>
      <c r="W38" s="24" t="s">
        <v>273</v>
      </c>
    </row>
    <row r="39" spans="1:33" x14ac:dyDescent="0.25">
      <c r="A39" s="207"/>
      <c r="B39" s="118"/>
      <c r="C39" s="38" t="str">
        <f>IF($G$1=$X$4,"",IF($G$1=$X$5,"",IF($G$35=$AD$4,T39,IF($G$35=$AD$2,U39,IF($G$35=$AD$3,V39,IF($G$35=$AD$5,W39,""))))))</f>
        <v/>
      </c>
      <c r="D39" s="119"/>
      <c r="E39" s="38"/>
      <c r="F39" s="119"/>
      <c r="G39" s="38"/>
      <c r="H39" s="38"/>
      <c r="I39" s="45"/>
      <c r="J39" s="118"/>
      <c r="K39" s="48"/>
      <c r="L39" s="122"/>
      <c r="M39" s="232"/>
      <c r="N39" s="232"/>
      <c r="O39" s="232"/>
      <c r="P39" s="232"/>
      <c r="Q39" s="38"/>
      <c r="R39" s="38"/>
      <c r="S39" s="49"/>
      <c r="T39" s="24" t="s">
        <v>275</v>
      </c>
      <c r="U39" s="24" t="s">
        <v>275</v>
      </c>
      <c r="V39" s="24" t="s">
        <v>275</v>
      </c>
      <c r="W39" s="24" t="s">
        <v>275</v>
      </c>
      <c r="AG39" s="115">
        <f>$AG$29</f>
        <v>0</v>
      </c>
    </row>
    <row r="40" spans="1:33" x14ac:dyDescent="0.25">
      <c r="A40" s="207"/>
      <c r="B40" s="118"/>
      <c r="C40" s="38" t="str">
        <f>IF(C35=V34,"No de chèque:","")</f>
        <v/>
      </c>
      <c r="D40" s="119"/>
      <c r="E40" s="38"/>
      <c r="F40" s="119"/>
      <c r="G40" s="38"/>
      <c r="H40" s="38" t="s">
        <v>253</v>
      </c>
      <c r="I40" s="233"/>
      <c r="J40" s="233"/>
      <c r="K40" s="251"/>
      <c r="L40" s="144"/>
      <c r="M40" s="38" t="s">
        <v>254</v>
      </c>
      <c r="N40" s="119"/>
      <c r="O40" s="38"/>
      <c r="P40" s="38"/>
      <c r="Q40" s="38"/>
      <c r="R40" s="38"/>
      <c r="S40" s="49"/>
      <c r="T40" s="24" t="s">
        <v>269</v>
      </c>
      <c r="U40" s="24" t="s">
        <v>267</v>
      </c>
      <c r="V40" s="24" t="s">
        <v>268</v>
      </c>
      <c r="W40" s="66" t="s">
        <v>271</v>
      </c>
    </row>
    <row r="41" spans="1:33" x14ac:dyDescent="0.25">
      <c r="A41" s="207"/>
      <c r="B41" s="118"/>
      <c r="C41" s="234"/>
      <c r="D41" s="234"/>
      <c r="E41" s="250"/>
      <c r="F41" s="133"/>
      <c r="G41" s="38"/>
      <c r="H41" s="242" t="str">
        <f>IF(I40=AC2,AB2,IF(I40=AC3,AB3,IF(I40=AC4,AB4,IF(I40=AC5,AB5,IF(I40=AC6,AB6,IF(I40=AC7,AB7,IF(I40=AC8,AB8,IF(I40=AC9,AB9,IF(I40=AC10,AB10,IF(I40=AC11,AB11,""))))))))))</f>
        <v/>
      </c>
      <c r="I41" s="242"/>
      <c r="J41" s="242"/>
      <c r="K41" s="242"/>
      <c r="L41" s="145"/>
      <c r="M41" s="243" t="str">
        <f>(G4&amp;" "&amp;G5)</f>
        <v xml:space="preserve"> </v>
      </c>
      <c r="N41" s="243"/>
      <c r="O41" s="243"/>
      <c r="P41" s="243"/>
      <c r="Q41" s="38"/>
      <c r="R41" s="38"/>
      <c r="S41" s="49"/>
      <c r="T41" s="74" t="str">
        <f>IF(H41=AB2,"1",IF(H41=AB3,"2",IF(H41=AB4,"3",IF(H41=AB5,"4",IF(H41=AB6,"5",IF(H41=AB7,"6",IF(H41=AB8,"7",IF(H41=AB9,"8",IF(H41=AB10,"9",IF(H41=AB11,"10",""))))))))))</f>
        <v/>
      </c>
      <c r="U41" t="str">
        <f>IF(AG29=0,"",T41)</f>
        <v/>
      </c>
      <c r="AG41" s="115">
        <f>$AG$29</f>
        <v>0</v>
      </c>
    </row>
    <row r="42" spans="1:33" x14ac:dyDescent="0.25">
      <c r="A42" s="207"/>
      <c r="B42" s="118"/>
      <c r="C42" s="45"/>
      <c r="D42" s="118"/>
      <c r="E42" s="45"/>
      <c r="F42" s="118"/>
      <c r="G42" s="45"/>
      <c r="H42" s="38" t="s">
        <v>196</v>
      </c>
      <c r="I42" s="45"/>
      <c r="J42" s="118"/>
      <c r="K42" s="45"/>
      <c r="L42" s="118"/>
      <c r="M42" s="38" t="s">
        <v>196</v>
      </c>
      <c r="N42" s="119"/>
      <c r="O42" s="38"/>
      <c r="P42" s="38"/>
      <c r="Q42" s="38" t="s">
        <v>255</v>
      </c>
      <c r="R42" s="45"/>
      <c r="S42" s="49"/>
      <c r="T42" s="24" t="s">
        <v>347</v>
      </c>
      <c r="V42" s="24" t="s">
        <v>349</v>
      </c>
      <c r="W42" t="str">
        <f>IF($G$3="","",IF($T$43="i",VLOOKUP($G$3,BDD!A:D,4,FALSE),IF($T$43="c",VLOOKUP($G$3,BDD!A:E,5,FALSE),"")))</f>
        <v>Pierre-André</v>
      </c>
      <c r="X42" t="str">
        <f>IF($G$3="","",IF($T$43="i",VLOOKUP($G$3,BDD!A:N,14,FALSE),IF($T$43="c",VLOOKUP($G$3,BDD!A:P,16,FALSE),"")))</f>
        <v>C/O Ambroise Dubois</v>
      </c>
    </row>
    <row r="43" spans="1:33" ht="32.1" customHeight="1" thickBot="1" x14ac:dyDescent="0.3">
      <c r="A43" s="209"/>
      <c r="B43" s="120"/>
      <c r="C43" s="50"/>
      <c r="D43" s="120"/>
      <c r="E43" s="51" t="str">
        <f ca="1">"Fait  le  "&amp; TEXT(TODAY(),"jj/mmmm/aaaa")&amp;  "  à "</f>
        <v xml:space="preserve">Fait  le  11/octobre/2013  à </v>
      </c>
      <c r="F43" s="134"/>
      <c r="G43" s="52"/>
      <c r="H43" s="213"/>
      <c r="I43" s="213"/>
      <c r="J43" s="139"/>
      <c r="K43" s="53"/>
      <c r="L43" s="146"/>
      <c r="M43" s="253" t="s">
        <v>261</v>
      </c>
      <c r="N43" s="253"/>
      <c r="O43" s="253"/>
      <c r="P43" s="253"/>
      <c r="Q43" s="254" t="s">
        <v>261</v>
      </c>
      <c r="R43" s="254"/>
      <c r="S43" s="95"/>
      <c r="T43" s="87" t="str">
        <f>IF($G$3="","",VLOOKUP($G$3,BDD!A:B,2,FALSE))</f>
        <v>i</v>
      </c>
      <c r="U43" s="88" t="str">
        <f>Data!B8</f>
        <v>C:\Users\ambroise\Documents\Documents en ligne\Mauridul Ltée\Facture</v>
      </c>
      <c r="V43" t="str">
        <f>Data!B7</f>
        <v>C:\Users\ambroise\Documents\Documents en ligne\Mauridul Ltée\zData</v>
      </c>
      <c r="W43" s="87" t="str">
        <f>IF($G$3="","",IF($T$43="i",VLOOKUP($G$3,BDD!A:E,5,FALSE),IF($T$43="c",VLOOKUP($G$3,BDD!A:F,6,FALSE),"")))</f>
        <v>Clos a bec 3</v>
      </c>
      <c r="X43" s="87" t="str">
        <f>IF($G$3="","",IF($T$43="i",VLOOKUP($G$3,BDD!A:O,15,FALSE),IF($T$43="c",VLOOKUP($G$3,BDD!A:Q,17,FALSE),"")))</f>
        <v>Royal Road / St-Malo / Baie Du Tombeau</v>
      </c>
      <c r="Y43" s="88" t="str">
        <f>IF(ISERROR(T43),T44,T43)</f>
        <v>i</v>
      </c>
      <c r="Z43" s="88"/>
      <c r="AA43" s="88"/>
      <c r="AB43" s="88"/>
      <c r="AC43" s="88"/>
      <c r="AG43" s="115">
        <f>$AG$29</f>
        <v>0</v>
      </c>
    </row>
    <row r="44" spans="1:33" ht="15.75" customHeight="1" thickTop="1" x14ac:dyDescent="0.25">
      <c r="A44" s="210"/>
      <c r="C44" s="106"/>
      <c r="E44" s="106"/>
      <c r="G44" s="106"/>
      <c r="H44" s="106"/>
      <c r="I44" s="106"/>
      <c r="K44" s="106"/>
      <c r="M44" s="106"/>
      <c r="O44" s="106"/>
      <c r="P44" s="106"/>
      <c r="Q44" s="106"/>
      <c r="R44" s="116" t="str">
        <f>IF(E56="","1/1","1/2")</f>
        <v>1/1</v>
      </c>
      <c r="S44" s="106"/>
      <c r="T44" t="str">
        <f>IF(G9="Compagnie","c",IF(G9="Privé","i",""))</f>
        <v/>
      </c>
    </row>
    <row r="45" spans="1:33" hidden="1" x14ac:dyDescent="0.25">
      <c r="A45" s="207" t="str">
        <f t="shared" ref="A45:A55" si="14">IF($R$44="1/1","",IF(A1="","",A1))</f>
        <v/>
      </c>
      <c r="B45" s="117"/>
      <c r="C45" s="48" t="str">
        <f t="shared" ref="C45:C55" si="15">IF($R$44="1/1","",IF(C1="","",C1))</f>
        <v/>
      </c>
      <c r="D45" s="122"/>
      <c r="E45" s="100" t="str">
        <f t="shared" ref="E45:E55" si="16">IF($R$44="1/1","",IF(E1="","",E1))</f>
        <v/>
      </c>
      <c r="F45" s="129"/>
      <c r="G45" s="219" t="str">
        <f t="shared" ref="G45:I55" si="17">IF($R$44="1/1","",IF(G1="","",G1))</f>
        <v/>
      </c>
      <c r="H45" s="220" t="str">
        <f t="shared" si="17"/>
        <v/>
      </c>
      <c r="I45" s="220" t="str">
        <f t="shared" si="17"/>
        <v/>
      </c>
      <c r="J45" s="220"/>
      <c r="K45" s="220" t="str">
        <f t="shared" ref="K45:K55" si="18">IF($R$44="1/1","",IF(K1="","",K1))</f>
        <v/>
      </c>
      <c r="L45" s="220"/>
      <c r="M45" s="220" t="str">
        <f t="shared" ref="M45:M55" si="19">IF($R$44="1/1","",IF(M1="","",M1))</f>
        <v/>
      </c>
      <c r="N45" s="148"/>
      <c r="O45" s="90" t="str">
        <f t="shared" ref="O45:S55" si="20">IF($R$44="1/1","",IF(O1="","",O1))</f>
        <v/>
      </c>
      <c r="P45" s="221" t="str">
        <f t="shared" si="20"/>
        <v/>
      </c>
      <c r="Q45" s="222" t="str">
        <f t="shared" si="20"/>
        <v/>
      </c>
      <c r="R45" s="222" t="str">
        <f t="shared" si="20"/>
        <v/>
      </c>
      <c r="S45" s="97" t="str">
        <f t="shared" si="20"/>
        <v/>
      </c>
      <c r="AG45" s="115">
        <f>$AG$29</f>
        <v>0</v>
      </c>
    </row>
    <row r="46" spans="1:33" hidden="1" x14ac:dyDescent="0.25">
      <c r="A46" s="207" t="str">
        <f t="shared" si="14"/>
        <v/>
      </c>
      <c r="B46" s="118"/>
      <c r="C46" s="90" t="str">
        <f t="shared" si="15"/>
        <v/>
      </c>
      <c r="D46" s="123"/>
      <c r="E46" s="91" t="str">
        <f t="shared" si="16"/>
        <v/>
      </c>
      <c r="F46" s="130"/>
      <c r="G46" s="220" t="str">
        <f t="shared" si="17"/>
        <v/>
      </c>
      <c r="H46" s="220" t="str">
        <f t="shared" si="17"/>
        <v/>
      </c>
      <c r="I46" s="220" t="str">
        <f t="shared" si="17"/>
        <v/>
      </c>
      <c r="J46" s="220"/>
      <c r="K46" s="220" t="str">
        <f t="shared" si="18"/>
        <v/>
      </c>
      <c r="L46" s="220"/>
      <c r="M46" s="220" t="str">
        <f t="shared" si="19"/>
        <v/>
      </c>
      <c r="N46" s="148"/>
      <c r="O46" s="48" t="str">
        <f t="shared" si="20"/>
        <v/>
      </c>
      <c r="P46" s="222" t="str">
        <f t="shared" si="20"/>
        <v/>
      </c>
      <c r="Q46" s="222" t="str">
        <f t="shared" si="20"/>
        <v/>
      </c>
      <c r="R46" s="222" t="str">
        <f t="shared" si="20"/>
        <v/>
      </c>
      <c r="S46" s="39" t="str">
        <f t="shared" si="20"/>
        <v/>
      </c>
      <c r="AG46" s="115"/>
    </row>
    <row r="47" spans="1:33" hidden="1" x14ac:dyDescent="0.25">
      <c r="A47" s="207" t="str">
        <f t="shared" si="14"/>
        <v/>
      </c>
      <c r="B47" s="118"/>
      <c r="C47" s="38" t="str">
        <f t="shared" si="15"/>
        <v/>
      </c>
      <c r="D47" s="119"/>
      <c r="E47" s="92" t="str">
        <f t="shared" si="16"/>
        <v/>
      </c>
      <c r="F47" s="131"/>
      <c r="G47" s="255" t="str">
        <f t="shared" si="17"/>
        <v/>
      </c>
      <c r="H47" s="256" t="str">
        <f t="shared" si="17"/>
        <v/>
      </c>
      <c r="I47" s="93" t="str">
        <f t="shared" si="17"/>
        <v/>
      </c>
      <c r="J47" s="135"/>
      <c r="K47" s="246" t="str">
        <f t="shared" si="18"/>
        <v/>
      </c>
      <c r="L47" s="247"/>
      <c r="M47" s="248" t="str">
        <f t="shared" si="19"/>
        <v/>
      </c>
      <c r="N47" s="248"/>
      <c r="O47" s="248" t="str">
        <f t="shared" si="20"/>
        <v/>
      </c>
      <c r="P47" s="248" t="str">
        <f t="shared" si="20"/>
        <v/>
      </c>
      <c r="Q47" s="248" t="str">
        <f t="shared" si="20"/>
        <v/>
      </c>
      <c r="R47" s="249" t="str">
        <f t="shared" si="20"/>
        <v/>
      </c>
      <c r="S47" s="39" t="str">
        <f t="shared" si="20"/>
        <v/>
      </c>
      <c r="AG47" s="115">
        <f>$AG$29</f>
        <v>0</v>
      </c>
    </row>
    <row r="48" spans="1:33" hidden="1" x14ac:dyDescent="0.25">
      <c r="A48" s="207" t="str">
        <f t="shared" si="14"/>
        <v/>
      </c>
      <c r="B48" s="118"/>
      <c r="C48" s="38" t="str">
        <f t="shared" si="15"/>
        <v/>
      </c>
      <c r="D48" s="119"/>
      <c r="E48" s="92" t="str">
        <f t="shared" si="16"/>
        <v/>
      </c>
      <c r="F48" s="131"/>
      <c r="G48" s="223" t="str">
        <f t="shared" si="17"/>
        <v/>
      </c>
      <c r="H48" s="224" t="str">
        <f t="shared" si="17"/>
        <v/>
      </c>
      <c r="I48" s="93" t="str">
        <f t="shared" si="17"/>
        <v/>
      </c>
      <c r="J48" s="135"/>
      <c r="K48" s="223" t="str">
        <f t="shared" si="18"/>
        <v/>
      </c>
      <c r="L48" s="225"/>
      <c r="M48" s="226" t="str">
        <f t="shared" si="19"/>
        <v/>
      </c>
      <c r="N48" s="226"/>
      <c r="O48" s="226" t="str">
        <f t="shared" si="20"/>
        <v/>
      </c>
      <c r="P48" s="226" t="str">
        <f t="shared" si="20"/>
        <v/>
      </c>
      <c r="Q48" s="226" t="str">
        <f t="shared" si="20"/>
        <v/>
      </c>
      <c r="R48" s="245" t="str">
        <f t="shared" si="20"/>
        <v/>
      </c>
      <c r="S48" s="39" t="str">
        <f t="shared" si="20"/>
        <v/>
      </c>
    </row>
    <row r="49" spans="1:90" hidden="1" x14ac:dyDescent="0.25">
      <c r="A49" s="207" t="str">
        <f t="shared" si="14"/>
        <v/>
      </c>
      <c r="B49" s="118"/>
      <c r="C49" s="38" t="str">
        <f t="shared" si="15"/>
        <v/>
      </c>
      <c r="D49" s="119"/>
      <c r="E49" s="92" t="str">
        <f t="shared" si="16"/>
        <v/>
      </c>
      <c r="F49" s="131"/>
      <c r="G49" s="223" t="str">
        <f t="shared" si="17"/>
        <v/>
      </c>
      <c r="H49" s="224" t="str">
        <f t="shared" si="17"/>
        <v/>
      </c>
      <c r="I49" s="93" t="str">
        <f t="shared" si="17"/>
        <v/>
      </c>
      <c r="J49" s="135"/>
      <c r="K49" s="223" t="str">
        <f t="shared" si="18"/>
        <v/>
      </c>
      <c r="L49" s="225"/>
      <c r="M49" s="226" t="str">
        <f t="shared" si="19"/>
        <v/>
      </c>
      <c r="N49" s="226"/>
      <c r="O49" s="226" t="str">
        <f t="shared" si="20"/>
        <v/>
      </c>
      <c r="P49" s="226" t="str">
        <f t="shared" si="20"/>
        <v/>
      </c>
      <c r="Q49" s="226" t="str">
        <f t="shared" si="20"/>
        <v/>
      </c>
      <c r="R49" s="245" t="str">
        <f t="shared" si="20"/>
        <v/>
      </c>
      <c r="S49" s="39" t="str">
        <f t="shared" si="20"/>
        <v/>
      </c>
      <c r="AG49" s="115">
        <f>$AG$29</f>
        <v>0</v>
      </c>
    </row>
    <row r="50" spans="1:90" hidden="1" x14ac:dyDescent="0.25">
      <c r="A50" s="207" t="str">
        <f t="shared" si="14"/>
        <v/>
      </c>
      <c r="B50" s="118"/>
      <c r="C50" s="38" t="str">
        <f t="shared" si="15"/>
        <v/>
      </c>
      <c r="D50" s="119"/>
      <c r="E50" s="92" t="str">
        <f t="shared" si="16"/>
        <v/>
      </c>
      <c r="F50" s="131"/>
      <c r="G50" s="223" t="str">
        <f t="shared" si="17"/>
        <v/>
      </c>
      <c r="H50" s="224" t="str">
        <f t="shared" si="17"/>
        <v/>
      </c>
      <c r="I50" s="93" t="str">
        <f t="shared" si="17"/>
        <v/>
      </c>
      <c r="J50" s="135"/>
      <c r="K50" s="223" t="str">
        <f t="shared" si="18"/>
        <v/>
      </c>
      <c r="L50" s="225"/>
      <c r="M50" s="226" t="str">
        <f t="shared" si="19"/>
        <v/>
      </c>
      <c r="N50" s="226"/>
      <c r="O50" s="226" t="str">
        <f t="shared" si="20"/>
        <v/>
      </c>
      <c r="P50" s="226" t="str">
        <f t="shared" si="20"/>
        <v/>
      </c>
      <c r="Q50" s="226" t="str">
        <f t="shared" si="20"/>
        <v/>
      </c>
      <c r="R50" s="245" t="str">
        <f t="shared" si="20"/>
        <v/>
      </c>
      <c r="S50" s="39" t="str">
        <f t="shared" si="20"/>
        <v/>
      </c>
    </row>
    <row r="51" spans="1:90" hidden="1" x14ac:dyDescent="0.25">
      <c r="A51" s="207" t="str">
        <f t="shared" si="14"/>
        <v/>
      </c>
      <c r="B51" s="118"/>
      <c r="C51" s="38" t="str">
        <f t="shared" si="15"/>
        <v/>
      </c>
      <c r="D51" s="119"/>
      <c r="E51" s="92" t="str">
        <f t="shared" si="16"/>
        <v/>
      </c>
      <c r="F51" s="131"/>
      <c r="G51" s="223" t="str">
        <f t="shared" si="17"/>
        <v/>
      </c>
      <c r="H51" s="224" t="str">
        <f t="shared" si="17"/>
        <v/>
      </c>
      <c r="I51" s="38" t="str">
        <f t="shared" si="17"/>
        <v/>
      </c>
      <c r="J51" s="119"/>
      <c r="K51" s="234" t="str">
        <f t="shared" si="18"/>
        <v/>
      </c>
      <c r="L51" s="234"/>
      <c r="M51" s="244" t="str">
        <f t="shared" si="19"/>
        <v/>
      </c>
      <c r="N51" s="244"/>
      <c r="O51" s="244" t="str">
        <f t="shared" si="20"/>
        <v/>
      </c>
      <c r="P51" s="244" t="str">
        <f t="shared" si="20"/>
        <v/>
      </c>
      <c r="Q51" s="244" t="str">
        <f t="shared" si="20"/>
        <v/>
      </c>
      <c r="R51" s="244" t="str">
        <f t="shared" si="20"/>
        <v/>
      </c>
      <c r="S51" s="39" t="str">
        <f t="shared" si="20"/>
        <v/>
      </c>
      <c r="AG51" s="115">
        <f>$AG$29</f>
        <v>0</v>
      </c>
    </row>
    <row r="52" spans="1:90" hidden="1" x14ac:dyDescent="0.25">
      <c r="A52" s="207" t="str">
        <f t="shared" si="14"/>
        <v/>
      </c>
      <c r="B52" s="118"/>
      <c r="C52" s="38" t="str">
        <f t="shared" si="15"/>
        <v/>
      </c>
      <c r="D52" s="119"/>
      <c r="E52" s="92" t="str">
        <f t="shared" si="16"/>
        <v/>
      </c>
      <c r="F52" s="131"/>
      <c r="G52" s="223" t="str">
        <f t="shared" si="17"/>
        <v/>
      </c>
      <c r="H52" s="224" t="str">
        <f t="shared" si="17"/>
        <v/>
      </c>
      <c r="I52" s="48" t="str">
        <f t="shared" si="17"/>
        <v/>
      </c>
      <c r="J52" s="122"/>
      <c r="K52" s="223" t="str">
        <f t="shared" si="18"/>
        <v/>
      </c>
      <c r="L52" s="225"/>
      <c r="M52" s="226" t="str">
        <f t="shared" si="19"/>
        <v/>
      </c>
      <c r="N52" s="226"/>
      <c r="O52" s="226" t="str">
        <f t="shared" si="20"/>
        <v/>
      </c>
      <c r="P52" s="226" t="str">
        <f t="shared" si="20"/>
        <v/>
      </c>
      <c r="Q52" s="226" t="str">
        <f t="shared" si="20"/>
        <v/>
      </c>
      <c r="R52" s="224" t="str">
        <f t="shared" si="20"/>
        <v/>
      </c>
      <c r="S52" s="39" t="str">
        <f t="shared" si="20"/>
        <v/>
      </c>
    </row>
    <row r="53" spans="1:90" hidden="1" x14ac:dyDescent="0.25">
      <c r="A53" s="207" t="str">
        <f t="shared" si="14"/>
        <v/>
      </c>
      <c r="B53" s="118"/>
      <c r="C53" s="38" t="str">
        <f t="shared" si="15"/>
        <v/>
      </c>
      <c r="D53" s="119"/>
      <c r="E53" s="38" t="str">
        <f t="shared" si="16"/>
        <v/>
      </c>
      <c r="F53" s="119"/>
      <c r="G53" s="102" t="str">
        <f t="shared" si="17"/>
        <v/>
      </c>
      <c r="H53" s="40" t="str">
        <f t="shared" si="17"/>
        <v/>
      </c>
      <c r="I53" s="48" t="str">
        <f t="shared" si="17"/>
        <v/>
      </c>
      <c r="J53" s="122"/>
      <c r="K53" s="223" t="str">
        <f t="shared" si="18"/>
        <v/>
      </c>
      <c r="L53" s="225"/>
      <c r="M53" s="226" t="str">
        <f t="shared" si="19"/>
        <v/>
      </c>
      <c r="N53" s="226"/>
      <c r="O53" s="226" t="str">
        <f t="shared" si="20"/>
        <v/>
      </c>
      <c r="P53" s="226" t="str">
        <f t="shared" si="20"/>
        <v/>
      </c>
      <c r="Q53" s="226" t="str">
        <f t="shared" si="20"/>
        <v/>
      </c>
      <c r="R53" s="224" t="str">
        <f t="shared" si="20"/>
        <v/>
      </c>
      <c r="S53" s="39" t="str">
        <f t="shared" si="20"/>
        <v/>
      </c>
      <c r="AG53" s="115">
        <f>$AG$29</f>
        <v>0</v>
      </c>
    </row>
    <row r="54" spans="1:90" hidden="1" x14ac:dyDescent="0.25">
      <c r="A54" s="207" t="str">
        <f t="shared" si="14"/>
        <v/>
      </c>
      <c r="B54" s="118"/>
      <c r="C54" s="38" t="str">
        <f t="shared" si="15"/>
        <v/>
      </c>
      <c r="D54" s="119"/>
      <c r="E54" s="38" t="str">
        <f t="shared" si="16"/>
        <v/>
      </c>
      <c r="F54" s="119"/>
      <c r="G54" s="38" t="str">
        <f t="shared" si="17"/>
        <v/>
      </c>
      <c r="H54" s="38" t="str">
        <f t="shared" si="17"/>
        <v/>
      </c>
      <c r="I54" s="38" t="str">
        <f t="shared" si="17"/>
        <v/>
      </c>
      <c r="J54" s="119"/>
      <c r="K54" s="227" t="str">
        <f t="shared" si="18"/>
        <v/>
      </c>
      <c r="L54" s="227"/>
      <c r="M54" s="228" t="str">
        <f>IF($R$44="1/1","",IF(#REF!="","",#REF!))</f>
        <v/>
      </c>
      <c r="N54" s="149"/>
      <c r="O54" s="38" t="str">
        <f t="shared" si="20"/>
        <v/>
      </c>
      <c r="P54" s="38" t="str">
        <f t="shared" si="20"/>
        <v/>
      </c>
      <c r="Q54" s="38"/>
      <c r="R54" s="38"/>
      <c r="S54" s="39" t="str">
        <f t="shared" si="20"/>
        <v/>
      </c>
    </row>
    <row r="55" spans="1:90" hidden="1" x14ac:dyDescent="0.25">
      <c r="A55" s="207" t="str">
        <f t="shared" si="14"/>
        <v/>
      </c>
      <c r="B55" s="118"/>
      <c r="C55" s="55" t="str">
        <f t="shared" si="15"/>
        <v/>
      </c>
      <c r="D55" s="126"/>
      <c r="E55" s="235" t="str">
        <f t="shared" si="16"/>
        <v/>
      </c>
      <c r="F55" s="236"/>
      <c r="G55" s="236" t="str">
        <f t="shared" si="17"/>
        <v/>
      </c>
      <c r="H55" s="236" t="str">
        <f t="shared" si="17"/>
        <v/>
      </c>
      <c r="I55" s="237" t="str">
        <f t="shared" si="17"/>
        <v/>
      </c>
      <c r="J55" s="140"/>
      <c r="K55" s="56" t="str">
        <f t="shared" si="18"/>
        <v/>
      </c>
      <c r="L55" s="142"/>
      <c r="M55" s="101" t="str">
        <f t="shared" si="19"/>
        <v/>
      </c>
      <c r="N55" s="152"/>
      <c r="O55" s="229" t="str">
        <f t="shared" si="20"/>
        <v/>
      </c>
      <c r="P55" s="230" t="str">
        <f t="shared" si="20"/>
        <v/>
      </c>
      <c r="Q55" s="229" t="str">
        <f t="shared" si="20"/>
        <v/>
      </c>
      <c r="R55" s="231" t="str">
        <f t="shared" si="20"/>
        <v/>
      </c>
      <c r="S55" s="39" t="str">
        <f t="shared" si="20"/>
        <v/>
      </c>
    </row>
    <row r="56" spans="1:90" hidden="1" x14ac:dyDescent="0.25">
      <c r="A56" s="207"/>
      <c r="B56" s="200"/>
      <c r="C56" s="57"/>
      <c r="D56" s="205"/>
      <c r="E56" s="238" t="str">
        <f>IF(AE29="Afficher","Repport:","")</f>
        <v/>
      </c>
      <c r="F56" s="239"/>
      <c r="G56" s="240"/>
      <c r="H56" s="240"/>
      <c r="I56" s="241"/>
      <c r="J56" s="137"/>
      <c r="K56" s="54"/>
      <c r="L56" s="143"/>
      <c r="M56" s="54"/>
      <c r="N56" s="151"/>
      <c r="O56" s="63"/>
      <c r="P56" s="62" t="str">
        <f>IF(O56="","",$K$10)</f>
        <v/>
      </c>
      <c r="Q56" s="63" t="str">
        <f>IF(E56="","",Q30)</f>
        <v/>
      </c>
      <c r="R56" s="64" t="str">
        <f>IF(Q56="","",IF($K$10="","",$K$10))</f>
        <v/>
      </c>
      <c r="S56" s="39"/>
      <c r="AG56" s="115">
        <f>$AG$29</f>
        <v>0</v>
      </c>
    </row>
    <row r="57" spans="1:90" hidden="1" x14ac:dyDescent="0.25">
      <c r="A57" s="208" t="str">
        <f>IF(VLOOKUP($G$3,BDD!A:DU,125,FALSE)="","",VLOOKUP($G$3,BDD!A:DU,125,FALSE))</f>
        <v/>
      </c>
      <c r="B57" s="200" t="str">
        <f t="shared" ref="B57" si="21">IF(C57="",IF($R$10="","",IF(E57=1,""," "&amp;TEXT(A57,"jj/mm/aa"))),C57)</f>
        <v/>
      </c>
      <c r="C57" s="203"/>
      <c r="D57" s="202" t="str">
        <f t="shared" ref="D57:D73" si="22">IF(E57="",IF($R$10="","",AJ57),IF(E57=1,"",E57))</f>
        <v/>
      </c>
      <c r="E57" s="204"/>
      <c r="F57" s="196"/>
      <c r="G57" s="197"/>
      <c r="H57" s="197"/>
      <c r="I57" s="197"/>
      <c r="J57" s="202" t="str">
        <f t="shared" ref="J57:J73" si="23">IF(K57="",IF($R$10="","",IF(K57=1,""," "&amp;AK57)),K57)</f>
        <v/>
      </c>
      <c r="K57" s="54"/>
      <c r="L57" s="202" t="str">
        <f t="shared" ref="L57:L73" si="24">IF(M57="",IF($R$10="","",IF(E57=1,""," "&amp;AL57)),M57)</f>
        <v/>
      </c>
      <c r="M57" s="54"/>
      <c r="N57" s="202" t="str">
        <f t="shared" ref="N57:N73" si="25">IF(O57="",IF($R$10=1,IF(E57=1,"",IF(M57="",AM57&amp;",00",AN57&amp;",00")),IF(AN57="","",AN57&amp;",00")),IF(O57="","",O57&amp;",00"))</f>
        <v/>
      </c>
      <c r="O57" s="264"/>
      <c r="P57" s="62" t="str">
        <f t="shared" ref="P57:P73" si="26">IF(N57="","",$J$10)</f>
        <v/>
      </c>
      <c r="Q57" s="63" t="str">
        <f>IF(J57="","",IF(E57=BDDprix!$A$41,SUM(0-(N57*J57)),IF($G$1=$X$5,SUM(0-(N57*J57)),SUM(N57*J57))))</f>
        <v/>
      </c>
      <c r="R57" s="64" t="str">
        <f t="shared" ref="R57:R73" si="27">IF(L57="","",$J$10)</f>
        <v/>
      </c>
      <c r="S57" s="39"/>
      <c r="AJ57" s="201" t="str">
        <f>IF(VLOOKUP($G$3,BDD!A:HT,126,FALSE)="","",VLOOKUP($G$3,BDD!A:HT,126,FALSE))</f>
        <v/>
      </c>
      <c r="AK57" s="206" t="str">
        <f>IF(VLOOKUP($G$3,BDD!A:HU,127,FALSE)="","",VLOOKUP($G$3,BDD!A:HU,127,FALSE))</f>
        <v/>
      </c>
      <c r="AL57" s="206" t="str">
        <f>IF(VLOOKUP($G$3,BDD!A:HV,128,FALSE)="","",VLOOKUP($G$3,BDD!A:HV,128,FALSE))</f>
        <v/>
      </c>
      <c r="AM57" s="206" t="str">
        <f>IF(VLOOKUP($G$3,BDD!A:HW,129,FALSE)="","",VLOOKUP($G$3,BDD!A:HW,129,FALSE))</f>
        <v/>
      </c>
      <c r="AN57" s="167" t="str">
        <f t="shared" ref="AN57:AN73" si="28">IF(ISERROR(CL57),"",CL57)</f>
        <v/>
      </c>
      <c r="AO57" t="str">
        <f>IF(J$10=V$2,IF(L57=AP57,AX57,IF(L57=AQ57,BC57,IF(L57=AR57,BH57,IF(L57=AS57,BM57,IF(L57=AT57,BR57,IF(L57=AU57,BW57,IF(L57=AV57,CB57,IF(L57=AW57,CG57)))))))),IF(J$10=V$3,IF(L57=AP57,AY57,IF(L57=AQ57,BD57,IF(L57=AR57,BI57,IF(L57=AS57,BN57,IF(L57=AT57,BS57,IF(L57=AU57,BX57,IF(L57=AV57,CC57,IF(L57=AW57,CH57)))))))),IF(J$10=V$4,IF(L57=AP57,AZ57,IF(L57=AQ57,BE57,IF(L57=AR57,BJ57,IF(L57=AS57,BO57,IF(L57=AT57,BT57,IF(L57=AU57,BY57,IF(L57=AV57,CD57,IF(L57=AW57,CI57)))))))),IF(J$10=V$5,IF(L57=AP57,BA57,IF(L57=AQ57,BF57,IF(L57=AR57,BK57,IF(L57=AS57,BP57,IF(L57=AT57,BU57,IF(L57=AU57,BZ57,IF(L57=AV57,CE57,IF(L57=AW57,CJ57)))))))),IF(J$10=V$6,IF(L57=AP57,BB57,IF(L57=AQ57,BG57,IF(L57=AR57,BL57,IF(L57=AS57,BQ57,sil(L57=AT57,BV57,IF(L57=AU57,CA57,IF(L57=AV57,CF57,IF(L57=AW57,CK57)))))))),(""))))))</f>
        <v/>
      </c>
      <c r="AP57" t="e">
        <f>VLOOKUP($D57,BDDprix!$A:B,2,FALSE)</f>
        <v>#N/A</v>
      </c>
      <c r="AQ57" t="e">
        <f>VLOOKUP($D57,BDDprix!$A:C,3,FALSE)</f>
        <v>#N/A</v>
      </c>
      <c r="AR57" t="e">
        <f>VLOOKUP($D57,BDDprix!$A:D,4,FALSE)</f>
        <v>#N/A</v>
      </c>
      <c r="AS57" t="e">
        <f>VLOOKUP($D57,BDDprix!$A:E,5,FALSE)</f>
        <v>#N/A</v>
      </c>
      <c r="AT57" t="e">
        <f>VLOOKUP($D57,BDDprix!$A:F,6,FALSE)</f>
        <v>#N/A</v>
      </c>
      <c r="AU57" t="e">
        <f>VLOOKUP($D57,BDDprix!$A:G,7,FALSE)</f>
        <v>#N/A</v>
      </c>
      <c r="AV57" t="e">
        <f>VLOOKUP($D57,BDDprix!$A:H,8,FALSE)</f>
        <v>#N/A</v>
      </c>
      <c r="AW57" t="e">
        <f>VLOOKUP($D57,BDDprix!$A:I,9,FALSE)</f>
        <v>#N/A</v>
      </c>
      <c r="AX57" t="e">
        <f>VLOOKUP($D57,BDDprix!$A:J,10,FALSE)</f>
        <v>#N/A</v>
      </c>
      <c r="AY57" t="e">
        <f>VLOOKUP($D57,BDDprix!$A:K,11,FALSE)</f>
        <v>#N/A</v>
      </c>
      <c r="AZ57" t="e">
        <f>VLOOKUP($D57,BDDprix!$A:L,12,FALSE)</f>
        <v>#N/A</v>
      </c>
      <c r="BA57" t="e">
        <f>VLOOKUP($D57,BDDprix!$A:M,13,FALSE)</f>
        <v>#N/A</v>
      </c>
      <c r="BB57" t="e">
        <f>VLOOKUP($D57,BDDprix!$A:N,14,FALSE)</f>
        <v>#N/A</v>
      </c>
      <c r="BC57" t="e">
        <f>VLOOKUP($D57,BDDprix!$A:O,15,FALSE)</f>
        <v>#N/A</v>
      </c>
      <c r="BD57" t="e">
        <f>VLOOKUP($D57,BDDprix!$A:P,16,FALSE)</f>
        <v>#N/A</v>
      </c>
      <c r="BE57" t="e">
        <f>VLOOKUP($D57,BDDprix!$A:Q,17,FALSE)</f>
        <v>#N/A</v>
      </c>
      <c r="BF57" t="e">
        <f>VLOOKUP($D57,BDDprix!$A:R,18,FALSE)</f>
        <v>#N/A</v>
      </c>
      <c r="BG57" t="e">
        <f>VLOOKUP($D57,BDDprix!$A:S,19,FALSE)</f>
        <v>#N/A</v>
      </c>
      <c r="BH57" t="e">
        <f>VLOOKUP($D57,BDDprix!$A:T,20,FALSE)</f>
        <v>#N/A</v>
      </c>
      <c r="BI57" t="e">
        <f>VLOOKUP($D57,BDDprix!$A:U,21,FALSE)</f>
        <v>#N/A</v>
      </c>
      <c r="BJ57" t="e">
        <f>VLOOKUP($D57,BDDprix!$A:V,22,FALSE)</f>
        <v>#N/A</v>
      </c>
      <c r="BK57" t="e">
        <f>VLOOKUP($D57,BDDprix!$A:W,23,FALSE)</f>
        <v>#N/A</v>
      </c>
      <c r="BL57" t="e">
        <f>VLOOKUP($D57,BDDprix!$A:X,24,FALSE)</f>
        <v>#N/A</v>
      </c>
      <c r="BM57" t="e">
        <f>VLOOKUP($D57,BDDprix!$A:Y,25,FALSE)</f>
        <v>#N/A</v>
      </c>
      <c r="BN57" t="e">
        <f>VLOOKUP($D57,BDDprix!$A:Z,26,FALSE)</f>
        <v>#N/A</v>
      </c>
      <c r="BO57" t="e">
        <f>VLOOKUP($D57,BDDprix!$A:AA,27,FALSE)</f>
        <v>#N/A</v>
      </c>
      <c r="BP57" t="e">
        <f>VLOOKUP($D57,BDDprix!$A:AB,28,FALSE)</f>
        <v>#N/A</v>
      </c>
      <c r="BQ57" t="e">
        <f>VLOOKUP($D57,BDDprix!$A:AC,29,FALSE)</f>
        <v>#N/A</v>
      </c>
      <c r="BR57" t="e">
        <f>VLOOKUP($D57,BDDprix!$A:AD,26,FALSE)</f>
        <v>#N/A</v>
      </c>
      <c r="BS57" t="e">
        <f>VLOOKUP($D57,BDDprix!$A:AE,31,FALSE)</f>
        <v>#N/A</v>
      </c>
      <c r="BT57" t="e">
        <f>VLOOKUP($D57,BDDprix!$A:AF,32,FALSE)</f>
        <v>#N/A</v>
      </c>
      <c r="BU57" t="e">
        <f>VLOOKUP($D57,BDDprix!$A:AG,33,FALSE)</f>
        <v>#N/A</v>
      </c>
      <c r="BV57" t="e">
        <f>VLOOKUP($D57,BDDprix!$A:AH,34,FALSE)</f>
        <v>#N/A</v>
      </c>
      <c r="BW57" t="e">
        <f>VLOOKUP($D57,BDDprix!$A:AI,35,FALSE)</f>
        <v>#N/A</v>
      </c>
      <c r="BX57" t="e">
        <f>VLOOKUP($D57,BDDprix!$A:AJ,36,FALSE)</f>
        <v>#N/A</v>
      </c>
      <c r="BY57" t="e">
        <f>VLOOKUP($D57,BDDprix!$A:AK,37,FALSE)</f>
        <v>#N/A</v>
      </c>
      <c r="BZ57" t="e">
        <f>VLOOKUP($D57,BDDprix!$A:AL,38,FALSE)</f>
        <v>#N/A</v>
      </c>
      <c r="CA57" t="e">
        <f>VLOOKUP($D57,BDDprix!$A:AM,39,FALSE)</f>
        <v>#N/A</v>
      </c>
      <c r="CB57" t="e">
        <f>VLOOKUP($D57,BDDprix!$A:AN,40,FALSE)</f>
        <v>#N/A</v>
      </c>
      <c r="CC57" t="e">
        <f>VLOOKUP($D57,BDDprix!$A:AO,41,FALSE)</f>
        <v>#N/A</v>
      </c>
      <c r="CD57" t="e">
        <f>VLOOKUP($D57,BDDprix!$A:AP,42,FALSE)</f>
        <v>#N/A</v>
      </c>
      <c r="CE57" t="e">
        <f>VLOOKUP($D57,BDDprix!$A:AQ,43,FALSE)</f>
        <v>#N/A</v>
      </c>
      <c r="CF57" t="e">
        <f>VLOOKUP($D57,BDDprix!$A:AR,44,FALSE)</f>
        <v>#N/A</v>
      </c>
      <c r="CG57" t="e">
        <f>VLOOKUP($D57,BDDprix!$A:AS,45,FALSE)</f>
        <v>#N/A</v>
      </c>
      <c r="CH57" t="e">
        <f>VLOOKUP($D57,BDDprix!$A:AT,46,FALSE)</f>
        <v>#N/A</v>
      </c>
      <c r="CI57" t="e">
        <f>VLOOKUP($D57,BDDprix!$A:AU,47,FALSE)</f>
        <v>#N/A</v>
      </c>
      <c r="CJ57" t="e">
        <f>VLOOKUP($D57,BDDprix!$A:AV,48,FALSE)</f>
        <v>#N/A</v>
      </c>
      <c r="CK57" t="e">
        <f>VLOOKUP($D57,BDDprix!$A:AW,49,FALSE)</f>
        <v>#N/A</v>
      </c>
      <c r="CL57" t="str">
        <f t="shared" ref="CL57:CL73" si="29">IF(AO57=FALSE,"",AO57)</f>
        <v/>
      </c>
    </row>
    <row r="58" spans="1:90" hidden="1" x14ac:dyDescent="0.25">
      <c r="A58" s="208" t="str">
        <f>IF(VLOOKUP($G$3,BDD!A:EA,131,FALSE)="","",VLOOKUP($G$3,BDD!A:EA,131,FALSE))</f>
        <v/>
      </c>
      <c r="B58" s="200" t="str">
        <f t="shared" ref="B58:B73" si="30">IF(C58="",IF($R$10="","",IF(E58=1,""," "&amp;TEXT(A58,"jj/mm/aa"))),C58)</f>
        <v/>
      </c>
      <c r="C58" s="57"/>
      <c r="D58" s="202" t="str">
        <f t="shared" si="22"/>
        <v/>
      </c>
      <c r="E58" s="196"/>
      <c r="F58" s="196"/>
      <c r="G58" s="197"/>
      <c r="H58" s="197"/>
      <c r="I58" s="197"/>
      <c r="J58" s="202" t="str">
        <f t="shared" si="23"/>
        <v/>
      </c>
      <c r="K58" s="54"/>
      <c r="L58" s="202" t="str">
        <f t="shared" si="24"/>
        <v/>
      </c>
      <c r="M58" s="54"/>
      <c r="N58" s="202" t="str">
        <f t="shared" si="25"/>
        <v/>
      </c>
      <c r="O58" s="264"/>
      <c r="P58" s="62" t="str">
        <f t="shared" si="26"/>
        <v/>
      </c>
      <c r="Q58" s="63" t="str">
        <f>IF(J58="","",IF(E58=BDDprix!$A$41,SUM(0-(N58*J58)),IF($G$1=$X$5,SUM(0-(N58*J58)),SUM(N58*J58))))</f>
        <v/>
      </c>
      <c r="R58" s="64" t="str">
        <f t="shared" si="27"/>
        <v/>
      </c>
      <c r="S58" s="39"/>
      <c r="AJ58" s="201" t="str">
        <f>IF(VLOOKUP($G$3,BDD!A:HT,132,FALSE)="","",VLOOKUP($G$3,BDD!A:HT,132,FALSE))</f>
        <v/>
      </c>
      <c r="AK58" s="206" t="str">
        <f>IF(VLOOKUP($G$3,BDD!A:HU,133,FALSE)="","",VLOOKUP($G$3,BDD!A:HU,133,FALSE))</f>
        <v/>
      </c>
      <c r="AL58" s="206" t="str">
        <f>IF(VLOOKUP($G$3,BDD!A:HV,134,FALSE)="","",VLOOKUP($G$3,BDD!A:HV,134,FALSE))</f>
        <v/>
      </c>
      <c r="AM58" s="206" t="str">
        <f>IF(VLOOKUP($G$3,BDD!A:HW,135,FALSE)="","",VLOOKUP($G$3,BDD!A:HW,135,FALSE))</f>
        <v/>
      </c>
      <c r="AN58" s="167" t="str">
        <f t="shared" si="28"/>
        <v/>
      </c>
      <c r="AO58" t="str">
        <f>IF(J$10=V$2,IF(L58=AP58,AX58,IF(L58=AQ58,BC58,IF(L58=AR58,BH58,IF(L58=AS58,BM58,IF(L58=AT58,BR58,IF(L58=AU58,BW58,IF(L58=AV58,CB58,IF(L58=AW58,CG58)))))))),IF(J$10=V$3,IF(L58=AP58,AY58,IF(L58=AQ58,BD58,IF(L58=AR58,BI58,IF(L58=AS58,BN58,IF(L58=AT58,BS58,IF(L58=AU58,BX58,IF(L58=AV58,CC58,IF(L58=AW58,CH58)))))))),IF(J$10=V$4,IF(L58=AP58,AZ58,IF(L58=AQ58,BE58,IF(L58=AR58,BJ58,IF(L58=AS58,BO58,IF(L58=AT58,BT58,IF(L58=AU58,BY58,IF(L58=AV58,CD58,IF(L58=AW58,CI58)))))))),IF(J$10=V$5,IF(L58=AP58,BA58,IF(L58=AQ58,BF58,IF(L58=AR58,BK58,IF(L58=AS58,BP58,IF(L58=AT58,BU58,IF(L58=AU58,BZ58,IF(L58=AV58,CE58,IF(L58=AW58,CJ58)))))))),IF(J$10=V$6,IF(L58=AP58,BB58,IF(L58=AQ58,BG58,IF(L58=AR58,BL58,IF(L58=AS58,BQ58,sil(L58=AT58,BV58,IF(L58=AU58,CA58,IF(L58=AV58,CF58,IF(L58=AW58,CK58)))))))),(""))))))</f>
        <v/>
      </c>
      <c r="AP58" t="e">
        <f>VLOOKUP($D58,BDDprix!$A:B,2,FALSE)</f>
        <v>#N/A</v>
      </c>
      <c r="AQ58" t="e">
        <f>VLOOKUP($D58,BDDprix!$A:C,3,FALSE)</f>
        <v>#N/A</v>
      </c>
      <c r="AR58" t="e">
        <f>VLOOKUP($D58,BDDprix!$A:D,4,FALSE)</f>
        <v>#N/A</v>
      </c>
      <c r="AS58" t="e">
        <f>VLOOKUP($D58,BDDprix!$A:E,5,FALSE)</f>
        <v>#N/A</v>
      </c>
      <c r="AT58" t="e">
        <f>VLOOKUP($D58,BDDprix!$A:F,6,FALSE)</f>
        <v>#N/A</v>
      </c>
      <c r="AU58" t="e">
        <f>VLOOKUP($D58,BDDprix!$A:G,7,FALSE)</f>
        <v>#N/A</v>
      </c>
      <c r="AV58" t="e">
        <f>VLOOKUP($D58,BDDprix!$A:H,8,FALSE)</f>
        <v>#N/A</v>
      </c>
      <c r="AW58" t="e">
        <f>VLOOKUP($D58,BDDprix!$A:I,9,FALSE)</f>
        <v>#N/A</v>
      </c>
      <c r="AX58" t="e">
        <f>VLOOKUP($D58,BDDprix!$A:J,10,FALSE)</f>
        <v>#N/A</v>
      </c>
      <c r="AY58" t="e">
        <f>VLOOKUP($D58,BDDprix!$A:K,11,FALSE)</f>
        <v>#N/A</v>
      </c>
      <c r="AZ58" t="e">
        <f>VLOOKUP($D58,BDDprix!$A:L,12,FALSE)</f>
        <v>#N/A</v>
      </c>
      <c r="BA58" t="e">
        <f>VLOOKUP($D58,BDDprix!$A:M,13,FALSE)</f>
        <v>#N/A</v>
      </c>
      <c r="BB58" t="e">
        <f>VLOOKUP($D58,BDDprix!$A:N,14,FALSE)</f>
        <v>#N/A</v>
      </c>
      <c r="BC58" t="e">
        <f>VLOOKUP($D58,BDDprix!$A:O,15,FALSE)</f>
        <v>#N/A</v>
      </c>
      <c r="BD58" t="e">
        <f>VLOOKUP($D58,BDDprix!$A:P,16,FALSE)</f>
        <v>#N/A</v>
      </c>
      <c r="BE58" t="e">
        <f>VLOOKUP($D58,BDDprix!$A:Q,17,FALSE)</f>
        <v>#N/A</v>
      </c>
      <c r="BF58" t="e">
        <f>VLOOKUP($D58,BDDprix!$A:R,18,FALSE)</f>
        <v>#N/A</v>
      </c>
      <c r="BG58" t="e">
        <f>VLOOKUP($D58,BDDprix!$A:S,19,FALSE)</f>
        <v>#N/A</v>
      </c>
      <c r="BH58" t="e">
        <f>VLOOKUP($D58,BDDprix!$A:T,20,FALSE)</f>
        <v>#N/A</v>
      </c>
      <c r="BI58" t="e">
        <f>VLOOKUP($D58,BDDprix!$A:U,21,FALSE)</f>
        <v>#N/A</v>
      </c>
      <c r="BJ58" t="e">
        <f>VLOOKUP($D58,BDDprix!$A:V,22,FALSE)</f>
        <v>#N/A</v>
      </c>
      <c r="BK58" t="e">
        <f>VLOOKUP($D58,BDDprix!$A:W,23,FALSE)</f>
        <v>#N/A</v>
      </c>
      <c r="BL58" t="e">
        <f>VLOOKUP($D58,BDDprix!$A:X,24,FALSE)</f>
        <v>#N/A</v>
      </c>
      <c r="BM58" t="e">
        <f>VLOOKUP($D58,BDDprix!$A:Y,25,FALSE)</f>
        <v>#N/A</v>
      </c>
      <c r="BN58" t="e">
        <f>VLOOKUP($D58,BDDprix!$A:Z,26,FALSE)</f>
        <v>#N/A</v>
      </c>
      <c r="BO58" t="e">
        <f>VLOOKUP($D58,BDDprix!$A:AA,27,FALSE)</f>
        <v>#N/A</v>
      </c>
      <c r="BP58" t="e">
        <f>VLOOKUP($D58,BDDprix!$A:AB,28,FALSE)</f>
        <v>#N/A</v>
      </c>
      <c r="BQ58" t="e">
        <f>VLOOKUP($D58,BDDprix!$A:AC,29,FALSE)</f>
        <v>#N/A</v>
      </c>
      <c r="BR58" t="e">
        <f>VLOOKUP($D58,BDDprix!$A:AD,26,FALSE)</f>
        <v>#N/A</v>
      </c>
      <c r="BS58" t="e">
        <f>VLOOKUP($D58,BDDprix!$A:AE,31,FALSE)</f>
        <v>#N/A</v>
      </c>
      <c r="BT58" t="e">
        <f>VLOOKUP($D58,BDDprix!$A:AF,32,FALSE)</f>
        <v>#N/A</v>
      </c>
      <c r="BU58" t="e">
        <f>VLOOKUP($D58,BDDprix!$A:AG,33,FALSE)</f>
        <v>#N/A</v>
      </c>
      <c r="BV58" t="e">
        <f>VLOOKUP($D58,BDDprix!$A:AH,34,FALSE)</f>
        <v>#N/A</v>
      </c>
      <c r="BW58" t="e">
        <f>VLOOKUP($D58,BDDprix!$A:AI,35,FALSE)</f>
        <v>#N/A</v>
      </c>
      <c r="BX58" t="e">
        <f>VLOOKUP($D58,BDDprix!$A:AJ,36,FALSE)</f>
        <v>#N/A</v>
      </c>
      <c r="BY58" t="e">
        <f>VLOOKUP($D58,BDDprix!$A:AK,37,FALSE)</f>
        <v>#N/A</v>
      </c>
      <c r="BZ58" t="e">
        <f>VLOOKUP($D58,BDDprix!$A:AL,38,FALSE)</f>
        <v>#N/A</v>
      </c>
      <c r="CA58" t="e">
        <f>VLOOKUP($D58,BDDprix!$A:AM,39,FALSE)</f>
        <v>#N/A</v>
      </c>
      <c r="CB58" t="e">
        <f>VLOOKUP($D58,BDDprix!$A:AN,40,FALSE)</f>
        <v>#N/A</v>
      </c>
      <c r="CC58" t="e">
        <f>VLOOKUP($D58,BDDprix!$A:AO,41,FALSE)</f>
        <v>#N/A</v>
      </c>
      <c r="CD58" t="e">
        <f>VLOOKUP($D58,BDDprix!$A:AP,42,FALSE)</f>
        <v>#N/A</v>
      </c>
      <c r="CE58" t="e">
        <f>VLOOKUP($D58,BDDprix!$A:AQ,43,FALSE)</f>
        <v>#N/A</v>
      </c>
      <c r="CF58" t="e">
        <f>VLOOKUP($D58,BDDprix!$A:AR,44,FALSE)</f>
        <v>#N/A</v>
      </c>
      <c r="CG58" t="e">
        <f>VLOOKUP($D58,BDDprix!$A:AS,45,FALSE)</f>
        <v>#N/A</v>
      </c>
      <c r="CH58" t="e">
        <f>VLOOKUP($D58,BDDprix!$A:AT,46,FALSE)</f>
        <v>#N/A</v>
      </c>
      <c r="CI58" t="e">
        <f>VLOOKUP($D58,BDDprix!$A:AU,47,FALSE)</f>
        <v>#N/A</v>
      </c>
      <c r="CJ58" t="e">
        <f>VLOOKUP($D58,BDDprix!$A:AV,48,FALSE)</f>
        <v>#N/A</v>
      </c>
      <c r="CK58" t="e">
        <f>VLOOKUP($D58,BDDprix!$A:AW,49,FALSE)</f>
        <v>#N/A</v>
      </c>
      <c r="CL58" t="str">
        <f t="shared" si="29"/>
        <v/>
      </c>
    </row>
    <row r="59" spans="1:90" hidden="1" x14ac:dyDescent="0.25">
      <c r="A59" s="208" t="str">
        <f>IF(VLOOKUP($G$3,BDD!A:EG,137,FALSE)="","",VLOOKUP($G$3,BDD!A:EG,137,FALSE))</f>
        <v/>
      </c>
      <c r="B59" s="200" t="str">
        <f t="shared" si="30"/>
        <v/>
      </c>
      <c r="C59" s="57"/>
      <c r="D59" s="202" t="str">
        <f t="shared" si="22"/>
        <v/>
      </c>
      <c r="E59" s="196"/>
      <c r="F59" s="196"/>
      <c r="G59" s="197"/>
      <c r="H59" s="197"/>
      <c r="I59" s="197"/>
      <c r="J59" s="202" t="str">
        <f t="shared" si="23"/>
        <v/>
      </c>
      <c r="K59" s="54"/>
      <c r="L59" s="202" t="str">
        <f t="shared" si="24"/>
        <v/>
      </c>
      <c r="M59" s="54"/>
      <c r="N59" s="202" t="str">
        <f t="shared" si="25"/>
        <v/>
      </c>
      <c r="O59" s="264"/>
      <c r="P59" s="62" t="str">
        <f t="shared" si="26"/>
        <v/>
      </c>
      <c r="Q59" s="63" t="str">
        <f>IF(J59="","",IF(E59=BDDprix!$A$41,SUM(0-(N59*J59)),IF($G$1=$X$5,SUM(0-(N59*J59)),SUM(N59*J59))))</f>
        <v/>
      </c>
      <c r="R59" s="64" t="str">
        <f t="shared" si="27"/>
        <v/>
      </c>
      <c r="S59" s="39"/>
      <c r="AJ59" s="201" t="str">
        <f>IF(VLOOKUP($G$3,BDD!A:HT,138,FALSE)="","",VLOOKUP($G$3,BDD!A:HT,138,FALSE))</f>
        <v/>
      </c>
      <c r="AK59" s="206" t="str">
        <f>IF(VLOOKUP($G$3,BDD!A:HU,139,FALSE)="","",VLOOKUP($G$3,BDD!A:HU,139,FALSE))</f>
        <v/>
      </c>
      <c r="AL59" s="206" t="str">
        <f>IF(VLOOKUP($G$3,BDD!A:HV,140,FALSE)="","",VLOOKUP($G$3,BDD!A:HV,140,FALSE))</f>
        <v/>
      </c>
      <c r="AM59" s="206" t="str">
        <f>IF(VLOOKUP($G$3,BDD!A:HW,141,FALSE)="","",VLOOKUP($G$3,BDD!A:HW,141,FALSE))</f>
        <v/>
      </c>
      <c r="AN59" s="167" t="str">
        <f t="shared" si="28"/>
        <v/>
      </c>
      <c r="AO59" t="str">
        <f>IF(J$10=V$2,IF(L59=AP59,AX59,IF(L59=AQ59,BC59,IF(L59=AR59,BH59,IF(L59=AS59,BM59,IF(L59=AT59,BR59,IF(L59=AU59,BW59,IF(L59=AV59,CB59,IF(L59=AW59,CG59)))))))),IF(J$10=V$3,IF(L59=AP59,AY59,IF(L59=AQ59,BD59,IF(L59=AR59,BI59,IF(L59=AS59,BN59,IF(L59=AT59,BS59,IF(L59=AU59,BX59,IF(L59=AV59,CC59,IF(L59=AW59,CH59)))))))),IF(J$10=V$4,IF(L59=AP59,AZ59,IF(L59=AQ59,BE59,IF(L59=AR59,BJ59,IF(L59=AS59,BO59,IF(L59=AT59,BT59,IF(L59=AU59,BY59,IF(L59=AV59,CD59,IF(L59=AW59,CI59)))))))),IF(J$10=V$5,IF(L59=AP59,BA59,IF(L59=AQ59,BF59,IF(L59=AR59,BK59,IF(L59=AS59,BP59,IF(L59=AT59,BU59,IF(L59=AU59,BZ59,IF(L59=AV59,CE59,IF(L59=AW59,CJ59)))))))),IF(J$10=V$6,IF(L59=AP59,BB59,IF(L59=AQ59,BG59,IF(L59=AR59,BL59,IF(L59=AS59,BQ59,sil(L59=AT59,BV59,IF(L59=AU59,CA59,IF(L59=AV59,CF59,IF(L59=AW59,CK59)))))))),(""))))))</f>
        <v/>
      </c>
      <c r="AP59" t="e">
        <f>VLOOKUP($D59,BDDprix!$A:B,2,FALSE)</f>
        <v>#N/A</v>
      </c>
      <c r="AQ59" t="e">
        <f>VLOOKUP($D59,BDDprix!$A:C,3,FALSE)</f>
        <v>#N/A</v>
      </c>
      <c r="AR59" t="e">
        <f>VLOOKUP($D59,BDDprix!$A:D,4,FALSE)</f>
        <v>#N/A</v>
      </c>
      <c r="AS59" t="e">
        <f>VLOOKUP($D59,BDDprix!$A:E,5,FALSE)</f>
        <v>#N/A</v>
      </c>
      <c r="AT59" t="e">
        <f>VLOOKUP($D59,BDDprix!$A:F,6,FALSE)</f>
        <v>#N/A</v>
      </c>
      <c r="AU59" t="e">
        <f>VLOOKUP($D59,BDDprix!$A:G,7,FALSE)</f>
        <v>#N/A</v>
      </c>
      <c r="AV59" t="e">
        <f>VLOOKUP($D59,BDDprix!$A:H,8,FALSE)</f>
        <v>#N/A</v>
      </c>
      <c r="AW59" t="e">
        <f>VLOOKUP($D59,BDDprix!$A:I,9,FALSE)</f>
        <v>#N/A</v>
      </c>
      <c r="AX59" t="e">
        <f>VLOOKUP($D59,BDDprix!$A:J,10,FALSE)</f>
        <v>#N/A</v>
      </c>
      <c r="AY59" t="e">
        <f>VLOOKUP($D59,BDDprix!$A:K,11,FALSE)</f>
        <v>#N/A</v>
      </c>
      <c r="AZ59" t="e">
        <f>VLOOKUP($D59,BDDprix!$A:L,12,FALSE)</f>
        <v>#N/A</v>
      </c>
      <c r="BA59" t="e">
        <f>VLOOKUP($D59,BDDprix!$A:M,13,FALSE)</f>
        <v>#N/A</v>
      </c>
      <c r="BB59" t="e">
        <f>VLOOKUP($D59,BDDprix!$A:N,14,FALSE)</f>
        <v>#N/A</v>
      </c>
      <c r="BC59" t="e">
        <f>VLOOKUP($D59,BDDprix!$A:O,15,FALSE)</f>
        <v>#N/A</v>
      </c>
      <c r="BD59" t="e">
        <f>VLOOKUP($D59,BDDprix!$A:P,16,FALSE)</f>
        <v>#N/A</v>
      </c>
      <c r="BE59" t="e">
        <f>VLOOKUP($D59,BDDprix!$A:Q,17,FALSE)</f>
        <v>#N/A</v>
      </c>
      <c r="BF59" t="e">
        <f>VLOOKUP($D59,BDDprix!$A:R,18,FALSE)</f>
        <v>#N/A</v>
      </c>
      <c r="BG59" t="e">
        <f>VLOOKUP($D59,BDDprix!$A:S,19,FALSE)</f>
        <v>#N/A</v>
      </c>
      <c r="BH59" t="e">
        <f>VLOOKUP($D59,BDDprix!$A:T,20,FALSE)</f>
        <v>#N/A</v>
      </c>
      <c r="BI59" t="e">
        <f>VLOOKUP($D59,BDDprix!$A:U,21,FALSE)</f>
        <v>#N/A</v>
      </c>
      <c r="BJ59" t="e">
        <f>VLOOKUP($D59,BDDprix!$A:V,22,FALSE)</f>
        <v>#N/A</v>
      </c>
      <c r="BK59" t="e">
        <f>VLOOKUP($D59,BDDprix!$A:W,23,FALSE)</f>
        <v>#N/A</v>
      </c>
      <c r="BL59" t="e">
        <f>VLOOKUP($D59,BDDprix!$A:X,24,FALSE)</f>
        <v>#N/A</v>
      </c>
      <c r="BM59" t="e">
        <f>VLOOKUP($D59,BDDprix!$A:Y,25,FALSE)</f>
        <v>#N/A</v>
      </c>
      <c r="BN59" t="e">
        <f>VLOOKUP($D59,BDDprix!$A:Z,26,FALSE)</f>
        <v>#N/A</v>
      </c>
      <c r="BO59" t="e">
        <f>VLOOKUP($D59,BDDprix!$A:AA,27,FALSE)</f>
        <v>#N/A</v>
      </c>
      <c r="BP59" t="e">
        <f>VLOOKUP($D59,BDDprix!$A:AB,28,FALSE)</f>
        <v>#N/A</v>
      </c>
      <c r="BQ59" t="e">
        <f>VLOOKUP($D59,BDDprix!$A:AC,29,FALSE)</f>
        <v>#N/A</v>
      </c>
      <c r="BR59" t="e">
        <f>VLOOKUP($D59,BDDprix!$A:AD,26,FALSE)</f>
        <v>#N/A</v>
      </c>
      <c r="BS59" t="e">
        <f>VLOOKUP($D59,BDDprix!$A:AE,31,FALSE)</f>
        <v>#N/A</v>
      </c>
      <c r="BT59" t="e">
        <f>VLOOKUP($D59,BDDprix!$A:AF,32,FALSE)</f>
        <v>#N/A</v>
      </c>
      <c r="BU59" t="e">
        <f>VLOOKUP($D59,BDDprix!$A:AG,33,FALSE)</f>
        <v>#N/A</v>
      </c>
      <c r="BV59" t="e">
        <f>VLOOKUP($D59,BDDprix!$A:AH,34,FALSE)</f>
        <v>#N/A</v>
      </c>
      <c r="BW59" t="e">
        <f>VLOOKUP($D59,BDDprix!$A:AI,35,FALSE)</f>
        <v>#N/A</v>
      </c>
      <c r="BX59" t="e">
        <f>VLOOKUP($D59,BDDprix!$A:AJ,36,FALSE)</f>
        <v>#N/A</v>
      </c>
      <c r="BY59" t="e">
        <f>VLOOKUP($D59,BDDprix!$A:AK,37,FALSE)</f>
        <v>#N/A</v>
      </c>
      <c r="BZ59" t="e">
        <f>VLOOKUP($D59,BDDprix!$A:AL,38,FALSE)</f>
        <v>#N/A</v>
      </c>
      <c r="CA59" t="e">
        <f>VLOOKUP($D59,BDDprix!$A:AM,39,FALSE)</f>
        <v>#N/A</v>
      </c>
      <c r="CB59" t="e">
        <f>VLOOKUP($D59,BDDprix!$A:AN,40,FALSE)</f>
        <v>#N/A</v>
      </c>
      <c r="CC59" t="e">
        <f>VLOOKUP($D59,BDDprix!$A:AO,41,FALSE)</f>
        <v>#N/A</v>
      </c>
      <c r="CD59" t="e">
        <f>VLOOKUP($D59,BDDprix!$A:AP,42,FALSE)</f>
        <v>#N/A</v>
      </c>
      <c r="CE59" t="e">
        <f>VLOOKUP($D59,BDDprix!$A:AQ,43,FALSE)</f>
        <v>#N/A</v>
      </c>
      <c r="CF59" t="e">
        <f>VLOOKUP($D59,BDDprix!$A:AR,44,FALSE)</f>
        <v>#N/A</v>
      </c>
      <c r="CG59" t="e">
        <f>VLOOKUP($D59,BDDprix!$A:AS,45,FALSE)</f>
        <v>#N/A</v>
      </c>
      <c r="CH59" t="e">
        <f>VLOOKUP($D59,BDDprix!$A:AT,46,FALSE)</f>
        <v>#N/A</v>
      </c>
      <c r="CI59" t="e">
        <f>VLOOKUP($D59,BDDprix!$A:AU,47,FALSE)</f>
        <v>#N/A</v>
      </c>
      <c r="CJ59" t="e">
        <f>VLOOKUP($D59,BDDprix!$A:AV,48,FALSE)</f>
        <v>#N/A</v>
      </c>
      <c r="CK59" t="e">
        <f>VLOOKUP($D59,BDDprix!$A:AW,49,FALSE)</f>
        <v>#N/A</v>
      </c>
      <c r="CL59" t="str">
        <f t="shared" si="29"/>
        <v/>
      </c>
    </row>
    <row r="60" spans="1:90" hidden="1" x14ac:dyDescent="0.25">
      <c r="A60" s="208" t="str">
        <f>IF(VLOOKUP($G$3,BDD!A:EM,143,FALSE)="","",VLOOKUP($G$3,BDD!A:EM,143,FALSE))</f>
        <v/>
      </c>
      <c r="B60" s="200" t="str">
        <f t="shared" si="30"/>
        <v/>
      </c>
      <c r="C60" s="57"/>
      <c r="D60" s="202" t="str">
        <f t="shared" si="22"/>
        <v/>
      </c>
      <c r="E60" s="196"/>
      <c r="F60" s="196"/>
      <c r="G60" s="197"/>
      <c r="H60" s="197"/>
      <c r="I60" s="197"/>
      <c r="J60" s="202" t="str">
        <f t="shared" si="23"/>
        <v/>
      </c>
      <c r="K60" s="54"/>
      <c r="L60" s="202" t="str">
        <f t="shared" si="24"/>
        <v/>
      </c>
      <c r="M60" s="54"/>
      <c r="N60" s="202" t="str">
        <f t="shared" si="25"/>
        <v/>
      </c>
      <c r="O60" s="264"/>
      <c r="P60" s="62" t="str">
        <f t="shared" si="26"/>
        <v/>
      </c>
      <c r="Q60" s="63" t="str">
        <f>IF(J60="","",IF(E60=BDDprix!$A$41,SUM(0-(N60*J60)),IF($G$1=$X$5,SUM(0-(N60*J60)),SUM(N60*J60))))</f>
        <v/>
      </c>
      <c r="R60" s="64" t="str">
        <f t="shared" si="27"/>
        <v/>
      </c>
      <c r="S60" s="39"/>
      <c r="AJ60" s="201" t="str">
        <f>IF(VLOOKUP($G$3,BDD!A:HT,144,FALSE)="","",VLOOKUP($G$3,BDD!A:HT,144,FALSE))</f>
        <v/>
      </c>
      <c r="AK60" s="206" t="str">
        <f>IF(VLOOKUP($G$3,BDD!A:HU,145,FALSE)="","",VLOOKUP($G$3,BDD!A:HU,145,FALSE))</f>
        <v/>
      </c>
      <c r="AL60" s="206" t="str">
        <f>IF(VLOOKUP($G$3,BDD!A:HV,146,FALSE)="","",VLOOKUP($G$3,BDD!A:HV,146,FALSE))</f>
        <v/>
      </c>
      <c r="AM60" s="206" t="str">
        <f>IF(VLOOKUP($G$3,BDD!A:HW,147,FALSE)="","",VLOOKUP($G$3,BDD!A:HW,147,FALSE))</f>
        <v/>
      </c>
      <c r="AN60" s="167" t="str">
        <f t="shared" si="28"/>
        <v/>
      </c>
      <c r="AO60" t="str">
        <f>IF(J$10=V$2,IF(L60=AP60,AX60,IF(L60=AQ60,BC60,IF(L60=AR60,BH60,IF(L60=AS60,BM60,IF(L60=AT60,BR60,IF(L60=AU60,BW60,IF(L60=AV60,CB60,IF(L60=AW60,CG60)))))))),IF(J$10=V$3,IF(L60=AP60,AY60,IF(L60=AQ60,BD60,IF(L60=AR60,BI60,IF(L60=AS60,BN60,IF(L60=AT60,BS60,IF(L60=AU60,BX60,IF(L60=AV60,CC60,IF(L60=AW60,CH60)))))))),IF(J$10=V$4,IF(L60=AP60,AZ60,IF(L60=AQ60,BE60,IF(L60=AR60,BJ60,IF(L60=AS60,BO60,IF(L60=AT60,BT60,IF(L60=AU60,BY60,IF(L60=AV60,CD60,IF(L60=AW60,CI60)))))))),IF(J$10=V$5,IF(L60=AP60,BA60,IF(L60=AQ60,BF60,IF(L60=AR60,BK60,IF(L60=AS60,BP60,IF(L60=AT60,BU60,IF(L60=AU60,BZ60,IF(L60=AV60,CE60,IF(L60=AW60,CJ60)))))))),IF(J$10=V$6,IF(L60=AP60,BB60,IF(L60=AQ60,BG60,IF(L60=AR60,BL60,IF(L60=AS60,BQ60,sil(L60=AT60,BV60,IF(L60=AU60,CA60,IF(L60=AV60,CF60,IF(L60=AW60,CK60)))))))),(""))))))</f>
        <v/>
      </c>
      <c r="AP60" t="e">
        <f>VLOOKUP($D60,BDDprix!$A:B,2,FALSE)</f>
        <v>#N/A</v>
      </c>
      <c r="AQ60" t="e">
        <f>VLOOKUP($D60,BDDprix!$A:C,3,FALSE)</f>
        <v>#N/A</v>
      </c>
      <c r="AR60" t="e">
        <f>VLOOKUP($D60,BDDprix!$A:D,4,FALSE)</f>
        <v>#N/A</v>
      </c>
      <c r="AS60" t="e">
        <f>VLOOKUP($D60,BDDprix!$A:E,5,FALSE)</f>
        <v>#N/A</v>
      </c>
      <c r="AT60" t="e">
        <f>VLOOKUP($D60,BDDprix!$A:F,6,FALSE)</f>
        <v>#N/A</v>
      </c>
      <c r="AU60" t="e">
        <f>VLOOKUP($D60,BDDprix!$A:G,7,FALSE)</f>
        <v>#N/A</v>
      </c>
      <c r="AV60" t="e">
        <f>VLOOKUP($D60,BDDprix!$A:H,8,FALSE)</f>
        <v>#N/A</v>
      </c>
      <c r="AW60" t="e">
        <f>VLOOKUP($D60,BDDprix!$A:I,9,FALSE)</f>
        <v>#N/A</v>
      </c>
      <c r="AX60" t="e">
        <f>VLOOKUP($D60,BDDprix!$A:J,10,FALSE)</f>
        <v>#N/A</v>
      </c>
      <c r="AY60" t="e">
        <f>VLOOKUP($D60,BDDprix!$A:K,11,FALSE)</f>
        <v>#N/A</v>
      </c>
      <c r="AZ60" t="e">
        <f>VLOOKUP($D60,BDDprix!$A:L,12,FALSE)</f>
        <v>#N/A</v>
      </c>
      <c r="BA60" t="e">
        <f>VLOOKUP($D60,BDDprix!$A:M,13,FALSE)</f>
        <v>#N/A</v>
      </c>
      <c r="BB60" t="e">
        <f>VLOOKUP($D60,BDDprix!$A:N,14,FALSE)</f>
        <v>#N/A</v>
      </c>
      <c r="BC60" t="e">
        <f>VLOOKUP($D60,BDDprix!$A:O,15,FALSE)</f>
        <v>#N/A</v>
      </c>
      <c r="BD60" t="e">
        <f>VLOOKUP($D60,BDDprix!$A:P,16,FALSE)</f>
        <v>#N/A</v>
      </c>
      <c r="BE60" t="e">
        <f>VLOOKUP($D60,BDDprix!$A:Q,17,FALSE)</f>
        <v>#N/A</v>
      </c>
      <c r="BF60" t="e">
        <f>VLOOKUP($D60,BDDprix!$A:R,18,FALSE)</f>
        <v>#N/A</v>
      </c>
      <c r="BG60" t="e">
        <f>VLOOKUP($D60,BDDprix!$A:S,19,FALSE)</f>
        <v>#N/A</v>
      </c>
      <c r="BH60" t="e">
        <f>VLOOKUP($D60,BDDprix!$A:T,20,FALSE)</f>
        <v>#N/A</v>
      </c>
      <c r="BI60" t="e">
        <f>VLOOKUP($D60,BDDprix!$A:U,21,FALSE)</f>
        <v>#N/A</v>
      </c>
      <c r="BJ60" t="e">
        <f>VLOOKUP($D60,BDDprix!$A:V,22,FALSE)</f>
        <v>#N/A</v>
      </c>
      <c r="BK60" t="e">
        <f>VLOOKUP($D60,BDDprix!$A:W,23,FALSE)</f>
        <v>#N/A</v>
      </c>
      <c r="BL60" t="e">
        <f>VLOOKUP($D60,BDDprix!$A:X,24,FALSE)</f>
        <v>#N/A</v>
      </c>
      <c r="BM60" t="e">
        <f>VLOOKUP($D60,BDDprix!$A:Y,25,FALSE)</f>
        <v>#N/A</v>
      </c>
      <c r="BN60" t="e">
        <f>VLOOKUP($D60,BDDprix!$A:Z,26,FALSE)</f>
        <v>#N/A</v>
      </c>
      <c r="BO60" t="e">
        <f>VLOOKUP($D60,BDDprix!$A:AA,27,FALSE)</f>
        <v>#N/A</v>
      </c>
      <c r="BP60" t="e">
        <f>VLOOKUP($D60,BDDprix!$A:AB,28,FALSE)</f>
        <v>#N/A</v>
      </c>
      <c r="BQ60" t="e">
        <f>VLOOKUP($D60,BDDprix!$A:AC,29,FALSE)</f>
        <v>#N/A</v>
      </c>
      <c r="BR60" t="e">
        <f>VLOOKUP($D60,BDDprix!$A:AD,26,FALSE)</f>
        <v>#N/A</v>
      </c>
      <c r="BS60" t="e">
        <f>VLOOKUP($D60,BDDprix!$A:AE,31,FALSE)</f>
        <v>#N/A</v>
      </c>
      <c r="BT60" t="e">
        <f>VLOOKUP($D60,BDDprix!$A:AF,32,FALSE)</f>
        <v>#N/A</v>
      </c>
      <c r="BU60" t="e">
        <f>VLOOKUP($D60,BDDprix!$A:AG,33,FALSE)</f>
        <v>#N/A</v>
      </c>
      <c r="BV60" t="e">
        <f>VLOOKUP($D60,BDDprix!$A:AH,34,FALSE)</f>
        <v>#N/A</v>
      </c>
      <c r="BW60" t="e">
        <f>VLOOKUP($D60,BDDprix!$A:AI,35,FALSE)</f>
        <v>#N/A</v>
      </c>
      <c r="BX60" t="e">
        <f>VLOOKUP($D60,BDDprix!$A:AJ,36,FALSE)</f>
        <v>#N/A</v>
      </c>
      <c r="BY60" t="e">
        <f>VLOOKUP($D60,BDDprix!$A:AK,37,FALSE)</f>
        <v>#N/A</v>
      </c>
      <c r="BZ60" t="e">
        <f>VLOOKUP($D60,BDDprix!$A:AL,38,FALSE)</f>
        <v>#N/A</v>
      </c>
      <c r="CA60" t="e">
        <f>VLOOKUP($D60,BDDprix!$A:AM,39,FALSE)</f>
        <v>#N/A</v>
      </c>
      <c r="CB60" t="e">
        <f>VLOOKUP($D60,BDDprix!$A:AN,40,FALSE)</f>
        <v>#N/A</v>
      </c>
      <c r="CC60" t="e">
        <f>VLOOKUP($D60,BDDprix!$A:AO,41,FALSE)</f>
        <v>#N/A</v>
      </c>
      <c r="CD60" t="e">
        <f>VLOOKUP($D60,BDDprix!$A:AP,42,FALSE)</f>
        <v>#N/A</v>
      </c>
      <c r="CE60" t="e">
        <f>VLOOKUP($D60,BDDprix!$A:AQ,43,FALSE)</f>
        <v>#N/A</v>
      </c>
      <c r="CF60" t="e">
        <f>VLOOKUP($D60,BDDprix!$A:AR,44,FALSE)</f>
        <v>#N/A</v>
      </c>
      <c r="CG60" t="e">
        <f>VLOOKUP($D60,BDDprix!$A:AS,45,FALSE)</f>
        <v>#N/A</v>
      </c>
      <c r="CH60" t="e">
        <f>VLOOKUP($D60,BDDprix!$A:AT,46,FALSE)</f>
        <v>#N/A</v>
      </c>
      <c r="CI60" t="e">
        <f>VLOOKUP($D60,BDDprix!$A:AU,47,FALSE)</f>
        <v>#N/A</v>
      </c>
      <c r="CJ60" t="e">
        <f>VLOOKUP($D60,BDDprix!$A:AV,48,FALSE)</f>
        <v>#N/A</v>
      </c>
      <c r="CK60" t="e">
        <f>VLOOKUP($D60,BDDprix!$A:AW,49,FALSE)</f>
        <v>#N/A</v>
      </c>
      <c r="CL60" t="str">
        <f t="shared" si="29"/>
        <v/>
      </c>
    </row>
    <row r="61" spans="1:90" hidden="1" x14ac:dyDescent="0.25">
      <c r="A61" s="208" t="str">
        <f>IF(VLOOKUP($G$3,BDD!A:ES,149,FALSE)="","",VLOOKUP($G$3,BDD!A:ES,149,FALSE))</f>
        <v/>
      </c>
      <c r="B61" s="200" t="str">
        <f t="shared" si="30"/>
        <v/>
      </c>
      <c r="C61" s="57"/>
      <c r="D61" s="202" t="str">
        <f t="shared" si="22"/>
        <v/>
      </c>
      <c r="E61" s="196"/>
      <c r="F61" s="196"/>
      <c r="G61" s="197"/>
      <c r="H61" s="197"/>
      <c r="I61" s="197"/>
      <c r="J61" s="202" t="str">
        <f t="shared" si="23"/>
        <v/>
      </c>
      <c r="K61" s="54"/>
      <c r="L61" s="202" t="str">
        <f t="shared" si="24"/>
        <v/>
      </c>
      <c r="M61" s="54"/>
      <c r="N61" s="202" t="str">
        <f t="shared" si="25"/>
        <v/>
      </c>
      <c r="O61" s="264"/>
      <c r="P61" s="62" t="str">
        <f t="shared" si="26"/>
        <v/>
      </c>
      <c r="Q61" s="63" t="str">
        <f>IF(J61="","",IF(E61=BDDprix!$A$41,SUM(0-(N61*J61)),IF($G$1=$X$5,SUM(0-(N61*J61)),SUM(N61*J61))))</f>
        <v/>
      </c>
      <c r="R61" s="64" t="str">
        <f t="shared" si="27"/>
        <v/>
      </c>
      <c r="S61" s="39"/>
      <c r="AJ61" s="201" t="str">
        <f>IF(VLOOKUP($G$3,BDD!A:HT,150,FALSE)="","",VLOOKUP($G$3,BDD!A:HT,150,FALSE))</f>
        <v/>
      </c>
      <c r="AK61" s="206" t="str">
        <f>IF(VLOOKUP($G$3,BDD!A:HU,151,FALSE)="","",VLOOKUP($G$3,BDD!A:HU,151,FALSE))</f>
        <v/>
      </c>
      <c r="AL61" s="206" t="str">
        <f>IF(VLOOKUP($G$3,BDD!A:HV,152,FALSE)="","",VLOOKUP($G$3,BDD!A:HV,152,FALSE))</f>
        <v/>
      </c>
      <c r="AM61" s="206" t="str">
        <f>IF(VLOOKUP($G$3,BDD!A:HW,153,FALSE)="","",VLOOKUP($G$3,BDD!A:HW,153,FALSE))</f>
        <v/>
      </c>
      <c r="AN61" s="167" t="str">
        <f t="shared" si="28"/>
        <v/>
      </c>
      <c r="AO61" t="str">
        <f>IF(J$10=V$2,IF(L61=AP61,AX61,IF(L61=AQ61,BC61,IF(L61=AR61,BH61,IF(L61=AS61,BM61,IF(L61=AT61,BR61,IF(L61=AU61,BW61,IF(L61=AV61,CB61,IF(L61=AW61,CG61)))))))),IF(J$10=V$3,IF(L61=AP61,AY61,IF(L61=AQ61,BD61,IF(L61=AR61,BI61,IF(L61=AS61,BN61,IF(L61=AT61,BS61,IF(L61=AU61,BX61,IF(L61=AV61,CC61,IF(L61=AW61,CH61)))))))),IF(J$10=V$4,IF(L61=AP61,AZ61,IF(L61=AQ61,BE61,IF(L61=AR61,BJ61,IF(L61=AS61,BO61,IF(L61=AT61,BT61,IF(L61=AU61,BY61,IF(L61=AV61,CD61,IF(L61=AW61,CI61)))))))),IF(J$10=V$5,IF(L61=AP61,BA61,IF(L61=AQ61,BF61,IF(L61=AR61,BK61,IF(L61=AS61,BP61,IF(L61=AT61,BU61,IF(L61=AU61,BZ61,IF(L61=AV61,CE61,IF(L61=AW61,CJ61)))))))),IF(J$10=V$6,IF(L61=AP61,BB61,IF(L61=AQ61,BG61,IF(L61=AR61,BL61,IF(L61=AS61,BQ61,sil(L61=AT61,BV61,IF(L61=AU61,CA61,IF(L61=AV61,CF61,IF(L61=AW61,CK61)))))))),(""))))))</f>
        <v/>
      </c>
      <c r="AP61" t="e">
        <f>VLOOKUP($D61,BDDprix!$A:B,2,FALSE)</f>
        <v>#N/A</v>
      </c>
      <c r="AQ61" t="e">
        <f>VLOOKUP($D61,BDDprix!$A:C,3,FALSE)</f>
        <v>#N/A</v>
      </c>
      <c r="AR61" t="e">
        <f>VLOOKUP($D61,BDDprix!$A:D,4,FALSE)</f>
        <v>#N/A</v>
      </c>
      <c r="AS61" t="e">
        <f>VLOOKUP($D61,BDDprix!$A:E,5,FALSE)</f>
        <v>#N/A</v>
      </c>
      <c r="AT61" t="e">
        <f>VLOOKUP($D61,BDDprix!$A:F,6,FALSE)</f>
        <v>#N/A</v>
      </c>
      <c r="AU61" t="e">
        <f>VLOOKUP($D61,BDDprix!$A:G,7,FALSE)</f>
        <v>#N/A</v>
      </c>
      <c r="AV61" t="e">
        <f>VLOOKUP($D61,BDDprix!$A:H,8,FALSE)</f>
        <v>#N/A</v>
      </c>
      <c r="AW61" t="e">
        <f>VLOOKUP($D61,BDDprix!$A:I,9,FALSE)</f>
        <v>#N/A</v>
      </c>
      <c r="AX61" t="e">
        <f>VLOOKUP($D61,BDDprix!$A:J,10,FALSE)</f>
        <v>#N/A</v>
      </c>
      <c r="AY61" t="e">
        <f>VLOOKUP($D61,BDDprix!$A:K,11,FALSE)</f>
        <v>#N/A</v>
      </c>
      <c r="AZ61" t="e">
        <f>VLOOKUP($D61,BDDprix!$A:L,12,FALSE)</f>
        <v>#N/A</v>
      </c>
      <c r="BA61" t="e">
        <f>VLOOKUP($D61,BDDprix!$A:M,13,FALSE)</f>
        <v>#N/A</v>
      </c>
      <c r="BB61" t="e">
        <f>VLOOKUP($D61,BDDprix!$A:N,14,FALSE)</f>
        <v>#N/A</v>
      </c>
      <c r="BC61" t="e">
        <f>VLOOKUP($D61,BDDprix!$A:O,15,FALSE)</f>
        <v>#N/A</v>
      </c>
      <c r="BD61" t="e">
        <f>VLOOKUP($D61,BDDprix!$A:P,16,FALSE)</f>
        <v>#N/A</v>
      </c>
      <c r="BE61" t="e">
        <f>VLOOKUP($D61,BDDprix!$A:Q,17,FALSE)</f>
        <v>#N/A</v>
      </c>
      <c r="BF61" t="e">
        <f>VLOOKUP($D61,BDDprix!$A:R,18,FALSE)</f>
        <v>#N/A</v>
      </c>
      <c r="BG61" t="e">
        <f>VLOOKUP($D61,BDDprix!$A:S,19,FALSE)</f>
        <v>#N/A</v>
      </c>
      <c r="BH61" t="e">
        <f>VLOOKUP($D61,BDDprix!$A:T,20,FALSE)</f>
        <v>#N/A</v>
      </c>
      <c r="BI61" t="e">
        <f>VLOOKUP($D61,BDDprix!$A:U,21,FALSE)</f>
        <v>#N/A</v>
      </c>
      <c r="BJ61" t="e">
        <f>VLOOKUP($D61,BDDprix!$A:V,22,FALSE)</f>
        <v>#N/A</v>
      </c>
      <c r="BK61" t="e">
        <f>VLOOKUP($D61,BDDprix!$A:W,23,FALSE)</f>
        <v>#N/A</v>
      </c>
      <c r="BL61" t="e">
        <f>VLOOKUP($D61,BDDprix!$A:X,24,FALSE)</f>
        <v>#N/A</v>
      </c>
      <c r="BM61" t="e">
        <f>VLOOKUP($D61,BDDprix!$A:Y,25,FALSE)</f>
        <v>#N/A</v>
      </c>
      <c r="BN61" t="e">
        <f>VLOOKUP($D61,BDDprix!$A:Z,26,FALSE)</f>
        <v>#N/A</v>
      </c>
      <c r="BO61" t="e">
        <f>VLOOKUP($D61,BDDprix!$A:AA,27,FALSE)</f>
        <v>#N/A</v>
      </c>
      <c r="BP61" t="e">
        <f>VLOOKUP($D61,BDDprix!$A:AB,28,FALSE)</f>
        <v>#N/A</v>
      </c>
      <c r="BQ61" t="e">
        <f>VLOOKUP($D61,BDDprix!$A:AC,29,FALSE)</f>
        <v>#N/A</v>
      </c>
      <c r="BR61" t="e">
        <f>VLOOKUP($D61,BDDprix!$A:AD,26,FALSE)</f>
        <v>#N/A</v>
      </c>
      <c r="BS61" t="e">
        <f>VLOOKUP($D61,BDDprix!$A:AE,31,FALSE)</f>
        <v>#N/A</v>
      </c>
      <c r="BT61" t="e">
        <f>VLOOKUP($D61,BDDprix!$A:AF,32,FALSE)</f>
        <v>#N/A</v>
      </c>
      <c r="BU61" t="e">
        <f>VLOOKUP($D61,BDDprix!$A:AG,33,FALSE)</f>
        <v>#N/A</v>
      </c>
      <c r="BV61" t="e">
        <f>VLOOKUP($D61,BDDprix!$A:AH,34,FALSE)</f>
        <v>#N/A</v>
      </c>
      <c r="BW61" t="e">
        <f>VLOOKUP($D61,BDDprix!$A:AI,35,FALSE)</f>
        <v>#N/A</v>
      </c>
      <c r="BX61" t="e">
        <f>VLOOKUP($D61,BDDprix!$A:AJ,36,FALSE)</f>
        <v>#N/A</v>
      </c>
      <c r="BY61" t="e">
        <f>VLOOKUP($D61,BDDprix!$A:AK,37,FALSE)</f>
        <v>#N/A</v>
      </c>
      <c r="BZ61" t="e">
        <f>VLOOKUP($D61,BDDprix!$A:AL,38,FALSE)</f>
        <v>#N/A</v>
      </c>
      <c r="CA61" t="e">
        <f>VLOOKUP($D61,BDDprix!$A:AM,39,FALSE)</f>
        <v>#N/A</v>
      </c>
      <c r="CB61" t="e">
        <f>VLOOKUP($D61,BDDprix!$A:AN,40,FALSE)</f>
        <v>#N/A</v>
      </c>
      <c r="CC61" t="e">
        <f>VLOOKUP($D61,BDDprix!$A:AO,41,FALSE)</f>
        <v>#N/A</v>
      </c>
      <c r="CD61" t="e">
        <f>VLOOKUP($D61,BDDprix!$A:AP,42,FALSE)</f>
        <v>#N/A</v>
      </c>
      <c r="CE61" t="e">
        <f>VLOOKUP($D61,BDDprix!$A:AQ,43,FALSE)</f>
        <v>#N/A</v>
      </c>
      <c r="CF61" t="e">
        <f>VLOOKUP($D61,BDDprix!$A:AR,44,FALSE)</f>
        <v>#N/A</v>
      </c>
      <c r="CG61" t="e">
        <f>VLOOKUP($D61,BDDprix!$A:AS,45,FALSE)</f>
        <v>#N/A</v>
      </c>
      <c r="CH61" t="e">
        <f>VLOOKUP($D61,BDDprix!$A:AT,46,FALSE)</f>
        <v>#N/A</v>
      </c>
      <c r="CI61" t="e">
        <f>VLOOKUP($D61,BDDprix!$A:AU,47,FALSE)</f>
        <v>#N/A</v>
      </c>
      <c r="CJ61" t="e">
        <f>VLOOKUP($D61,BDDprix!$A:AV,48,FALSE)</f>
        <v>#N/A</v>
      </c>
      <c r="CK61" t="e">
        <f>VLOOKUP($D61,BDDprix!$A:AW,49,FALSE)</f>
        <v>#N/A</v>
      </c>
      <c r="CL61" t="str">
        <f t="shared" si="29"/>
        <v/>
      </c>
    </row>
    <row r="62" spans="1:90" hidden="1" x14ac:dyDescent="0.25">
      <c r="A62" s="208" t="str">
        <f>IF(VLOOKUP($G$3,BDD!A:EY,155,FALSE)="","",VLOOKUP($G$3,BDD!A:EY,155,FALSE))</f>
        <v/>
      </c>
      <c r="B62" s="200" t="str">
        <f t="shared" si="30"/>
        <v/>
      </c>
      <c r="C62" s="57"/>
      <c r="D62" s="202" t="str">
        <f t="shared" si="22"/>
        <v/>
      </c>
      <c r="E62" s="196"/>
      <c r="F62" s="196"/>
      <c r="G62" s="197"/>
      <c r="H62" s="197"/>
      <c r="I62" s="197"/>
      <c r="J62" s="202" t="str">
        <f t="shared" si="23"/>
        <v/>
      </c>
      <c r="K62" s="54"/>
      <c r="L62" s="202" t="str">
        <f t="shared" si="24"/>
        <v/>
      </c>
      <c r="M62" s="54"/>
      <c r="N62" s="202" t="str">
        <f t="shared" si="25"/>
        <v/>
      </c>
      <c r="O62" s="264"/>
      <c r="P62" s="62" t="str">
        <f t="shared" si="26"/>
        <v/>
      </c>
      <c r="Q62" s="63" t="str">
        <f>IF(J62="","",IF(E62=BDDprix!$A$41,SUM(0-(N62*J62)),IF($G$1=$X$5,SUM(0-(N62*J62)),SUM(N62*J62))))</f>
        <v/>
      </c>
      <c r="R62" s="64" t="str">
        <f t="shared" si="27"/>
        <v/>
      </c>
      <c r="S62" s="39"/>
      <c r="AJ62" s="201" t="str">
        <f>IF(VLOOKUP($G$3,BDD!A:HT,156,FALSE)="","",VLOOKUP($G$3,BDD!A:HT,156,FALSE))</f>
        <v/>
      </c>
      <c r="AK62" s="206" t="str">
        <f>IF(VLOOKUP($G$3,BDD!A:HU,157,FALSE)="","",VLOOKUP($G$3,BDD!A:HU,157,FALSE))</f>
        <v/>
      </c>
      <c r="AL62" s="206" t="str">
        <f>IF(VLOOKUP($G$3,BDD!A:HV,158,FALSE)="","",VLOOKUP($G$3,BDD!A:HV,158,FALSE))</f>
        <v/>
      </c>
      <c r="AM62" s="206" t="str">
        <f>IF(VLOOKUP($G$3,BDD!A:HW,159,FALSE)="","",VLOOKUP($G$3,BDD!A:HW,159,FALSE))</f>
        <v/>
      </c>
      <c r="AN62" s="167" t="str">
        <f t="shared" si="28"/>
        <v/>
      </c>
      <c r="AO62" t="str">
        <f>IF(J$10=V$2,IF(L62=AP62,AX62,IF(L62=AQ62,BC62,IF(L62=AR62,BH62,IF(L62=AS62,BM62,IF(L62=AT62,BR62,IF(L62=AU62,BW62,IF(L62=AV62,CB62,IF(L62=AW62,CG62)))))))),IF(J$10=V$3,IF(L62=AP62,AY62,IF(L62=AQ62,BD62,IF(L62=AR62,BI62,IF(L62=AS62,BN62,IF(L62=AT62,BS62,IF(L62=AU62,BX62,IF(L62=AV62,CC62,IF(L62=AW62,CH62)))))))),IF(J$10=V$4,IF(L62=AP62,AZ62,IF(L62=AQ62,BE62,IF(L62=AR62,BJ62,IF(L62=AS62,BO62,IF(L62=AT62,BT62,IF(L62=AU62,BY62,IF(L62=AV62,CD62,IF(L62=AW62,CI62)))))))),IF(J$10=V$5,IF(L62=AP62,BA62,IF(L62=AQ62,BF62,IF(L62=AR62,BK62,IF(L62=AS62,BP62,IF(L62=AT62,BU62,IF(L62=AU62,BZ62,IF(L62=AV62,CE62,IF(L62=AW62,CJ62)))))))),IF(J$10=V$6,IF(L62=AP62,BB62,IF(L62=AQ62,BG62,IF(L62=AR62,BL62,IF(L62=AS62,BQ62,sil(L62=AT62,BV62,IF(L62=AU62,CA62,IF(L62=AV62,CF62,IF(L62=AW62,CK62)))))))),(""))))))</f>
        <v/>
      </c>
      <c r="AP62" t="e">
        <f>VLOOKUP($D62,BDDprix!$A:B,2,FALSE)</f>
        <v>#N/A</v>
      </c>
      <c r="AQ62" t="e">
        <f>VLOOKUP($D62,BDDprix!$A:C,3,FALSE)</f>
        <v>#N/A</v>
      </c>
      <c r="AR62" t="e">
        <f>VLOOKUP($D62,BDDprix!$A:D,4,FALSE)</f>
        <v>#N/A</v>
      </c>
      <c r="AS62" t="e">
        <f>VLOOKUP($D62,BDDprix!$A:E,5,FALSE)</f>
        <v>#N/A</v>
      </c>
      <c r="AT62" t="e">
        <f>VLOOKUP($D62,BDDprix!$A:F,6,FALSE)</f>
        <v>#N/A</v>
      </c>
      <c r="AU62" t="e">
        <f>VLOOKUP($D62,BDDprix!$A:G,7,FALSE)</f>
        <v>#N/A</v>
      </c>
      <c r="AV62" t="e">
        <f>VLOOKUP($D62,BDDprix!$A:H,8,FALSE)</f>
        <v>#N/A</v>
      </c>
      <c r="AW62" t="e">
        <f>VLOOKUP($D62,BDDprix!$A:I,9,FALSE)</f>
        <v>#N/A</v>
      </c>
      <c r="AX62" t="e">
        <f>VLOOKUP($D62,BDDprix!$A:J,10,FALSE)</f>
        <v>#N/A</v>
      </c>
      <c r="AY62" t="e">
        <f>VLOOKUP($D62,BDDprix!$A:K,11,FALSE)</f>
        <v>#N/A</v>
      </c>
      <c r="AZ62" t="e">
        <f>VLOOKUP($D62,BDDprix!$A:L,12,FALSE)</f>
        <v>#N/A</v>
      </c>
      <c r="BA62" t="e">
        <f>VLOOKUP($D62,BDDprix!$A:M,13,FALSE)</f>
        <v>#N/A</v>
      </c>
      <c r="BB62" t="e">
        <f>VLOOKUP($D62,BDDprix!$A:N,14,FALSE)</f>
        <v>#N/A</v>
      </c>
      <c r="BC62" t="e">
        <f>VLOOKUP($D62,BDDprix!$A:O,15,FALSE)</f>
        <v>#N/A</v>
      </c>
      <c r="BD62" t="e">
        <f>VLOOKUP($D62,BDDprix!$A:P,16,FALSE)</f>
        <v>#N/A</v>
      </c>
      <c r="BE62" t="e">
        <f>VLOOKUP($D62,BDDprix!$A:Q,17,FALSE)</f>
        <v>#N/A</v>
      </c>
      <c r="BF62" t="e">
        <f>VLOOKUP($D62,BDDprix!$A:R,18,FALSE)</f>
        <v>#N/A</v>
      </c>
      <c r="BG62" t="e">
        <f>VLOOKUP($D62,BDDprix!$A:S,19,FALSE)</f>
        <v>#N/A</v>
      </c>
      <c r="BH62" t="e">
        <f>VLOOKUP($D62,BDDprix!$A:T,20,FALSE)</f>
        <v>#N/A</v>
      </c>
      <c r="BI62" t="e">
        <f>VLOOKUP($D62,BDDprix!$A:U,21,FALSE)</f>
        <v>#N/A</v>
      </c>
      <c r="BJ62" t="e">
        <f>VLOOKUP($D62,BDDprix!$A:V,22,FALSE)</f>
        <v>#N/A</v>
      </c>
      <c r="BK62" t="e">
        <f>VLOOKUP($D62,BDDprix!$A:W,23,FALSE)</f>
        <v>#N/A</v>
      </c>
      <c r="BL62" t="e">
        <f>VLOOKUP($D62,BDDprix!$A:X,24,FALSE)</f>
        <v>#N/A</v>
      </c>
      <c r="BM62" t="e">
        <f>VLOOKUP($D62,BDDprix!$A:Y,25,FALSE)</f>
        <v>#N/A</v>
      </c>
      <c r="BN62" t="e">
        <f>VLOOKUP($D62,BDDprix!$A:Z,26,FALSE)</f>
        <v>#N/A</v>
      </c>
      <c r="BO62" t="e">
        <f>VLOOKUP($D62,BDDprix!$A:AA,27,FALSE)</f>
        <v>#N/A</v>
      </c>
      <c r="BP62" t="e">
        <f>VLOOKUP($D62,BDDprix!$A:AB,28,FALSE)</f>
        <v>#N/A</v>
      </c>
      <c r="BQ62" t="e">
        <f>VLOOKUP($D62,BDDprix!$A:AC,29,FALSE)</f>
        <v>#N/A</v>
      </c>
      <c r="BR62" t="e">
        <f>VLOOKUP($D62,BDDprix!$A:AD,26,FALSE)</f>
        <v>#N/A</v>
      </c>
      <c r="BS62" t="e">
        <f>VLOOKUP($D62,BDDprix!$A:AE,31,FALSE)</f>
        <v>#N/A</v>
      </c>
      <c r="BT62" t="e">
        <f>VLOOKUP($D62,BDDprix!$A:AF,32,FALSE)</f>
        <v>#N/A</v>
      </c>
      <c r="BU62" t="e">
        <f>VLOOKUP($D62,BDDprix!$A:AG,33,FALSE)</f>
        <v>#N/A</v>
      </c>
      <c r="BV62" t="e">
        <f>VLOOKUP($D62,BDDprix!$A:AH,34,FALSE)</f>
        <v>#N/A</v>
      </c>
      <c r="BW62" t="e">
        <f>VLOOKUP($D62,BDDprix!$A:AI,35,FALSE)</f>
        <v>#N/A</v>
      </c>
      <c r="BX62" t="e">
        <f>VLOOKUP($D62,BDDprix!$A:AJ,36,FALSE)</f>
        <v>#N/A</v>
      </c>
      <c r="BY62" t="e">
        <f>VLOOKUP($D62,BDDprix!$A:AK,37,FALSE)</f>
        <v>#N/A</v>
      </c>
      <c r="BZ62" t="e">
        <f>VLOOKUP($D62,BDDprix!$A:AL,38,FALSE)</f>
        <v>#N/A</v>
      </c>
      <c r="CA62" t="e">
        <f>VLOOKUP($D62,BDDprix!$A:AM,39,FALSE)</f>
        <v>#N/A</v>
      </c>
      <c r="CB62" t="e">
        <f>VLOOKUP($D62,BDDprix!$A:AN,40,FALSE)</f>
        <v>#N/A</v>
      </c>
      <c r="CC62" t="e">
        <f>VLOOKUP($D62,BDDprix!$A:AO,41,FALSE)</f>
        <v>#N/A</v>
      </c>
      <c r="CD62" t="e">
        <f>VLOOKUP($D62,BDDprix!$A:AP,42,FALSE)</f>
        <v>#N/A</v>
      </c>
      <c r="CE62" t="e">
        <f>VLOOKUP($D62,BDDprix!$A:AQ,43,FALSE)</f>
        <v>#N/A</v>
      </c>
      <c r="CF62" t="e">
        <f>VLOOKUP($D62,BDDprix!$A:AR,44,FALSE)</f>
        <v>#N/A</v>
      </c>
      <c r="CG62" t="e">
        <f>VLOOKUP($D62,BDDprix!$A:AS,45,FALSE)</f>
        <v>#N/A</v>
      </c>
      <c r="CH62" t="e">
        <f>VLOOKUP($D62,BDDprix!$A:AT,46,FALSE)</f>
        <v>#N/A</v>
      </c>
      <c r="CI62" t="e">
        <f>VLOOKUP($D62,BDDprix!$A:AU,47,FALSE)</f>
        <v>#N/A</v>
      </c>
      <c r="CJ62" t="e">
        <f>VLOOKUP($D62,BDDprix!$A:AV,48,FALSE)</f>
        <v>#N/A</v>
      </c>
      <c r="CK62" t="e">
        <f>VLOOKUP($D62,BDDprix!$A:AW,49,FALSE)</f>
        <v>#N/A</v>
      </c>
      <c r="CL62" t="str">
        <f t="shared" si="29"/>
        <v/>
      </c>
    </row>
    <row r="63" spans="1:90" hidden="1" x14ac:dyDescent="0.25">
      <c r="A63" s="208" t="str">
        <f>IF(VLOOKUP($G$3,BDD!A:FE,161,FALSE)="","",VLOOKUP($G$3,BDD!A:FE,161,FALSE))</f>
        <v/>
      </c>
      <c r="B63" s="200" t="str">
        <f t="shared" si="30"/>
        <v/>
      </c>
      <c r="C63" s="57"/>
      <c r="D63" s="202" t="str">
        <f t="shared" si="22"/>
        <v/>
      </c>
      <c r="E63" s="196"/>
      <c r="F63" s="196"/>
      <c r="G63" s="197"/>
      <c r="H63" s="197"/>
      <c r="I63" s="197"/>
      <c r="J63" s="202" t="str">
        <f t="shared" si="23"/>
        <v/>
      </c>
      <c r="K63" s="54"/>
      <c r="L63" s="202" t="str">
        <f t="shared" si="24"/>
        <v/>
      </c>
      <c r="M63" s="54"/>
      <c r="N63" s="202" t="str">
        <f t="shared" si="25"/>
        <v/>
      </c>
      <c r="O63" s="264"/>
      <c r="P63" s="62" t="str">
        <f t="shared" si="26"/>
        <v/>
      </c>
      <c r="Q63" s="63" t="str">
        <f>IF(J63="","",IF(E63=BDDprix!$A$41,SUM(0-(N63*J63)),IF($G$1=$X$5,SUM(0-(N63*J63)),SUM(N63*J63))))</f>
        <v/>
      </c>
      <c r="R63" s="64" t="str">
        <f t="shared" si="27"/>
        <v/>
      </c>
      <c r="S63" s="39"/>
      <c r="AJ63" s="201" t="str">
        <f>IF(VLOOKUP($G$3,BDD!A:HT,162,FALSE)="","",VLOOKUP($G$3,BDD!A:HT,162,FALSE))</f>
        <v/>
      </c>
      <c r="AK63" s="206" t="str">
        <f>IF(VLOOKUP($G$3,BDD!A:HU,163,FALSE)="","",VLOOKUP($G$3,BDD!A:HU,163,FALSE))</f>
        <v/>
      </c>
      <c r="AL63" s="206" t="str">
        <f>IF(VLOOKUP($G$3,BDD!A:HV,164,FALSE)="","",VLOOKUP($G$3,BDD!A:HV,164,FALSE))</f>
        <v/>
      </c>
      <c r="AM63" s="206" t="str">
        <f>IF(VLOOKUP($G$3,BDD!A:HW,165,FALSE)="","",VLOOKUP($G$3,BDD!A:HW,165,FALSE))</f>
        <v/>
      </c>
      <c r="AN63" s="167" t="str">
        <f t="shared" si="28"/>
        <v/>
      </c>
      <c r="AO63" t="str">
        <f>IF(J$10=V$2,IF(L63=AP63,AX63,IF(L63=AQ63,BC63,IF(L63=AR63,BH63,IF(L63=AS63,BM63,IF(L63=AT63,BR63,IF(L63=AU63,BW63,IF(L63=AV63,CB63,IF(L63=AW63,CG63)))))))),IF(J$10=V$3,IF(L63=AP63,AY63,IF(L63=AQ63,BD63,IF(L63=AR63,BI63,IF(L63=AS63,BN63,IF(L63=AT63,BS63,IF(L63=AU63,BX63,IF(L63=AV63,CC63,IF(L63=AW63,CH63)))))))),IF(J$10=V$4,IF(L63=AP63,AZ63,IF(L63=AQ63,BE63,IF(L63=AR63,BJ63,IF(L63=AS63,BO63,IF(L63=AT63,BT63,IF(L63=AU63,BY63,IF(L63=AV63,CD63,IF(L63=AW63,CI63)))))))),IF(J$10=V$5,IF(L63=AP63,BA63,IF(L63=AQ63,BF63,IF(L63=AR63,BK63,IF(L63=AS63,BP63,IF(L63=AT63,BU63,IF(L63=AU63,BZ63,IF(L63=AV63,CE63,IF(L63=AW63,CJ63)))))))),IF(J$10=V$6,IF(L63=AP63,BB63,IF(L63=AQ63,BG63,IF(L63=AR63,BL63,IF(L63=AS63,BQ63,sil(L63=AT63,BV63,IF(L63=AU63,CA63,IF(L63=AV63,CF63,IF(L63=AW63,CK63)))))))),(""))))))</f>
        <v/>
      </c>
      <c r="AP63" t="e">
        <f>VLOOKUP($D63,BDDprix!$A:B,2,FALSE)</f>
        <v>#N/A</v>
      </c>
      <c r="AQ63" t="e">
        <f>VLOOKUP($D63,BDDprix!$A:C,3,FALSE)</f>
        <v>#N/A</v>
      </c>
      <c r="AR63" t="e">
        <f>VLOOKUP($D63,BDDprix!$A:D,4,FALSE)</f>
        <v>#N/A</v>
      </c>
      <c r="AS63" t="e">
        <f>VLOOKUP($D63,BDDprix!$A:E,5,FALSE)</f>
        <v>#N/A</v>
      </c>
      <c r="AT63" t="e">
        <f>VLOOKUP($D63,BDDprix!$A:F,6,FALSE)</f>
        <v>#N/A</v>
      </c>
      <c r="AU63" t="e">
        <f>VLOOKUP($D63,BDDprix!$A:G,7,FALSE)</f>
        <v>#N/A</v>
      </c>
      <c r="AV63" t="e">
        <f>VLOOKUP($D63,BDDprix!$A:H,8,FALSE)</f>
        <v>#N/A</v>
      </c>
      <c r="AW63" t="e">
        <f>VLOOKUP($D63,BDDprix!$A:I,9,FALSE)</f>
        <v>#N/A</v>
      </c>
      <c r="AX63" t="e">
        <f>VLOOKUP($D63,BDDprix!$A:J,10,FALSE)</f>
        <v>#N/A</v>
      </c>
      <c r="AY63" t="e">
        <f>VLOOKUP($D63,BDDprix!$A:K,11,FALSE)</f>
        <v>#N/A</v>
      </c>
      <c r="AZ63" t="e">
        <f>VLOOKUP($D63,BDDprix!$A:L,12,FALSE)</f>
        <v>#N/A</v>
      </c>
      <c r="BA63" t="e">
        <f>VLOOKUP($D63,BDDprix!$A:M,13,FALSE)</f>
        <v>#N/A</v>
      </c>
      <c r="BB63" t="e">
        <f>VLOOKUP($D63,BDDprix!$A:N,14,FALSE)</f>
        <v>#N/A</v>
      </c>
      <c r="BC63" t="e">
        <f>VLOOKUP($D63,BDDprix!$A:O,15,FALSE)</f>
        <v>#N/A</v>
      </c>
      <c r="BD63" t="e">
        <f>VLOOKUP($D63,BDDprix!$A:P,16,FALSE)</f>
        <v>#N/A</v>
      </c>
      <c r="BE63" t="e">
        <f>VLOOKUP($D63,BDDprix!$A:Q,17,FALSE)</f>
        <v>#N/A</v>
      </c>
      <c r="BF63" t="e">
        <f>VLOOKUP($D63,BDDprix!$A:R,18,FALSE)</f>
        <v>#N/A</v>
      </c>
      <c r="BG63" t="e">
        <f>VLOOKUP($D63,BDDprix!$A:S,19,FALSE)</f>
        <v>#N/A</v>
      </c>
      <c r="BH63" t="e">
        <f>VLOOKUP($D63,BDDprix!$A:T,20,FALSE)</f>
        <v>#N/A</v>
      </c>
      <c r="BI63" t="e">
        <f>VLOOKUP($D63,BDDprix!$A:U,21,FALSE)</f>
        <v>#N/A</v>
      </c>
      <c r="BJ63" t="e">
        <f>VLOOKUP($D63,BDDprix!$A:V,22,FALSE)</f>
        <v>#N/A</v>
      </c>
      <c r="BK63" t="e">
        <f>VLOOKUP($D63,BDDprix!$A:W,23,FALSE)</f>
        <v>#N/A</v>
      </c>
      <c r="BL63" t="e">
        <f>VLOOKUP($D63,BDDprix!$A:X,24,FALSE)</f>
        <v>#N/A</v>
      </c>
      <c r="BM63" t="e">
        <f>VLOOKUP($D63,BDDprix!$A:Y,25,FALSE)</f>
        <v>#N/A</v>
      </c>
      <c r="BN63" t="e">
        <f>VLOOKUP($D63,BDDprix!$A:Z,26,FALSE)</f>
        <v>#N/A</v>
      </c>
      <c r="BO63" t="e">
        <f>VLOOKUP($D63,BDDprix!$A:AA,27,FALSE)</f>
        <v>#N/A</v>
      </c>
      <c r="BP63" t="e">
        <f>VLOOKUP($D63,BDDprix!$A:AB,28,FALSE)</f>
        <v>#N/A</v>
      </c>
      <c r="BQ63" t="e">
        <f>VLOOKUP($D63,BDDprix!$A:AC,29,FALSE)</f>
        <v>#N/A</v>
      </c>
      <c r="BR63" t="e">
        <f>VLOOKUP($D63,BDDprix!$A:AD,26,FALSE)</f>
        <v>#N/A</v>
      </c>
      <c r="BS63" t="e">
        <f>VLOOKUP($D63,BDDprix!$A:AE,31,FALSE)</f>
        <v>#N/A</v>
      </c>
      <c r="BT63" t="e">
        <f>VLOOKUP($D63,BDDprix!$A:AF,32,FALSE)</f>
        <v>#N/A</v>
      </c>
      <c r="BU63" t="e">
        <f>VLOOKUP($D63,BDDprix!$A:AG,33,FALSE)</f>
        <v>#N/A</v>
      </c>
      <c r="BV63" t="e">
        <f>VLOOKUP($D63,BDDprix!$A:AH,34,FALSE)</f>
        <v>#N/A</v>
      </c>
      <c r="BW63" t="e">
        <f>VLOOKUP($D63,BDDprix!$A:AI,35,FALSE)</f>
        <v>#N/A</v>
      </c>
      <c r="BX63" t="e">
        <f>VLOOKUP($D63,BDDprix!$A:AJ,36,FALSE)</f>
        <v>#N/A</v>
      </c>
      <c r="BY63" t="e">
        <f>VLOOKUP($D63,BDDprix!$A:AK,37,FALSE)</f>
        <v>#N/A</v>
      </c>
      <c r="BZ63" t="e">
        <f>VLOOKUP($D63,BDDprix!$A:AL,38,FALSE)</f>
        <v>#N/A</v>
      </c>
      <c r="CA63" t="e">
        <f>VLOOKUP($D63,BDDprix!$A:AM,39,FALSE)</f>
        <v>#N/A</v>
      </c>
      <c r="CB63" t="e">
        <f>VLOOKUP($D63,BDDprix!$A:AN,40,FALSE)</f>
        <v>#N/A</v>
      </c>
      <c r="CC63" t="e">
        <f>VLOOKUP($D63,BDDprix!$A:AO,41,FALSE)</f>
        <v>#N/A</v>
      </c>
      <c r="CD63" t="e">
        <f>VLOOKUP($D63,BDDprix!$A:AP,42,FALSE)</f>
        <v>#N/A</v>
      </c>
      <c r="CE63" t="e">
        <f>VLOOKUP($D63,BDDprix!$A:AQ,43,FALSE)</f>
        <v>#N/A</v>
      </c>
      <c r="CF63" t="e">
        <f>VLOOKUP($D63,BDDprix!$A:AR,44,FALSE)</f>
        <v>#N/A</v>
      </c>
      <c r="CG63" t="e">
        <f>VLOOKUP($D63,BDDprix!$A:AS,45,FALSE)</f>
        <v>#N/A</v>
      </c>
      <c r="CH63" t="e">
        <f>VLOOKUP($D63,BDDprix!$A:AT,46,FALSE)</f>
        <v>#N/A</v>
      </c>
      <c r="CI63" t="e">
        <f>VLOOKUP($D63,BDDprix!$A:AU,47,FALSE)</f>
        <v>#N/A</v>
      </c>
      <c r="CJ63" t="e">
        <f>VLOOKUP($D63,BDDprix!$A:AV,48,FALSE)</f>
        <v>#N/A</v>
      </c>
      <c r="CK63" t="e">
        <f>VLOOKUP($D63,BDDprix!$A:AW,49,FALSE)</f>
        <v>#N/A</v>
      </c>
      <c r="CL63" t="str">
        <f t="shared" si="29"/>
        <v/>
      </c>
    </row>
    <row r="64" spans="1:90" hidden="1" x14ac:dyDescent="0.25">
      <c r="A64" s="208" t="str">
        <f>IF(VLOOKUP($G$3,BDD!A:FK,167,FALSE)="","",VLOOKUP($G$3,BDD!A:FK,167,FALSE))</f>
        <v/>
      </c>
      <c r="B64" s="200" t="str">
        <f t="shared" si="30"/>
        <v/>
      </c>
      <c r="C64" s="57"/>
      <c r="D64" s="202" t="str">
        <f t="shared" si="22"/>
        <v/>
      </c>
      <c r="E64" s="196"/>
      <c r="F64" s="196"/>
      <c r="G64" s="197"/>
      <c r="H64" s="197"/>
      <c r="I64" s="197"/>
      <c r="J64" s="202" t="str">
        <f t="shared" si="23"/>
        <v/>
      </c>
      <c r="K64" s="54"/>
      <c r="L64" s="202" t="str">
        <f t="shared" si="24"/>
        <v/>
      </c>
      <c r="M64" s="54"/>
      <c r="N64" s="202" t="str">
        <f t="shared" si="25"/>
        <v/>
      </c>
      <c r="O64" s="264"/>
      <c r="P64" s="62" t="str">
        <f t="shared" si="26"/>
        <v/>
      </c>
      <c r="Q64" s="63" t="str">
        <f>IF(J64="","",IF(E64=BDDprix!$A$41,SUM(0-(N64*J64)),IF($G$1=$X$5,SUM(0-(N64*J64)),SUM(N64*J64))))</f>
        <v/>
      </c>
      <c r="R64" s="64" t="str">
        <f t="shared" si="27"/>
        <v/>
      </c>
      <c r="S64" s="39"/>
      <c r="AJ64" s="201" t="str">
        <f>IF(VLOOKUP($G$3,BDD!A:HT,168,FALSE)="","",VLOOKUP($G$3,BDD!A:HT,168,FALSE))</f>
        <v/>
      </c>
      <c r="AK64" s="206" t="str">
        <f>IF(VLOOKUP($G$3,BDD!A:HU,169,FALSE)="","",VLOOKUP($G$3,BDD!A:HU,169,FALSE))</f>
        <v/>
      </c>
      <c r="AL64" s="206" t="str">
        <f>IF(VLOOKUP($G$3,BDD!A:HV,170,FALSE)="","",VLOOKUP($G$3,BDD!A:HV,170,FALSE))</f>
        <v/>
      </c>
      <c r="AM64" s="206" t="str">
        <f>IF(VLOOKUP($G$3,BDD!A:HW,171,FALSE)="","",VLOOKUP($G$3,BDD!A:HW,171,FALSE))</f>
        <v/>
      </c>
      <c r="AN64" s="167" t="str">
        <f t="shared" si="28"/>
        <v/>
      </c>
      <c r="AO64" t="str">
        <f>IF(J$10=V$2,IF(L64=AP64,AX64,IF(L64=AQ64,BC64,IF(L64=AR64,BH64,IF(L64=AS64,BM64,IF(L64=AT64,BR64,IF(L64=AU64,BW64,IF(L64=AV64,CB64,IF(L64=AW64,CG64)))))))),IF(J$10=V$3,IF(L64=AP64,AY64,IF(L64=AQ64,BD64,IF(L64=AR64,BI64,IF(L64=AS64,BN64,IF(L64=AT64,BS64,IF(L64=AU64,BX64,IF(L64=AV64,CC64,IF(L64=AW64,CH64)))))))),IF(J$10=V$4,IF(L64=AP64,AZ64,IF(L64=AQ64,BE64,IF(L64=AR64,BJ64,IF(L64=AS64,BO64,IF(L64=AT64,BT64,IF(L64=AU64,BY64,IF(L64=AV64,CD64,IF(L64=AW64,CI64)))))))),IF(J$10=V$5,IF(L64=AP64,BA64,IF(L64=AQ64,BF64,IF(L64=AR64,BK64,IF(L64=AS64,BP64,IF(L64=AT64,BU64,IF(L64=AU64,BZ64,IF(L64=AV64,CE64,IF(L64=AW64,CJ64)))))))),IF(J$10=V$6,IF(L64=AP64,BB64,IF(L64=AQ64,BG64,IF(L64=AR64,BL64,IF(L64=AS64,BQ64,sil(L64=AT64,BV64,IF(L64=AU64,CA64,IF(L64=AV64,CF64,IF(L64=AW64,CK64)))))))),(""))))))</f>
        <v/>
      </c>
      <c r="AP64" t="e">
        <f>VLOOKUP($D64,BDDprix!$A:B,2,FALSE)</f>
        <v>#N/A</v>
      </c>
      <c r="AQ64" t="e">
        <f>VLOOKUP($D64,BDDprix!$A:C,3,FALSE)</f>
        <v>#N/A</v>
      </c>
      <c r="AR64" t="e">
        <f>VLOOKUP($D64,BDDprix!$A:D,4,FALSE)</f>
        <v>#N/A</v>
      </c>
      <c r="AS64" t="e">
        <f>VLOOKUP($D64,BDDprix!$A:E,5,FALSE)</f>
        <v>#N/A</v>
      </c>
      <c r="AT64" t="e">
        <f>VLOOKUP($D64,BDDprix!$A:F,6,FALSE)</f>
        <v>#N/A</v>
      </c>
      <c r="AU64" t="e">
        <f>VLOOKUP($D64,BDDprix!$A:G,7,FALSE)</f>
        <v>#N/A</v>
      </c>
      <c r="AV64" t="e">
        <f>VLOOKUP($D64,BDDprix!$A:H,8,FALSE)</f>
        <v>#N/A</v>
      </c>
      <c r="AW64" t="e">
        <f>VLOOKUP($D64,BDDprix!$A:I,9,FALSE)</f>
        <v>#N/A</v>
      </c>
      <c r="AX64" t="e">
        <f>VLOOKUP($D64,BDDprix!$A:J,10,FALSE)</f>
        <v>#N/A</v>
      </c>
      <c r="AY64" t="e">
        <f>VLOOKUP($D64,BDDprix!$A:K,11,FALSE)</f>
        <v>#N/A</v>
      </c>
      <c r="AZ64" t="e">
        <f>VLOOKUP($D64,BDDprix!$A:L,12,FALSE)</f>
        <v>#N/A</v>
      </c>
      <c r="BA64" t="e">
        <f>VLOOKUP($D64,BDDprix!$A:M,13,FALSE)</f>
        <v>#N/A</v>
      </c>
      <c r="BB64" t="e">
        <f>VLOOKUP($D64,BDDprix!$A:N,14,FALSE)</f>
        <v>#N/A</v>
      </c>
      <c r="BC64" t="e">
        <f>VLOOKUP($D64,BDDprix!$A:O,15,FALSE)</f>
        <v>#N/A</v>
      </c>
      <c r="BD64" t="e">
        <f>VLOOKUP($D64,BDDprix!$A:P,16,FALSE)</f>
        <v>#N/A</v>
      </c>
      <c r="BE64" t="e">
        <f>VLOOKUP($D64,BDDprix!$A:Q,17,FALSE)</f>
        <v>#N/A</v>
      </c>
      <c r="BF64" t="e">
        <f>VLOOKUP($D64,BDDprix!$A:R,18,FALSE)</f>
        <v>#N/A</v>
      </c>
      <c r="BG64" t="e">
        <f>VLOOKUP($D64,BDDprix!$A:S,19,FALSE)</f>
        <v>#N/A</v>
      </c>
      <c r="BH64" t="e">
        <f>VLOOKUP($D64,BDDprix!$A:T,20,FALSE)</f>
        <v>#N/A</v>
      </c>
      <c r="BI64" t="e">
        <f>VLOOKUP($D64,BDDprix!$A:U,21,FALSE)</f>
        <v>#N/A</v>
      </c>
      <c r="BJ64" t="e">
        <f>VLOOKUP($D64,BDDprix!$A:V,22,FALSE)</f>
        <v>#N/A</v>
      </c>
      <c r="BK64" t="e">
        <f>VLOOKUP($D64,BDDprix!$A:W,23,FALSE)</f>
        <v>#N/A</v>
      </c>
      <c r="BL64" t="e">
        <f>VLOOKUP($D64,BDDprix!$A:X,24,FALSE)</f>
        <v>#N/A</v>
      </c>
      <c r="BM64" t="e">
        <f>VLOOKUP($D64,BDDprix!$A:Y,25,FALSE)</f>
        <v>#N/A</v>
      </c>
      <c r="BN64" t="e">
        <f>VLOOKUP($D64,BDDprix!$A:Z,26,FALSE)</f>
        <v>#N/A</v>
      </c>
      <c r="BO64" t="e">
        <f>VLOOKUP($D64,BDDprix!$A:AA,27,FALSE)</f>
        <v>#N/A</v>
      </c>
      <c r="BP64" t="e">
        <f>VLOOKUP($D64,BDDprix!$A:AB,28,FALSE)</f>
        <v>#N/A</v>
      </c>
      <c r="BQ64" t="e">
        <f>VLOOKUP($D64,BDDprix!$A:AC,29,FALSE)</f>
        <v>#N/A</v>
      </c>
      <c r="BR64" t="e">
        <f>VLOOKUP($D64,BDDprix!$A:AD,26,FALSE)</f>
        <v>#N/A</v>
      </c>
      <c r="BS64" t="e">
        <f>VLOOKUP($D64,BDDprix!$A:AE,31,FALSE)</f>
        <v>#N/A</v>
      </c>
      <c r="BT64" t="e">
        <f>VLOOKUP($D64,BDDprix!$A:AF,32,FALSE)</f>
        <v>#N/A</v>
      </c>
      <c r="BU64" t="e">
        <f>VLOOKUP($D64,BDDprix!$A:AG,33,FALSE)</f>
        <v>#N/A</v>
      </c>
      <c r="BV64" t="e">
        <f>VLOOKUP($D64,BDDprix!$A:AH,34,FALSE)</f>
        <v>#N/A</v>
      </c>
      <c r="BW64" t="e">
        <f>VLOOKUP($D64,BDDprix!$A:AI,35,FALSE)</f>
        <v>#N/A</v>
      </c>
      <c r="BX64" t="e">
        <f>VLOOKUP($D64,BDDprix!$A:AJ,36,FALSE)</f>
        <v>#N/A</v>
      </c>
      <c r="BY64" t="e">
        <f>VLOOKUP($D64,BDDprix!$A:AK,37,FALSE)</f>
        <v>#N/A</v>
      </c>
      <c r="BZ64" t="e">
        <f>VLOOKUP($D64,BDDprix!$A:AL,38,FALSE)</f>
        <v>#N/A</v>
      </c>
      <c r="CA64" t="e">
        <f>VLOOKUP($D64,BDDprix!$A:AM,39,FALSE)</f>
        <v>#N/A</v>
      </c>
      <c r="CB64" t="e">
        <f>VLOOKUP($D64,BDDprix!$A:AN,40,FALSE)</f>
        <v>#N/A</v>
      </c>
      <c r="CC64" t="e">
        <f>VLOOKUP($D64,BDDprix!$A:AO,41,FALSE)</f>
        <v>#N/A</v>
      </c>
      <c r="CD64" t="e">
        <f>VLOOKUP($D64,BDDprix!$A:AP,42,FALSE)</f>
        <v>#N/A</v>
      </c>
      <c r="CE64" t="e">
        <f>VLOOKUP($D64,BDDprix!$A:AQ,43,FALSE)</f>
        <v>#N/A</v>
      </c>
      <c r="CF64" t="e">
        <f>VLOOKUP($D64,BDDprix!$A:AR,44,FALSE)</f>
        <v>#N/A</v>
      </c>
      <c r="CG64" t="e">
        <f>VLOOKUP($D64,BDDprix!$A:AS,45,FALSE)</f>
        <v>#N/A</v>
      </c>
      <c r="CH64" t="e">
        <f>VLOOKUP($D64,BDDprix!$A:AT,46,FALSE)</f>
        <v>#N/A</v>
      </c>
      <c r="CI64" t="e">
        <f>VLOOKUP($D64,BDDprix!$A:AU,47,FALSE)</f>
        <v>#N/A</v>
      </c>
      <c r="CJ64" t="e">
        <f>VLOOKUP($D64,BDDprix!$A:AV,48,FALSE)</f>
        <v>#N/A</v>
      </c>
      <c r="CK64" t="e">
        <f>VLOOKUP($D64,BDDprix!$A:AW,49,FALSE)</f>
        <v>#N/A</v>
      </c>
      <c r="CL64" t="str">
        <f t="shared" si="29"/>
        <v/>
      </c>
    </row>
    <row r="65" spans="1:90" hidden="1" x14ac:dyDescent="0.25">
      <c r="A65" s="208" t="str">
        <f>IF(VLOOKUP($G$3,BDD!A:FQ,173,FALSE)="","",VLOOKUP($G$3,BDD!A:FQ,173,FALSE))</f>
        <v/>
      </c>
      <c r="B65" s="200" t="str">
        <f t="shared" si="30"/>
        <v/>
      </c>
      <c r="C65" s="57"/>
      <c r="D65" s="202" t="str">
        <f t="shared" si="22"/>
        <v/>
      </c>
      <c r="E65" s="196"/>
      <c r="F65" s="196"/>
      <c r="G65" s="197"/>
      <c r="H65" s="197"/>
      <c r="I65" s="197"/>
      <c r="J65" s="202" t="str">
        <f t="shared" si="23"/>
        <v/>
      </c>
      <c r="K65" s="54"/>
      <c r="L65" s="202" t="str">
        <f t="shared" si="24"/>
        <v/>
      </c>
      <c r="M65" s="54"/>
      <c r="N65" s="202" t="str">
        <f t="shared" si="25"/>
        <v/>
      </c>
      <c r="O65" s="264"/>
      <c r="P65" s="62" t="str">
        <f t="shared" si="26"/>
        <v/>
      </c>
      <c r="Q65" s="63" t="str">
        <f>IF(J65="","",IF(E65=BDDprix!$A$41,SUM(0-(N65*J65)),IF($G$1=$X$5,SUM(0-(N65*J65)),SUM(N65*J65))))</f>
        <v/>
      </c>
      <c r="R65" s="64" t="str">
        <f t="shared" si="27"/>
        <v/>
      </c>
      <c r="S65" s="39"/>
      <c r="AJ65" s="201" t="str">
        <f>IF(VLOOKUP($G$3,BDD!A:HT,174,FALSE)="","",VLOOKUP($G$3,BDD!A:HT,174,FALSE))</f>
        <v/>
      </c>
      <c r="AK65" s="206" t="str">
        <f>IF(VLOOKUP($G$3,BDD!A:HU,175,FALSE)="","",VLOOKUP($G$3,BDD!A:HU,175,FALSE))</f>
        <v/>
      </c>
      <c r="AL65" s="206" t="str">
        <f>IF(VLOOKUP($G$3,BDD!A:HV,176,FALSE)="","",VLOOKUP($G$3,BDD!A:HV,176,FALSE))</f>
        <v/>
      </c>
      <c r="AM65" s="206" t="str">
        <f>IF(VLOOKUP($G$3,BDD!A:HW,177,FALSE)="","",VLOOKUP($G$3,BDD!A:HW,177,FALSE))</f>
        <v/>
      </c>
      <c r="AN65" s="167" t="str">
        <f t="shared" si="28"/>
        <v/>
      </c>
      <c r="AO65" t="str">
        <f>IF(J$10=V$2,IF(L65=AP65,AX65,IF(L65=AQ65,BC65,IF(L65=AR65,BH65,IF(L65=AS65,BM65,IF(L65=AT65,BR65,IF(L65=AU65,BW65,IF(L65=AV65,CB65,IF(L65=AW65,CG65)))))))),IF(J$10=V$3,IF(L65=AP65,AY65,IF(L65=AQ65,BD65,IF(L65=AR65,BI65,IF(L65=AS65,BN65,IF(L65=AT65,BS65,IF(L65=AU65,BX65,IF(L65=AV65,CC65,IF(L65=AW65,CH65)))))))),IF(J$10=V$4,IF(L65=AP65,AZ65,IF(L65=AQ65,BE65,IF(L65=AR65,BJ65,IF(L65=AS65,BO65,IF(L65=AT65,BT65,IF(L65=AU65,BY65,IF(L65=AV65,CD65,IF(L65=AW65,CI65)))))))),IF(J$10=V$5,IF(L65=AP65,BA65,IF(L65=AQ65,BF65,IF(L65=AR65,BK65,IF(L65=AS65,BP65,IF(L65=AT65,BU65,IF(L65=AU65,BZ65,IF(L65=AV65,CE65,IF(L65=AW65,CJ65)))))))),IF(J$10=V$6,IF(L65=AP65,BB65,IF(L65=AQ65,BG65,IF(L65=AR65,BL65,IF(L65=AS65,BQ65,sil(L65=AT65,BV65,IF(L65=AU65,CA65,IF(L65=AV65,CF65,IF(L65=AW65,CK65)))))))),(""))))))</f>
        <v/>
      </c>
      <c r="AP65" t="e">
        <f>VLOOKUP($D65,BDDprix!$A:B,2,FALSE)</f>
        <v>#N/A</v>
      </c>
      <c r="AQ65" t="e">
        <f>VLOOKUP($D65,BDDprix!$A:C,3,FALSE)</f>
        <v>#N/A</v>
      </c>
      <c r="AR65" t="e">
        <f>VLOOKUP($D65,BDDprix!$A:D,4,FALSE)</f>
        <v>#N/A</v>
      </c>
      <c r="AS65" t="e">
        <f>VLOOKUP($D65,BDDprix!$A:E,5,FALSE)</f>
        <v>#N/A</v>
      </c>
      <c r="AT65" t="e">
        <f>VLOOKUP($D65,BDDprix!$A:F,6,FALSE)</f>
        <v>#N/A</v>
      </c>
      <c r="AU65" t="e">
        <f>VLOOKUP($D65,BDDprix!$A:G,7,FALSE)</f>
        <v>#N/A</v>
      </c>
      <c r="AV65" t="e">
        <f>VLOOKUP($D65,BDDprix!$A:H,8,FALSE)</f>
        <v>#N/A</v>
      </c>
      <c r="AW65" t="e">
        <f>VLOOKUP($D65,BDDprix!$A:I,9,FALSE)</f>
        <v>#N/A</v>
      </c>
      <c r="AX65" t="e">
        <f>VLOOKUP($D65,BDDprix!$A:J,10,FALSE)</f>
        <v>#N/A</v>
      </c>
      <c r="AY65" t="e">
        <f>VLOOKUP($D65,BDDprix!$A:K,11,FALSE)</f>
        <v>#N/A</v>
      </c>
      <c r="AZ65" t="e">
        <f>VLOOKUP($D65,BDDprix!$A:L,12,FALSE)</f>
        <v>#N/A</v>
      </c>
      <c r="BA65" t="e">
        <f>VLOOKUP($D65,BDDprix!$A:M,13,FALSE)</f>
        <v>#N/A</v>
      </c>
      <c r="BB65" t="e">
        <f>VLOOKUP($D65,BDDprix!$A:N,14,FALSE)</f>
        <v>#N/A</v>
      </c>
      <c r="BC65" t="e">
        <f>VLOOKUP($D65,BDDprix!$A:O,15,FALSE)</f>
        <v>#N/A</v>
      </c>
      <c r="BD65" t="e">
        <f>VLOOKUP($D65,BDDprix!$A:P,16,FALSE)</f>
        <v>#N/A</v>
      </c>
      <c r="BE65" t="e">
        <f>VLOOKUP($D65,BDDprix!$A:Q,17,FALSE)</f>
        <v>#N/A</v>
      </c>
      <c r="BF65" t="e">
        <f>VLOOKUP($D65,BDDprix!$A:R,18,FALSE)</f>
        <v>#N/A</v>
      </c>
      <c r="BG65" t="e">
        <f>VLOOKUP($D65,BDDprix!$A:S,19,FALSE)</f>
        <v>#N/A</v>
      </c>
      <c r="BH65" t="e">
        <f>VLOOKUP($D65,BDDprix!$A:T,20,FALSE)</f>
        <v>#N/A</v>
      </c>
      <c r="BI65" t="e">
        <f>VLOOKUP($D65,BDDprix!$A:U,21,FALSE)</f>
        <v>#N/A</v>
      </c>
      <c r="BJ65" t="e">
        <f>VLOOKUP($D65,BDDprix!$A:V,22,FALSE)</f>
        <v>#N/A</v>
      </c>
      <c r="BK65" t="e">
        <f>VLOOKUP($D65,BDDprix!$A:W,23,FALSE)</f>
        <v>#N/A</v>
      </c>
      <c r="BL65" t="e">
        <f>VLOOKUP($D65,BDDprix!$A:X,24,FALSE)</f>
        <v>#N/A</v>
      </c>
      <c r="BM65" t="e">
        <f>VLOOKUP($D65,BDDprix!$A:Y,25,FALSE)</f>
        <v>#N/A</v>
      </c>
      <c r="BN65" t="e">
        <f>VLOOKUP($D65,BDDprix!$A:Z,26,FALSE)</f>
        <v>#N/A</v>
      </c>
      <c r="BO65" t="e">
        <f>VLOOKUP($D65,BDDprix!$A:AA,27,FALSE)</f>
        <v>#N/A</v>
      </c>
      <c r="BP65" t="e">
        <f>VLOOKUP($D65,BDDprix!$A:AB,28,FALSE)</f>
        <v>#N/A</v>
      </c>
      <c r="BQ65" t="e">
        <f>VLOOKUP($D65,BDDprix!$A:AC,29,FALSE)</f>
        <v>#N/A</v>
      </c>
      <c r="BR65" t="e">
        <f>VLOOKUP($D65,BDDprix!$A:AD,26,FALSE)</f>
        <v>#N/A</v>
      </c>
      <c r="BS65" t="e">
        <f>VLOOKUP($D65,BDDprix!$A:AE,31,FALSE)</f>
        <v>#N/A</v>
      </c>
      <c r="BT65" t="e">
        <f>VLOOKUP($D65,BDDprix!$A:AF,32,FALSE)</f>
        <v>#N/A</v>
      </c>
      <c r="BU65" t="e">
        <f>VLOOKUP($D65,BDDprix!$A:AG,33,FALSE)</f>
        <v>#N/A</v>
      </c>
      <c r="BV65" t="e">
        <f>VLOOKUP($D65,BDDprix!$A:AH,34,FALSE)</f>
        <v>#N/A</v>
      </c>
      <c r="BW65" t="e">
        <f>VLOOKUP($D65,BDDprix!$A:AI,35,FALSE)</f>
        <v>#N/A</v>
      </c>
      <c r="BX65" t="e">
        <f>VLOOKUP($D65,BDDprix!$A:AJ,36,FALSE)</f>
        <v>#N/A</v>
      </c>
      <c r="BY65" t="e">
        <f>VLOOKUP($D65,BDDprix!$A:AK,37,FALSE)</f>
        <v>#N/A</v>
      </c>
      <c r="BZ65" t="e">
        <f>VLOOKUP($D65,BDDprix!$A:AL,38,FALSE)</f>
        <v>#N/A</v>
      </c>
      <c r="CA65" t="e">
        <f>VLOOKUP($D65,BDDprix!$A:AM,39,FALSE)</f>
        <v>#N/A</v>
      </c>
      <c r="CB65" t="e">
        <f>VLOOKUP($D65,BDDprix!$A:AN,40,FALSE)</f>
        <v>#N/A</v>
      </c>
      <c r="CC65" t="e">
        <f>VLOOKUP($D65,BDDprix!$A:AO,41,FALSE)</f>
        <v>#N/A</v>
      </c>
      <c r="CD65" t="e">
        <f>VLOOKUP($D65,BDDprix!$A:AP,42,FALSE)</f>
        <v>#N/A</v>
      </c>
      <c r="CE65" t="e">
        <f>VLOOKUP($D65,BDDprix!$A:AQ,43,FALSE)</f>
        <v>#N/A</v>
      </c>
      <c r="CF65" t="e">
        <f>VLOOKUP($D65,BDDprix!$A:AR,44,FALSE)</f>
        <v>#N/A</v>
      </c>
      <c r="CG65" t="e">
        <f>VLOOKUP($D65,BDDprix!$A:AS,45,FALSE)</f>
        <v>#N/A</v>
      </c>
      <c r="CH65" t="e">
        <f>VLOOKUP($D65,BDDprix!$A:AT,46,FALSE)</f>
        <v>#N/A</v>
      </c>
      <c r="CI65" t="e">
        <f>VLOOKUP($D65,BDDprix!$A:AU,47,FALSE)</f>
        <v>#N/A</v>
      </c>
      <c r="CJ65" t="e">
        <f>VLOOKUP($D65,BDDprix!$A:AV,48,FALSE)</f>
        <v>#N/A</v>
      </c>
      <c r="CK65" t="e">
        <f>VLOOKUP($D65,BDDprix!$A:AW,49,FALSE)</f>
        <v>#N/A</v>
      </c>
      <c r="CL65" t="str">
        <f t="shared" si="29"/>
        <v/>
      </c>
    </row>
    <row r="66" spans="1:90" hidden="1" x14ac:dyDescent="0.25">
      <c r="A66" s="208" t="str">
        <f>IF(VLOOKUP($G$3,BDD!A:FW,179,FALSE)="","",VLOOKUP($G$3,BDD!A:FW,179,FALSE))</f>
        <v/>
      </c>
      <c r="B66" s="200" t="str">
        <f t="shared" si="30"/>
        <v/>
      </c>
      <c r="C66" s="57"/>
      <c r="D66" s="202" t="str">
        <f t="shared" si="22"/>
        <v/>
      </c>
      <c r="E66" s="196"/>
      <c r="F66" s="196"/>
      <c r="G66" s="197"/>
      <c r="H66" s="197"/>
      <c r="I66" s="197"/>
      <c r="J66" s="202" t="str">
        <f t="shared" si="23"/>
        <v/>
      </c>
      <c r="K66" s="54"/>
      <c r="L66" s="202" t="str">
        <f t="shared" si="24"/>
        <v/>
      </c>
      <c r="M66" s="54"/>
      <c r="N66" s="202" t="str">
        <f t="shared" si="25"/>
        <v/>
      </c>
      <c r="O66" s="264"/>
      <c r="P66" s="62" t="str">
        <f t="shared" si="26"/>
        <v/>
      </c>
      <c r="Q66" s="63" t="str">
        <f>IF(J66="","",IF(E66=BDDprix!$A$41,SUM(0-(N66*J66)),IF($G$1=$X$5,SUM(0-(N66*J66)),SUM(N66*J66))))</f>
        <v/>
      </c>
      <c r="R66" s="64" t="str">
        <f t="shared" si="27"/>
        <v/>
      </c>
      <c r="S66" s="39"/>
      <c r="AJ66" s="201" t="str">
        <f>IF(VLOOKUP($G$3,BDD!A:HT,180,FALSE)="","",VLOOKUP($G$3,BDD!A:HT,180,FALSE))</f>
        <v/>
      </c>
      <c r="AK66" s="206" t="str">
        <f>IF(VLOOKUP($G$3,BDD!A:HU,181,FALSE)="","",VLOOKUP($G$3,BDD!A:HU,181,FALSE))</f>
        <v/>
      </c>
      <c r="AL66" s="206" t="str">
        <f>IF(VLOOKUP($G$3,BDD!A:HV,182,FALSE)="","",VLOOKUP($G$3,BDD!A:HV,182,FALSE))</f>
        <v/>
      </c>
      <c r="AM66" s="206" t="str">
        <f>IF(VLOOKUP($G$3,BDD!A:HW,183,FALSE)="","",VLOOKUP($G$3,BDD!A:HW,183,FALSE))</f>
        <v/>
      </c>
      <c r="AN66" s="167" t="str">
        <f t="shared" si="28"/>
        <v/>
      </c>
      <c r="AO66" t="str">
        <f>IF(J$10=V$2,IF(L66=AP66,AX66,IF(L66=AQ66,BC66,IF(L66=AR66,BH66,IF(L66=AS66,BM66,IF(L66=AT66,BR66,IF(L66=AU66,BW66,IF(L66=AV66,CB66,IF(L66=AW66,CG66)))))))),IF(J$10=V$3,IF(L66=AP66,AY66,IF(L66=AQ66,BD66,IF(L66=AR66,BI66,IF(L66=AS66,BN66,IF(L66=AT66,BS66,IF(L66=AU66,BX66,IF(L66=AV66,CC66,IF(L66=AW66,CH66)))))))),IF(J$10=V$4,IF(L66=AP66,AZ66,IF(L66=AQ66,BE66,IF(L66=AR66,BJ66,IF(L66=AS66,BO66,IF(L66=AT66,BT66,IF(L66=AU66,BY66,IF(L66=AV66,CD66,IF(L66=AW66,CI66)))))))),IF(J$10=V$5,IF(L66=AP66,BA66,IF(L66=AQ66,BF66,IF(L66=AR66,BK66,IF(L66=AS66,BP66,IF(L66=AT66,BU66,IF(L66=AU66,BZ66,IF(L66=AV66,CE66,IF(L66=AW66,CJ66)))))))),IF(J$10=V$6,IF(L66=AP66,BB66,IF(L66=AQ66,BG66,IF(L66=AR66,BL66,IF(L66=AS66,BQ66,sil(L66=AT66,BV66,IF(L66=AU66,CA66,IF(L66=AV66,CF66,IF(L66=AW66,CK66)))))))),(""))))))</f>
        <v/>
      </c>
      <c r="AP66" t="e">
        <f>VLOOKUP($D66,BDDprix!$A:B,2,FALSE)</f>
        <v>#N/A</v>
      </c>
      <c r="AQ66" t="e">
        <f>VLOOKUP($D66,BDDprix!$A:C,3,FALSE)</f>
        <v>#N/A</v>
      </c>
      <c r="AR66" t="e">
        <f>VLOOKUP($D66,BDDprix!$A:D,4,FALSE)</f>
        <v>#N/A</v>
      </c>
      <c r="AS66" t="e">
        <f>VLOOKUP($D66,BDDprix!$A:E,5,FALSE)</f>
        <v>#N/A</v>
      </c>
      <c r="AT66" t="e">
        <f>VLOOKUP($D66,BDDprix!$A:F,6,FALSE)</f>
        <v>#N/A</v>
      </c>
      <c r="AU66" t="e">
        <f>VLOOKUP($D66,BDDprix!$A:G,7,FALSE)</f>
        <v>#N/A</v>
      </c>
      <c r="AV66" t="e">
        <f>VLOOKUP($D66,BDDprix!$A:H,8,FALSE)</f>
        <v>#N/A</v>
      </c>
      <c r="AW66" t="e">
        <f>VLOOKUP($D66,BDDprix!$A:I,9,FALSE)</f>
        <v>#N/A</v>
      </c>
      <c r="AX66" t="e">
        <f>VLOOKUP($D66,BDDprix!$A:J,10,FALSE)</f>
        <v>#N/A</v>
      </c>
      <c r="AY66" t="e">
        <f>VLOOKUP($D66,BDDprix!$A:K,11,FALSE)</f>
        <v>#N/A</v>
      </c>
      <c r="AZ66" t="e">
        <f>VLOOKUP($D66,BDDprix!$A:L,12,FALSE)</f>
        <v>#N/A</v>
      </c>
      <c r="BA66" t="e">
        <f>VLOOKUP($D66,BDDprix!$A:M,13,FALSE)</f>
        <v>#N/A</v>
      </c>
      <c r="BB66" t="e">
        <f>VLOOKUP($D66,BDDprix!$A:N,14,FALSE)</f>
        <v>#N/A</v>
      </c>
      <c r="BC66" t="e">
        <f>VLOOKUP($D66,BDDprix!$A:O,15,FALSE)</f>
        <v>#N/A</v>
      </c>
      <c r="BD66" t="e">
        <f>VLOOKUP($D66,BDDprix!$A:P,16,FALSE)</f>
        <v>#N/A</v>
      </c>
      <c r="BE66" t="e">
        <f>VLOOKUP($D66,BDDprix!$A:Q,17,FALSE)</f>
        <v>#N/A</v>
      </c>
      <c r="BF66" t="e">
        <f>VLOOKUP($D66,BDDprix!$A:R,18,FALSE)</f>
        <v>#N/A</v>
      </c>
      <c r="BG66" t="e">
        <f>VLOOKUP($D66,BDDprix!$A:S,19,FALSE)</f>
        <v>#N/A</v>
      </c>
      <c r="BH66" t="e">
        <f>VLOOKUP($D66,BDDprix!$A:T,20,FALSE)</f>
        <v>#N/A</v>
      </c>
      <c r="BI66" t="e">
        <f>VLOOKUP($D66,BDDprix!$A:U,21,FALSE)</f>
        <v>#N/A</v>
      </c>
      <c r="BJ66" t="e">
        <f>VLOOKUP($D66,BDDprix!$A:V,22,FALSE)</f>
        <v>#N/A</v>
      </c>
      <c r="BK66" t="e">
        <f>VLOOKUP($D66,BDDprix!$A:W,23,FALSE)</f>
        <v>#N/A</v>
      </c>
      <c r="BL66" t="e">
        <f>VLOOKUP($D66,BDDprix!$A:X,24,FALSE)</f>
        <v>#N/A</v>
      </c>
      <c r="BM66" t="e">
        <f>VLOOKUP($D66,BDDprix!$A:Y,25,FALSE)</f>
        <v>#N/A</v>
      </c>
      <c r="BN66" t="e">
        <f>VLOOKUP($D66,BDDprix!$A:Z,26,FALSE)</f>
        <v>#N/A</v>
      </c>
      <c r="BO66" t="e">
        <f>VLOOKUP($D66,BDDprix!$A:AA,27,FALSE)</f>
        <v>#N/A</v>
      </c>
      <c r="BP66" t="e">
        <f>VLOOKUP($D66,BDDprix!$A:AB,28,FALSE)</f>
        <v>#N/A</v>
      </c>
      <c r="BQ66" t="e">
        <f>VLOOKUP($D66,BDDprix!$A:AC,29,FALSE)</f>
        <v>#N/A</v>
      </c>
      <c r="BR66" t="e">
        <f>VLOOKUP($D66,BDDprix!$A:AD,26,FALSE)</f>
        <v>#N/A</v>
      </c>
      <c r="BS66" t="e">
        <f>VLOOKUP($D66,BDDprix!$A:AE,31,FALSE)</f>
        <v>#N/A</v>
      </c>
      <c r="BT66" t="e">
        <f>VLOOKUP($D66,BDDprix!$A:AF,32,FALSE)</f>
        <v>#N/A</v>
      </c>
      <c r="BU66" t="e">
        <f>VLOOKUP($D66,BDDprix!$A:AG,33,FALSE)</f>
        <v>#N/A</v>
      </c>
      <c r="BV66" t="e">
        <f>VLOOKUP($D66,BDDprix!$A:AH,34,FALSE)</f>
        <v>#N/A</v>
      </c>
      <c r="BW66" t="e">
        <f>VLOOKUP($D66,BDDprix!$A:AI,35,FALSE)</f>
        <v>#N/A</v>
      </c>
      <c r="BX66" t="e">
        <f>VLOOKUP($D66,BDDprix!$A:AJ,36,FALSE)</f>
        <v>#N/A</v>
      </c>
      <c r="BY66" t="e">
        <f>VLOOKUP($D66,BDDprix!$A:AK,37,FALSE)</f>
        <v>#N/A</v>
      </c>
      <c r="BZ66" t="e">
        <f>VLOOKUP($D66,BDDprix!$A:AL,38,FALSE)</f>
        <v>#N/A</v>
      </c>
      <c r="CA66" t="e">
        <f>VLOOKUP($D66,BDDprix!$A:AM,39,FALSE)</f>
        <v>#N/A</v>
      </c>
      <c r="CB66" t="e">
        <f>VLOOKUP($D66,BDDprix!$A:AN,40,FALSE)</f>
        <v>#N/A</v>
      </c>
      <c r="CC66" t="e">
        <f>VLOOKUP($D66,BDDprix!$A:AO,41,FALSE)</f>
        <v>#N/A</v>
      </c>
      <c r="CD66" t="e">
        <f>VLOOKUP($D66,BDDprix!$A:AP,42,FALSE)</f>
        <v>#N/A</v>
      </c>
      <c r="CE66" t="e">
        <f>VLOOKUP($D66,BDDprix!$A:AQ,43,FALSE)</f>
        <v>#N/A</v>
      </c>
      <c r="CF66" t="e">
        <f>VLOOKUP($D66,BDDprix!$A:AR,44,FALSE)</f>
        <v>#N/A</v>
      </c>
      <c r="CG66" t="e">
        <f>VLOOKUP($D66,BDDprix!$A:AS,45,FALSE)</f>
        <v>#N/A</v>
      </c>
      <c r="CH66" t="e">
        <f>VLOOKUP($D66,BDDprix!$A:AT,46,FALSE)</f>
        <v>#N/A</v>
      </c>
      <c r="CI66" t="e">
        <f>VLOOKUP($D66,BDDprix!$A:AU,47,FALSE)</f>
        <v>#N/A</v>
      </c>
      <c r="CJ66" t="e">
        <f>VLOOKUP($D66,BDDprix!$A:AV,48,FALSE)</f>
        <v>#N/A</v>
      </c>
      <c r="CK66" t="e">
        <f>VLOOKUP($D66,BDDprix!$A:AW,49,FALSE)</f>
        <v>#N/A</v>
      </c>
      <c r="CL66" t="str">
        <f t="shared" si="29"/>
        <v/>
      </c>
    </row>
    <row r="67" spans="1:90" hidden="1" x14ac:dyDescent="0.25">
      <c r="A67" s="208" t="str">
        <f>IF(VLOOKUP($G$3,BDD!A:GC,185,FALSE)="","",VLOOKUP($G$3,BDD!A:GC,185,FALSE))</f>
        <v/>
      </c>
      <c r="B67" s="200" t="str">
        <f t="shared" si="30"/>
        <v/>
      </c>
      <c r="C67" s="57"/>
      <c r="D67" s="202" t="str">
        <f t="shared" si="22"/>
        <v/>
      </c>
      <c r="E67" s="196"/>
      <c r="F67" s="196"/>
      <c r="G67" s="197"/>
      <c r="H67" s="197"/>
      <c r="I67" s="197"/>
      <c r="J67" s="202" t="str">
        <f t="shared" si="23"/>
        <v/>
      </c>
      <c r="K67" s="54"/>
      <c r="L67" s="202" t="str">
        <f t="shared" si="24"/>
        <v/>
      </c>
      <c r="M67" s="54"/>
      <c r="N67" s="202" t="str">
        <f t="shared" si="25"/>
        <v/>
      </c>
      <c r="O67" s="264"/>
      <c r="P67" s="62" t="str">
        <f t="shared" si="26"/>
        <v/>
      </c>
      <c r="Q67" s="63" t="str">
        <f>IF(J67="","",IF(E67=BDDprix!$A$41,SUM(0-(N67*J67)),IF($G$1=$X$5,SUM(0-(N67*J67)),SUM(N67*J67))))</f>
        <v/>
      </c>
      <c r="R67" s="64" t="str">
        <f t="shared" si="27"/>
        <v/>
      </c>
      <c r="S67" s="39"/>
      <c r="AJ67" s="201" t="str">
        <f>IF(VLOOKUP($G$3,BDD!A:HT,186,FALSE)="","",VLOOKUP($G$3,BDD!A:HT,186,FALSE))</f>
        <v/>
      </c>
      <c r="AK67" s="206" t="str">
        <f>IF(VLOOKUP($G$3,BDD!A:HU,187,FALSE)="","",VLOOKUP($G$3,BDD!A:HU,187,FALSE))</f>
        <v/>
      </c>
      <c r="AL67" s="206" t="str">
        <f>IF(VLOOKUP($G$3,BDD!A:HV,188,FALSE)="","",VLOOKUP($G$3,BDD!A:HV,188,FALSE))</f>
        <v/>
      </c>
      <c r="AM67" s="206" t="str">
        <f>IF(VLOOKUP($G$3,BDD!A:HW,189,FALSE)="","",VLOOKUP($G$3,BDD!A:HW,189,FALSE))</f>
        <v/>
      </c>
      <c r="AN67" s="167" t="str">
        <f t="shared" si="28"/>
        <v/>
      </c>
      <c r="AO67" t="str">
        <f>IF(J$10=V$2,IF(L67=AP67,AX67,IF(L67=AQ67,BC67,IF(L67=AR67,BH67,IF(L67=AS67,BM67,IF(L67=AT67,BR67,IF(L67=AU67,BW67,IF(L67=AV67,CB67,IF(L67=AW67,CG67)))))))),IF(J$10=V$3,IF(L67=AP67,AY67,IF(L67=AQ67,BD67,IF(L67=AR67,BI67,IF(L67=AS67,BN67,IF(L67=AT67,BS67,IF(L67=AU67,BX67,IF(L67=AV67,CC67,IF(L67=AW67,CH67)))))))),IF(J$10=V$4,IF(L67=AP67,AZ67,IF(L67=AQ67,BE67,IF(L67=AR67,BJ67,IF(L67=AS67,BO67,IF(L67=AT67,BT67,IF(L67=AU67,BY67,IF(L67=AV67,CD67,IF(L67=AW67,CI67)))))))),IF(J$10=V$5,IF(L67=AP67,BA67,IF(L67=AQ67,BF67,IF(L67=AR67,BK67,IF(L67=AS67,BP67,IF(L67=AT67,BU67,IF(L67=AU67,BZ67,IF(L67=AV67,CE67,IF(L67=AW67,CJ67)))))))),IF(J$10=V$6,IF(L67=AP67,BB67,IF(L67=AQ67,BG67,IF(L67=AR67,BL67,IF(L67=AS67,BQ67,sil(L67=AT67,BV67,IF(L67=AU67,CA67,IF(L67=AV67,CF67,IF(L67=AW67,CK67)))))))),(""))))))</f>
        <v/>
      </c>
      <c r="AP67" t="e">
        <f>VLOOKUP($D67,BDDprix!$A:B,2,FALSE)</f>
        <v>#N/A</v>
      </c>
      <c r="AQ67" t="e">
        <f>VLOOKUP($D67,BDDprix!$A:C,3,FALSE)</f>
        <v>#N/A</v>
      </c>
      <c r="AR67" t="e">
        <f>VLOOKUP($D67,BDDprix!$A:D,4,FALSE)</f>
        <v>#N/A</v>
      </c>
      <c r="AS67" t="e">
        <f>VLOOKUP($D67,BDDprix!$A:E,5,FALSE)</f>
        <v>#N/A</v>
      </c>
      <c r="AT67" t="e">
        <f>VLOOKUP($D67,BDDprix!$A:F,6,FALSE)</f>
        <v>#N/A</v>
      </c>
      <c r="AU67" t="e">
        <f>VLOOKUP($D67,BDDprix!$A:G,7,FALSE)</f>
        <v>#N/A</v>
      </c>
      <c r="AV67" t="e">
        <f>VLOOKUP($D67,BDDprix!$A:H,8,FALSE)</f>
        <v>#N/A</v>
      </c>
      <c r="AW67" t="e">
        <f>VLOOKUP($D67,BDDprix!$A:I,9,FALSE)</f>
        <v>#N/A</v>
      </c>
      <c r="AX67" t="e">
        <f>VLOOKUP($D67,BDDprix!$A:J,10,FALSE)</f>
        <v>#N/A</v>
      </c>
      <c r="AY67" t="e">
        <f>VLOOKUP($D67,BDDprix!$A:K,11,FALSE)</f>
        <v>#N/A</v>
      </c>
      <c r="AZ67" t="e">
        <f>VLOOKUP($D67,BDDprix!$A:L,12,FALSE)</f>
        <v>#N/A</v>
      </c>
      <c r="BA67" t="e">
        <f>VLOOKUP($D67,BDDprix!$A:M,13,FALSE)</f>
        <v>#N/A</v>
      </c>
      <c r="BB67" t="e">
        <f>VLOOKUP($D67,BDDprix!$A:N,14,FALSE)</f>
        <v>#N/A</v>
      </c>
      <c r="BC67" t="e">
        <f>VLOOKUP($D67,BDDprix!$A:O,15,FALSE)</f>
        <v>#N/A</v>
      </c>
      <c r="BD67" t="e">
        <f>VLOOKUP($D67,BDDprix!$A:P,16,FALSE)</f>
        <v>#N/A</v>
      </c>
      <c r="BE67" t="e">
        <f>VLOOKUP($D67,BDDprix!$A:Q,17,FALSE)</f>
        <v>#N/A</v>
      </c>
      <c r="BF67" t="e">
        <f>VLOOKUP($D67,BDDprix!$A:R,18,FALSE)</f>
        <v>#N/A</v>
      </c>
      <c r="BG67" t="e">
        <f>VLOOKUP($D67,BDDprix!$A:S,19,FALSE)</f>
        <v>#N/A</v>
      </c>
      <c r="BH67" t="e">
        <f>VLOOKUP($D67,BDDprix!$A:T,20,FALSE)</f>
        <v>#N/A</v>
      </c>
      <c r="BI67" t="e">
        <f>VLOOKUP($D67,BDDprix!$A:U,21,FALSE)</f>
        <v>#N/A</v>
      </c>
      <c r="BJ67" t="e">
        <f>VLOOKUP($D67,BDDprix!$A:V,22,FALSE)</f>
        <v>#N/A</v>
      </c>
      <c r="BK67" t="e">
        <f>VLOOKUP($D67,BDDprix!$A:W,23,FALSE)</f>
        <v>#N/A</v>
      </c>
      <c r="BL67" t="e">
        <f>VLOOKUP($D67,BDDprix!$A:X,24,FALSE)</f>
        <v>#N/A</v>
      </c>
      <c r="BM67" t="e">
        <f>VLOOKUP($D67,BDDprix!$A:Y,25,FALSE)</f>
        <v>#N/A</v>
      </c>
      <c r="BN67" t="e">
        <f>VLOOKUP($D67,BDDprix!$A:Z,26,FALSE)</f>
        <v>#N/A</v>
      </c>
      <c r="BO67" t="e">
        <f>VLOOKUP($D67,BDDprix!$A:AA,27,FALSE)</f>
        <v>#N/A</v>
      </c>
      <c r="BP67" t="e">
        <f>VLOOKUP($D67,BDDprix!$A:AB,28,FALSE)</f>
        <v>#N/A</v>
      </c>
      <c r="BQ67" t="e">
        <f>VLOOKUP($D67,BDDprix!$A:AC,29,FALSE)</f>
        <v>#N/A</v>
      </c>
      <c r="BR67" t="e">
        <f>VLOOKUP($D67,BDDprix!$A:AD,26,FALSE)</f>
        <v>#N/A</v>
      </c>
      <c r="BS67" t="e">
        <f>VLOOKUP($D67,BDDprix!$A:AE,31,FALSE)</f>
        <v>#N/A</v>
      </c>
      <c r="BT67" t="e">
        <f>VLOOKUP($D67,BDDprix!$A:AF,32,FALSE)</f>
        <v>#N/A</v>
      </c>
      <c r="BU67" t="e">
        <f>VLOOKUP($D67,BDDprix!$A:AG,33,FALSE)</f>
        <v>#N/A</v>
      </c>
      <c r="BV67" t="e">
        <f>VLOOKUP($D67,BDDprix!$A:AH,34,FALSE)</f>
        <v>#N/A</v>
      </c>
      <c r="BW67" t="e">
        <f>VLOOKUP($D67,BDDprix!$A:AI,35,FALSE)</f>
        <v>#N/A</v>
      </c>
      <c r="BX67" t="e">
        <f>VLOOKUP($D67,BDDprix!$A:AJ,36,FALSE)</f>
        <v>#N/A</v>
      </c>
      <c r="BY67" t="e">
        <f>VLOOKUP($D67,BDDprix!$A:AK,37,FALSE)</f>
        <v>#N/A</v>
      </c>
      <c r="BZ67" t="e">
        <f>VLOOKUP($D67,BDDprix!$A:AL,38,FALSE)</f>
        <v>#N/A</v>
      </c>
      <c r="CA67" t="e">
        <f>VLOOKUP($D67,BDDprix!$A:AM,39,FALSE)</f>
        <v>#N/A</v>
      </c>
      <c r="CB67" t="e">
        <f>VLOOKUP($D67,BDDprix!$A:AN,40,FALSE)</f>
        <v>#N/A</v>
      </c>
      <c r="CC67" t="e">
        <f>VLOOKUP($D67,BDDprix!$A:AO,41,FALSE)</f>
        <v>#N/A</v>
      </c>
      <c r="CD67" t="e">
        <f>VLOOKUP($D67,BDDprix!$A:AP,42,FALSE)</f>
        <v>#N/A</v>
      </c>
      <c r="CE67" t="e">
        <f>VLOOKUP($D67,BDDprix!$A:AQ,43,FALSE)</f>
        <v>#N/A</v>
      </c>
      <c r="CF67" t="e">
        <f>VLOOKUP($D67,BDDprix!$A:AR,44,FALSE)</f>
        <v>#N/A</v>
      </c>
      <c r="CG67" t="e">
        <f>VLOOKUP($D67,BDDprix!$A:AS,45,FALSE)</f>
        <v>#N/A</v>
      </c>
      <c r="CH67" t="e">
        <f>VLOOKUP($D67,BDDprix!$A:AT,46,FALSE)</f>
        <v>#N/A</v>
      </c>
      <c r="CI67" t="e">
        <f>VLOOKUP($D67,BDDprix!$A:AU,47,FALSE)</f>
        <v>#N/A</v>
      </c>
      <c r="CJ67" t="e">
        <f>VLOOKUP($D67,BDDprix!$A:AV,48,FALSE)</f>
        <v>#N/A</v>
      </c>
      <c r="CK67" t="e">
        <f>VLOOKUP($D67,BDDprix!$A:AW,49,FALSE)</f>
        <v>#N/A</v>
      </c>
      <c r="CL67" t="str">
        <f t="shared" si="29"/>
        <v/>
      </c>
    </row>
    <row r="68" spans="1:90" hidden="1" x14ac:dyDescent="0.25">
      <c r="A68" s="208" t="str">
        <f>IF(VLOOKUP($G$3,BDD!A:GI,191,FALSE)="","",VLOOKUP($G$3,BDD!A:GI,191,FALSE))</f>
        <v/>
      </c>
      <c r="B68" s="200" t="str">
        <f t="shared" si="30"/>
        <v/>
      </c>
      <c r="C68" s="57"/>
      <c r="D68" s="202" t="str">
        <f t="shared" si="22"/>
        <v/>
      </c>
      <c r="E68" s="196"/>
      <c r="F68" s="196"/>
      <c r="G68" s="197"/>
      <c r="H68" s="197"/>
      <c r="I68" s="197"/>
      <c r="J68" s="202" t="str">
        <f t="shared" si="23"/>
        <v/>
      </c>
      <c r="K68" s="54"/>
      <c r="L68" s="202" t="str">
        <f t="shared" si="24"/>
        <v/>
      </c>
      <c r="M68" s="54"/>
      <c r="N68" s="202" t="str">
        <f t="shared" si="25"/>
        <v/>
      </c>
      <c r="O68" s="264"/>
      <c r="P68" s="62" t="str">
        <f t="shared" si="26"/>
        <v/>
      </c>
      <c r="Q68" s="63" t="str">
        <f>IF(J68="","",IF(E68=BDDprix!$A$41,SUM(0-(N68*J68)),IF($G$1=$X$5,SUM(0-(N68*J68)),SUM(N68*J68))))</f>
        <v/>
      </c>
      <c r="R68" s="64" t="str">
        <f t="shared" si="27"/>
        <v/>
      </c>
      <c r="S68" s="39"/>
      <c r="AJ68" s="201" t="str">
        <f>IF(VLOOKUP($G$3,BDD!A:HT,192,FALSE)="","",VLOOKUP($G$3,BDD!A:HT,192,FALSE))</f>
        <v/>
      </c>
      <c r="AK68" s="206" t="str">
        <f>IF(VLOOKUP($G$3,BDD!A:HU,193,FALSE)="","",VLOOKUP($G$3,BDD!A:HU,193,FALSE))</f>
        <v/>
      </c>
      <c r="AL68" s="206" t="str">
        <f>IF(VLOOKUP($G$3,BDD!A:HV,194,FALSE)="","",VLOOKUP($G$3,BDD!A:HV,194,FALSE))</f>
        <v/>
      </c>
      <c r="AM68" s="206" t="str">
        <f>IF(VLOOKUP($G$3,BDD!A:HW,195,FALSE)="","",VLOOKUP($G$3,BDD!A:HW,195,FALSE))</f>
        <v/>
      </c>
      <c r="AN68" s="167" t="str">
        <f t="shared" si="28"/>
        <v/>
      </c>
      <c r="AO68" t="str">
        <f>IF(J$10=V$2,IF(L68=AP68,AX68,IF(L68=AQ68,BC68,IF(L68=AR68,BH68,IF(L68=AS68,BM68,IF(L68=AT68,BR68,IF(L68=AU68,BW68,IF(L68=AV68,CB68,IF(L68=AW68,CG68)))))))),IF(J$10=V$3,IF(L68=AP68,AY68,IF(L68=AQ68,BD68,IF(L68=AR68,BI68,IF(L68=AS68,BN68,IF(L68=AT68,BS68,IF(L68=AU68,BX68,IF(L68=AV68,CC68,IF(L68=AW68,CH68)))))))),IF(J$10=V$4,IF(L68=AP68,AZ68,IF(L68=AQ68,BE68,IF(L68=AR68,BJ68,IF(L68=AS68,BO68,IF(L68=AT68,BT68,IF(L68=AU68,BY68,IF(L68=AV68,CD68,IF(L68=AW68,CI68)))))))),IF(J$10=V$5,IF(L68=AP68,BA68,IF(L68=AQ68,BF68,IF(L68=AR68,BK68,IF(L68=AS68,BP68,IF(L68=AT68,BU68,IF(L68=AU68,BZ68,IF(L68=AV68,CE68,IF(L68=AW68,CJ68)))))))),IF(J$10=V$6,IF(L68=AP68,BB68,IF(L68=AQ68,BG68,IF(L68=AR68,BL68,IF(L68=AS68,BQ68,sil(L68=AT68,BV68,IF(L68=AU68,CA68,IF(L68=AV68,CF68,IF(L68=AW68,CK68)))))))),(""))))))</f>
        <v/>
      </c>
      <c r="AP68" t="e">
        <f>VLOOKUP($D68,BDDprix!$A:B,2,FALSE)</f>
        <v>#N/A</v>
      </c>
      <c r="AQ68" t="e">
        <f>VLOOKUP($D68,BDDprix!$A:C,3,FALSE)</f>
        <v>#N/A</v>
      </c>
      <c r="AR68" t="e">
        <f>VLOOKUP($D68,BDDprix!$A:D,4,FALSE)</f>
        <v>#N/A</v>
      </c>
      <c r="AS68" t="e">
        <f>VLOOKUP($D68,BDDprix!$A:E,5,FALSE)</f>
        <v>#N/A</v>
      </c>
      <c r="AT68" t="e">
        <f>VLOOKUP($D68,BDDprix!$A:F,6,FALSE)</f>
        <v>#N/A</v>
      </c>
      <c r="AU68" t="e">
        <f>VLOOKUP($D68,BDDprix!$A:G,7,FALSE)</f>
        <v>#N/A</v>
      </c>
      <c r="AV68" t="e">
        <f>VLOOKUP($D68,BDDprix!$A:H,8,FALSE)</f>
        <v>#N/A</v>
      </c>
      <c r="AW68" t="e">
        <f>VLOOKUP($D68,BDDprix!$A:I,9,FALSE)</f>
        <v>#N/A</v>
      </c>
      <c r="AX68" t="e">
        <f>VLOOKUP($D68,BDDprix!$A:J,10,FALSE)</f>
        <v>#N/A</v>
      </c>
      <c r="AY68" t="e">
        <f>VLOOKUP($D68,BDDprix!$A:K,11,FALSE)</f>
        <v>#N/A</v>
      </c>
      <c r="AZ68" t="e">
        <f>VLOOKUP($D68,BDDprix!$A:L,12,FALSE)</f>
        <v>#N/A</v>
      </c>
      <c r="BA68" t="e">
        <f>VLOOKUP($D68,BDDprix!$A:M,13,FALSE)</f>
        <v>#N/A</v>
      </c>
      <c r="BB68" t="e">
        <f>VLOOKUP($D68,BDDprix!$A:N,14,FALSE)</f>
        <v>#N/A</v>
      </c>
      <c r="BC68" t="e">
        <f>VLOOKUP($D68,BDDprix!$A:O,15,FALSE)</f>
        <v>#N/A</v>
      </c>
      <c r="BD68" t="e">
        <f>VLOOKUP($D68,BDDprix!$A:P,16,FALSE)</f>
        <v>#N/A</v>
      </c>
      <c r="BE68" t="e">
        <f>VLOOKUP($D68,BDDprix!$A:Q,17,FALSE)</f>
        <v>#N/A</v>
      </c>
      <c r="BF68" t="e">
        <f>VLOOKUP($D68,BDDprix!$A:R,18,FALSE)</f>
        <v>#N/A</v>
      </c>
      <c r="BG68" t="e">
        <f>VLOOKUP($D68,BDDprix!$A:S,19,FALSE)</f>
        <v>#N/A</v>
      </c>
      <c r="BH68" t="e">
        <f>VLOOKUP($D68,BDDprix!$A:T,20,FALSE)</f>
        <v>#N/A</v>
      </c>
      <c r="BI68" t="e">
        <f>VLOOKUP($D68,BDDprix!$A:U,21,FALSE)</f>
        <v>#N/A</v>
      </c>
      <c r="BJ68" t="e">
        <f>VLOOKUP($D68,BDDprix!$A:V,22,FALSE)</f>
        <v>#N/A</v>
      </c>
      <c r="BK68" t="e">
        <f>VLOOKUP($D68,BDDprix!$A:W,23,FALSE)</f>
        <v>#N/A</v>
      </c>
      <c r="BL68" t="e">
        <f>VLOOKUP($D68,BDDprix!$A:X,24,FALSE)</f>
        <v>#N/A</v>
      </c>
      <c r="BM68" t="e">
        <f>VLOOKUP($D68,BDDprix!$A:Y,25,FALSE)</f>
        <v>#N/A</v>
      </c>
      <c r="BN68" t="e">
        <f>VLOOKUP($D68,BDDprix!$A:Z,26,FALSE)</f>
        <v>#N/A</v>
      </c>
      <c r="BO68" t="e">
        <f>VLOOKUP($D68,BDDprix!$A:AA,27,FALSE)</f>
        <v>#N/A</v>
      </c>
      <c r="BP68" t="e">
        <f>VLOOKUP($D68,BDDprix!$A:AB,28,FALSE)</f>
        <v>#N/A</v>
      </c>
      <c r="BQ68" t="e">
        <f>VLOOKUP($D68,BDDprix!$A:AC,29,FALSE)</f>
        <v>#N/A</v>
      </c>
      <c r="BR68" t="e">
        <f>VLOOKUP($D68,BDDprix!$A:AD,26,FALSE)</f>
        <v>#N/A</v>
      </c>
      <c r="BS68" t="e">
        <f>VLOOKUP($D68,BDDprix!$A:AE,31,FALSE)</f>
        <v>#N/A</v>
      </c>
      <c r="BT68" t="e">
        <f>VLOOKUP($D68,BDDprix!$A:AF,32,FALSE)</f>
        <v>#N/A</v>
      </c>
      <c r="BU68" t="e">
        <f>VLOOKUP($D68,BDDprix!$A:AG,33,FALSE)</f>
        <v>#N/A</v>
      </c>
      <c r="BV68" t="e">
        <f>VLOOKUP($D68,BDDprix!$A:AH,34,FALSE)</f>
        <v>#N/A</v>
      </c>
      <c r="BW68" t="e">
        <f>VLOOKUP($D68,BDDprix!$A:AI,35,FALSE)</f>
        <v>#N/A</v>
      </c>
      <c r="BX68" t="e">
        <f>VLOOKUP($D68,BDDprix!$A:AJ,36,FALSE)</f>
        <v>#N/A</v>
      </c>
      <c r="BY68" t="e">
        <f>VLOOKUP($D68,BDDprix!$A:AK,37,FALSE)</f>
        <v>#N/A</v>
      </c>
      <c r="BZ68" t="e">
        <f>VLOOKUP($D68,BDDprix!$A:AL,38,FALSE)</f>
        <v>#N/A</v>
      </c>
      <c r="CA68" t="e">
        <f>VLOOKUP($D68,BDDprix!$A:AM,39,FALSE)</f>
        <v>#N/A</v>
      </c>
      <c r="CB68" t="e">
        <f>VLOOKUP($D68,BDDprix!$A:AN,40,FALSE)</f>
        <v>#N/A</v>
      </c>
      <c r="CC68" t="e">
        <f>VLOOKUP($D68,BDDprix!$A:AO,41,FALSE)</f>
        <v>#N/A</v>
      </c>
      <c r="CD68" t="e">
        <f>VLOOKUP($D68,BDDprix!$A:AP,42,FALSE)</f>
        <v>#N/A</v>
      </c>
      <c r="CE68" t="e">
        <f>VLOOKUP($D68,BDDprix!$A:AQ,43,FALSE)</f>
        <v>#N/A</v>
      </c>
      <c r="CF68" t="e">
        <f>VLOOKUP($D68,BDDprix!$A:AR,44,FALSE)</f>
        <v>#N/A</v>
      </c>
      <c r="CG68" t="e">
        <f>VLOOKUP($D68,BDDprix!$A:AS,45,FALSE)</f>
        <v>#N/A</v>
      </c>
      <c r="CH68" t="e">
        <f>VLOOKUP($D68,BDDprix!$A:AT,46,FALSE)</f>
        <v>#N/A</v>
      </c>
      <c r="CI68" t="e">
        <f>VLOOKUP($D68,BDDprix!$A:AU,47,FALSE)</f>
        <v>#N/A</v>
      </c>
      <c r="CJ68" t="e">
        <f>VLOOKUP($D68,BDDprix!$A:AV,48,FALSE)</f>
        <v>#N/A</v>
      </c>
      <c r="CK68" t="e">
        <f>VLOOKUP($D68,BDDprix!$A:AW,49,FALSE)</f>
        <v>#N/A</v>
      </c>
      <c r="CL68" t="str">
        <f t="shared" si="29"/>
        <v/>
      </c>
    </row>
    <row r="69" spans="1:90" hidden="1" x14ac:dyDescent="0.25">
      <c r="A69" s="208" t="str">
        <f>IF(VLOOKUP($G$3,BDD!A:GO,197,FALSE)="","",VLOOKUP($G$3,BDD!A:GO,197,FALSE))</f>
        <v/>
      </c>
      <c r="B69" s="200" t="str">
        <f t="shared" si="30"/>
        <v/>
      </c>
      <c r="C69" s="57"/>
      <c r="D69" s="202" t="str">
        <f t="shared" si="22"/>
        <v/>
      </c>
      <c r="E69" s="196"/>
      <c r="F69" s="196"/>
      <c r="G69" s="197"/>
      <c r="H69" s="197"/>
      <c r="I69" s="197"/>
      <c r="J69" s="202" t="str">
        <f t="shared" si="23"/>
        <v/>
      </c>
      <c r="K69" s="54"/>
      <c r="L69" s="202" t="str">
        <f t="shared" si="24"/>
        <v/>
      </c>
      <c r="M69" s="54"/>
      <c r="N69" s="202" t="str">
        <f t="shared" si="25"/>
        <v/>
      </c>
      <c r="O69" s="264"/>
      <c r="P69" s="62" t="str">
        <f t="shared" si="26"/>
        <v/>
      </c>
      <c r="Q69" s="63" t="str">
        <f>IF(J69="","",IF(E69=BDDprix!$A$41,SUM(0-(N69*J69)),IF($G$1=$X$5,SUM(0-(N69*J69)),SUM(N69*J69))))</f>
        <v/>
      </c>
      <c r="R69" s="64" t="str">
        <f t="shared" si="27"/>
        <v/>
      </c>
      <c r="S69" s="39"/>
      <c r="AJ69" s="201" t="str">
        <f>IF(VLOOKUP($G$3,BDD!A:HT,198,FALSE)="","",VLOOKUP($G$3,BDD!A:HT,198,FALSE))</f>
        <v/>
      </c>
      <c r="AK69" s="206" t="str">
        <f>IF(VLOOKUP($G$3,BDD!A:HU,199,FALSE)="","",VLOOKUP($G$3,BDD!A:HU,199,FALSE))</f>
        <v/>
      </c>
      <c r="AL69" s="206" t="str">
        <f>IF(VLOOKUP($G$3,BDD!A:HV,200,FALSE)="","",VLOOKUP($G$3,BDD!A:HV,200,FALSE))</f>
        <v/>
      </c>
      <c r="AM69" s="206" t="str">
        <f>IF(VLOOKUP($G$3,BDD!A:HW,201,FALSE)="","",VLOOKUP($G$3,BDD!A:HW,201,FALSE))</f>
        <v/>
      </c>
      <c r="AN69" s="167" t="str">
        <f t="shared" si="28"/>
        <v/>
      </c>
      <c r="AO69" t="str">
        <f>IF(J$10=V$2,IF(L69=AP69,AX69,IF(L69=AQ69,BC69,IF(L69=AR69,BH69,IF(L69=AS69,BM69,IF(L69=AT69,BR69,IF(L69=AU69,BW69,IF(L69=AV69,CB69,IF(L69=AW69,CG69)))))))),IF(J$10=V$3,IF(L69=AP69,AY69,IF(L69=AQ69,BD69,IF(L69=AR69,BI69,IF(L69=AS69,BN69,IF(L69=AT69,BS69,IF(L69=AU69,BX69,IF(L69=AV69,CC69,IF(L69=AW69,CH69)))))))),IF(J$10=V$4,IF(L69=AP69,AZ69,IF(L69=AQ69,BE69,IF(L69=AR69,BJ69,IF(L69=AS69,BO69,IF(L69=AT69,BT69,IF(L69=AU69,BY69,IF(L69=AV69,CD69,IF(L69=AW69,CI69)))))))),IF(J$10=V$5,IF(L69=AP69,BA69,IF(L69=AQ69,BF69,IF(L69=AR69,BK69,IF(L69=AS69,BP69,IF(L69=AT69,BU69,IF(L69=AU69,BZ69,IF(L69=AV69,CE69,IF(L69=AW69,CJ69)))))))),IF(J$10=V$6,IF(L69=AP69,BB69,IF(L69=AQ69,BG69,IF(L69=AR69,BL69,IF(L69=AS69,BQ69,sil(L69=AT69,BV69,IF(L69=AU69,CA69,IF(L69=AV69,CF69,IF(L69=AW69,CK69)))))))),(""))))))</f>
        <v/>
      </c>
      <c r="AP69" t="e">
        <f>VLOOKUP($D69,BDDprix!$A:B,2,FALSE)</f>
        <v>#N/A</v>
      </c>
      <c r="AQ69" t="e">
        <f>VLOOKUP($D69,BDDprix!$A:C,3,FALSE)</f>
        <v>#N/A</v>
      </c>
      <c r="AR69" t="e">
        <f>VLOOKUP($D69,BDDprix!$A:D,4,FALSE)</f>
        <v>#N/A</v>
      </c>
      <c r="AS69" t="e">
        <f>VLOOKUP($D69,BDDprix!$A:E,5,FALSE)</f>
        <v>#N/A</v>
      </c>
      <c r="AT69" t="e">
        <f>VLOOKUP($D69,BDDprix!$A:F,6,FALSE)</f>
        <v>#N/A</v>
      </c>
      <c r="AU69" t="e">
        <f>VLOOKUP($D69,BDDprix!$A:G,7,FALSE)</f>
        <v>#N/A</v>
      </c>
      <c r="AV69" t="e">
        <f>VLOOKUP($D69,BDDprix!$A:H,8,FALSE)</f>
        <v>#N/A</v>
      </c>
      <c r="AW69" t="e">
        <f>VLOOKUP($D69,BDDprix!$A:I,9,FALSE)</f>
        <v>#N/A</v>
      </c>
      <c r="AX69" t="e">
        <f>VLOOKUP($D69,BDDprix!$A:J,10,FALSE)</f>
        <v>#N/A</v>
      </c>
      <c r="AY69" t="e">
        <f>VLOOKUP($D69,BDDprix!$A:K,11,FALSE)</f>
        <v>#N/A</v>
      </c>
      <c r="AZ69" t="e">
        <f>VLOOKUP($D69,BDDprix!$A:L,12,FALSE)</f>
        <v>#N/A</v>
      </c>
      <c r="BA69" t="e">
        <f>VLOOKUP($D69,BDDprix!$A:M,13,FALSE)</f>
        <v>#N/A</v>
      </c>
      <c r="BB69" t="e">
        <f>VLOOKUP($D69,BDDprix!$A:N,14,FALSE)</f>
        <v>#N/A</v>
      </c>
      <c r="BC69" t="e">
        <f>VLOOKUP($D69,BDDprix!$A:O,15,FALSE)</f>
        <v>#N/A</v>
      </c>
      <c r="BD69" t="e">
        <f>VLOOKUP($D69,BDDprix!$A:P,16,FALSE)</f>
        <v>#N/A</v>
      </c>
      <c r="BE69" t="e">
        <f>VLOOKUP($D69,BDDprix!$A:Q,17,FALSE)</f>
        <v>#N/A</v>
      </c>
      <c r="BF69" t="e">
        <f>VLOOKUP($D69,BDDprix!$A:R,18,FALSE)</f>
        <v>#N/A</v>
      </c>
      <c r="BG69" t="e">
        <f>VLOOKUP($D69,BDDprix!$A:S,19,FALSE)</f>
        <v>#N/A</v>
      </c>
      <c r="BH69" t="e">
        <f>VLOOKUP($D69,BDDprix!$A:T,20,FALSE)</f>
        <v>#N/A</v>
      </c>
      <c r="BI69" t="e">
        <f>VLOOKUP($D69,BDDprix!$A:U,21,FALSE)</f>
        <v>#N/A</v>
      </c>
      <c r="BJ69" t="e">
        <f>VLOOKUP($D69,BDDprix!$A:V,22,FALSE)</f>
        <v>#N/A</v>
      </c>
      <c r="BK69" t="e">
        <f>VLOOKUP($D69,BDDprix!$A:W,23,FALSE)</f>
        <v>#N/A</v>
      </c>
      <c r="BL69" t="e">
        <f>VLOOKUP($D69,BDDprix!$A:X,24,FALSE)</f>
        <v>#N/A</v>
      </c>
      <c r="BM69" t="e">
        <f>VLOOKUP($D69,BDDprix!$A:Y,25,FALSE)</f>
        <v>#N/A</v>
      </c>
      <c r="BN69" t="e">
        <f>VLOOKUP($D69,BDDprix!$A:Z,26,FALSE)</f>
        <v>#N/A</v>
      </c>
      <c r="BO69" t="e">
        <f>VLOOKUP($D69,BDDprix!$A:AA,27,FALSE)</f>
        <v>#N/A</v>
      </c>
      <c r="BP69" t="e">
        <f>VLOOKUP($D69,BDDprix!$A:AB,28,FALSE)</f>
        <v>#N/A</v>
      </c>
      <c r="BQ69" t="e">
        <f>VLOOKUP($D69,BDDprix!$A:AC,29,FALSE)</f>
        <v>#N/A</v>
      </c>
      <c r="BR69" t="e">
        <f>VLOOKUP($D69,BDDprix!$A:AD,26,FALSE)</f>
        <v>#N/A</v>
      </c>
      <c r="BS69" t="e">
        <f>VLOOKUP($D69,BDDprix!$A:AE,31,FALSE)</f>
        <v>#N/A</v>
      </c>
      <c r="BT69" t="e">
        <f>VLOOKUP($D69,BDDprix!$A:AF,32,FALSE)</f>
        <v>#N/A</v>
      </c>
      <c r="BU69" t="e">
        <f>VLOOKUP($D69,BDDprix!$A:AG,33,FALSE)</f>
        <v>#N/A</v>
      </c>
      <c r="BV69" t="e">
        <f>VLOOKUP($D69,BDDprix!$A:AH,34,FALSE)</f>
        <v>#N/A</v>
      </c>
      <c r="BW69" t="e">
        <f>VLOOKUP($D69,BDDprix!$A:AI,35,FALSE)</f>
        <v>#N/A</v>
      </c>
      <c r="BX69" t="e">
        <f>VLOOKUP($D69,BDDprix!$A:AJ,36,FALSE)</f>
        <v>#N/A</v>
      </c>
      <c r="BY69" t="e">
        <f>VLOOKUP($D69,BDDprix!$A:AK,37,FALSE)</f>
        <v>#N/A</v>
      </c>
      <c r="BZ69" t="e">
        <f>VLOOKUP($D69,BDDprix!$A:AL,38,FALSE)</f>
        <v>#N/A</v>
      </c>
      <c r="CA69" t="e">
        <f>VLOOKUP($D69,BDDprix!$A:AM,39,FALSE)</f>
        <v>#N/A</v>
      </c>
      <c r="CB69" t="e">
        <f>VLOOKUP($D69,BDDprix!$A:AN,40,FALSE)</f>
        <v>#N/A</v>
      </c>
      <c r="CC69" t="e">
        <f>VLOOKUP($D69,BDDprix!$A:AO,41,FALSE)</f>
        <v>#N/A</v>
      </c>
      <c r="CD69" t="e">
        <f>VLOOKUP($D69,BDDprix!$A:AP,42,FALSE)</f>
        <v>#N/A</v>
      </c>
      <c r="CE69" t="e">
        <f>VLOOKUP($D69,BDDprix!$A:AQ,43,FALSE)</f>
        <v>#N/A</v>
      </c>
      <c r="CF69" t="e">
        <f>VLOOKUP($D69,BDDprix!$A:AR,44,FALSE)</f>
        <v>#N/A</v>
      </c>
      <c r="CG69" t="e">
        <f>VLOOKUP($D69,BDDprix!$A:AS,45,FALSE)</f>
        <v>#N/A</v>
      </c>
      <c r="CH69" t="e">
        <f>VLOOKUP($D69,BDDprix!$A:AT,46,FALSE)</f>
        <v>#N/A</v>
      </c>
      <c r="CI69" t="e">
        <f>VLOOKUP($D69,BDDprix!$A:AU,47,FALSE)</f>
        <v>#N/A</v>
      </c>
      <c r="CJ69" t="e">
        <f>VLOOKUP($D69,BDDprix!$A:AV,48,FALSE)</f>
        <v>#N/A</v>
      </c>
      <c r="CK69" t="e">
        <f>VLOOKUP($D69,BDDprix!$A:AW,49,FALSE)</f>
        <v>#N/A</v>
      </c>
      <c r="CL69" t="str">
        <f t="shared" si="29"/>
        <v/>
      </c>
    </row>
    <row r="70" spans="1:90" hidden="1" x14ac:dyDescent="0.25">
      <c r="A70" s="208" t="str">
        <f>IF(VLOOKUP($G$3,BDD!A:GU,203,FALSE)="","",VLOOKUP($G$3,BDD!A:GU,203,FALSE))</f>
        <v/>
      </c>
      <c r="B70" s="200" t="str">
        <f t="shared" si="30"/>
        <v/>
      </c>
      <c r="C70" s="57"/>
      <c r="D70" s="202" t="str">
        <f t="shared" si="22"/>
        <v/>
      </c>
      <c r="E70" s="196"/>
      <c r="F70" s="196"/>
      <c r="G70" s="197"/>
      <c r="H70" s="197"/>
      <c r="I70" s="197"/>
      <c r="J70" s="202" t="str">
        <f t="shared" si="23"/>
        <v/>
      </c>
      <c r="K70" s="54"/>
      <c r="L70" s="202" t="str">
        <f t="shared" si="24"/>
        <v/>
      </c>
      <c r="M70" s="54"/>
      <c r="N70" s="202" t="str">
        <f t="shared" si="25"/>
        <v/>
      </c>
      <c r="O70" s="264"/>
      <c r="P70" s="62" t="str">
        <f t="shared" si="26"/>
        <v/>
      </c>
      <c r="Q70" s="63" t="str">
        <f>IF(J70="","",IF(E70=BDDprix!$A$41,SUM(0-(N70*J70)),IF($G$1=$X$5,SUM(0-(N70*J70)),SUM(N70*J70))))</f>
        <v/>
      </c>
      <c r="R70" s="64" t="str">
        <f t="shared" si="27"/>
        <v/>
      </c>
      <c r="S70" s="39"/>
      <c r="AJ70" s="201" t="str">
        <f>IF(VLOOKUP($G$3,BDD!A:HT,204,FALSE)="","",VLOOKUP($G$3,BDD!A:HT,204,FALSE))</f>
        <v/>
      </c>
      <c r="AK70" s="206" t="str">
        <f>IF(VLOOKUP($G$3,BDD!A:HU,205,FALSE)="","",VLOOKUP($G$3,BDD!A:HU,205,FALSE))</f>
        <v/>
      </c>
      <c r="AL70" s="206" t="str">
        <f>IF(VLOOKUP($G$3,BDD!A:HV,206,FALSE)="","",VLOOKUP($G$3,BDD!A:HV,206,FALSE))</f>
        <v/>
      </c>
      <c r="AM70" s="206" t="str">
        <f>IF(VLOOKUP($G$3,BDD!A:HW,207,FALSE)="","",VLOOKUP($G$3,BDD!A:HW,207,FALSE))</f>
        <v/>
      </c>
      <c r="AN70" s="167" t="str">
        <f t="shared" si="28"/>
        <v/>
      </c>
      <c r="AO70" t="str">
        <f>IF(J$10=V$2,IF(L70=AP70,AX70,IF(L70=AQ70,BC70,IF(L70=AR70,BH70,IF(L70=AS70,BM70,IF(L70=AT70,BR70,IF(L70=AU70,BW70,IF(L70=AV70,CB70,IF(L70=AW70,CG70)))))))),IF(J$10=V$3,IF(L70=AP70,AY70,IF(L70=AQ70,BD70,IF(L70=AR70,BI70,IF(L70=AS70,BN70,IF(L70=AT70,BS70,IF(L70=AU70,BX70,IF(L70=AV70,CC70,IF(L70=AW70,CH70)))))))),IF(J$10=V$4,IF(L70=AP70,AZ70,IF(L70=AQ70,BE70,IF(L70=AR70,BJ70,IF(L70=AS70,BO70,IF(L70=AT70,BT70,IF(L70=AU70,BY70,IF(L70=AV70,CD70,IF(L70=AW70,CI70)))))))),IF(J$10=V$5,IF(L70=AP70,BA70,IF(L70=AQ70,BF70,IF(L70=AR70,BK70,IF(L70=AS70,BP70,IF(L70=AT70,BU70,IF(L70=AU70,BZ70,IF(L70=AV70,CE70,IF(L70=AW70,CJ70)))))))),IF(J$10=V$6,IF(L70=AP70,BB70,IF(L70=AQ70,BG70,IF(L70=AR70,BL70,IF(L70=AS70,BQ70,sil(L70=AT70,BV70,IF(L70=AU70,CA70,IF(L70=AV70,CF70,IF(L70=AW70,CK70)))))))),(""))))))</f>
        <v/>
      </c>
      <c r="AP70" t="e">
        <f>VLOOKUP($D70,BDDprix!$A:B,2,FALSE)</f>
        <v>#N/A</v>
      </c>
      <c r="AQ70" t="e">
        <f>VLOOKUP($D70,BDDprix!$A:C,3,FALSE)</f>
        <v>#N/A</v>
      </c>
      <c r="AR70" t="e">
        <f>VLOOKUP($D70,BDDprix!$A:D,4,FALSE)</f>
        <v>#N/A</v>
      </c>
      <c r="AS70" t="e">
        <f>VLOOKUP($D70,BDDprix!$A:E,5,FALSE)</f>
        <v>#N/A</v>
      </c>
      <c r="AT70" t="e">
        <f>VLOOKUP($D70,BDDprix!$A:F,6,FALSE)</f>
        <v>#N/A</v>
      </c>
      <c r="AU70" t="e">
        <f>VLOOKUP($D70,BDDprix!$A:G,7,FALSE)</f>
        <v>#N/A</v>
      </c>
      <c r="AV70" t="e">
        <f>VLOOKUP($D70,BDDprix!$A:H,8,FALSE)</f>
        <v>#N/A</v>
      </c>
      <c r="AW70" t="e">
        <f>VLOOKUP($D70,BDDprix!$A:I,9,FALSE)</f>
        <v>#N/A</v>
      </c>
      <c r="AX70" t="e">
        <f>VLOOKUP($D70,BDDprix!$A:J,10,FALSE)</f>
        <v>#N/A</v>
      </c>
      <c r="AY70" t="e">
        <f>VLOOKUP($D70,BDDprix!$A:K,11,FALSE)</f>
        <v>#N/A</v>
      </c>
      <c r="AZ70" t="e">
        <f>VLOOKUP($D70,BDDprix!$A:L,12,FALSE)</f>
        <v>#N/A</v>
      </c>
      <c r="BA70" t="e">
        <f>VLOOKUP($D70,BDDprix!$A:M,13,FALSE)</f>
        <v>#N/A</v>
      </c>
      <c r="BB70" t="e">
        <f>VLOOKUP($D70,BDDprix!$A:N,14,FALSE)</f>
        <v>#N/A</v>
      </c>
      <c r="BC70" t="e">
        <f>VLOOKUP($D70,BDDprix!$A:O,15,FALSE)</f>
        <v>#N/A</v>
      </c>
      <c r="BD70" t="e">
        <f>VLOOKUP($D70,BDDprix!$A:P,16,FALSE)</f>
        <v>#N/A</v>
      </c>
      <c r="BE70" t="e">
        <f>VLOOKUP($D70,BDDprix!$A:Q,17,FALSE)</f>
        <v>#N/A</v>
      </c>
      <c r="BF70" t="e">
        <f>VLOOKUP($D70,BDDprix!$A:R,18,FALSE)</f>
        <v>#N/A</v>
      </c>
      <c r="BG70" t="e">
        <f>VLOOKUP($D70,BDDprix!$A:S,19,FALSE)</f>
        <v>#N/A</v>
      </c>
      <c r="BH70" t="e">
        <f>VLOOKUP($D70,BDDprix!$A:T,20,FALSE)</f>
        <v>#N/A</v>
      </c>
      <c r="BI70" t="e">
        <f>VLOOKUP($D70,BDDprix!$A:U,21,FALSE)</f>
        <v>#N/A</v>
      </c>
      <c r="BJ70" t="e">
        <f>VLOOKUP($D70,BDDprix!$A:V,22,FALSE)</f>
        <v>#N/A</v>
      </c>
      <c r="BK70" t="e">
        <f>VLOOKUP($D70,BDDprix!$A:W,23,FALSE)</f>
        <v>#N/A</v>
      </c>
      <c r="BL70" t="e">
        <f>VLOOKUP($D70,BDDprix!$A:X,24,FALSE)</f>
        <v>#N/A</v>
      </c>
      <c r="BM70" t="e">
        <f>VLOOKUP($D70,BDDprix!$A:Y,25,FALSE)</f>
        <v>#N/A</v>
      </c>
      <c r="BN70" t="e">
        <f>VLOOKUP($D70,BDDprix!$A:Z,26,FALSE)</f>
        <v>#N/A</v>
      </c>
      <c r="BO70" t="e">
        <f>VLOOKUP($D70,BDDprix!$A:AA,27,FALSE)</f>
        <v>#N/A</v>
      </c>
      <c r="BP70" t="e">
        <f>VLOOKUP($D70,BDDprix!$A:AB,28,FALSE)</f>
        <v>#N/A</v>
      </c>
      <c r="BQ70" t="e">
        <f>VLOOKUP($D70,BDDprix!$A:AC,29,FALSE)</f>
        <v>#N/A</v>
      </c>
      <c r="BR70" t="e">
        <f>VLOOKUP($D70,BDDprix!$A:AD,26,FALSE)</f>
        <v>#N/A</v>
      </c>
      <c r="BS70" t="e">
        <f>VLOOKUP($D70,BDDprix!$A:AE,31,FALSE)</f>
        <v>#N/A</v>
      </c>
      <c r="BT70" t="e">
        <f>VLOOKUP($D70,BDDprix!$A:AF,32,FALSE)</f>
        <v>#N/A</v>
      </c>
      <c r="BU70" t="e">
        <f>VLOOKUP($D70,BDDprix!$A:AG,33,FALSE)</f>
        <v>#N/A</v>
      </c>
      <c r="BV70" t="e">
        <f>VLOOKUP($D70,BDDprix!$A:AH,34,FALSE)</f>
        <v>#N/A</v>
      </c>
      <c r="BW70" t="e">
        <f>VLOOKUP($D70,BDDprix!$A:AI,35,FALSE)</f>
        <v>#N/A</v>
      </c>
      <c r="BX70" t="e">
        <f>VLOOKUP($D70,BDDprix!$A:AJ,36,FALSE)</f>
        <v>#N/A</v>
      </c>
      <c r="BY70" t="e">
        <f>VLOOKUP($D70,BDDprix!$A:AK,37,FALSE)</f>
        <v>#N/A</v>
      </c>
      <c r="BZ70" t="e">
        <f>VLOOKUP($D70,BDDprix!$A:AL,38,FALSE)</f>
        <v>#N/A</v>
      </c>
      <c r="CA70" t="e">
        <f>VLOOKUP($D70,BDDprix!$A:AM,39,FALSE)</f>
        <v>#N/A</v>
      </c>
      <c r="CB70" t="e">
        <f>VLOOKUP($D70,BDDprix!$A:AN,40,FALSE)</f>
        <v>#N/A</v>
      </c>
      <c r="CC70" t="e">
        <f>VLOOKUP($D70,BDDprix!$A:AO,41,FALSE)</f>
        <v>#N/A</v>
      </c>
      <c r="CD70" t="e">
        <f>VLOOKUP($D70,BDDprix!$A:AP,42,FALSE)</f>
        <v>#N/A</v>
      </c>
      <c r="CE70" t="e">
        <f>VLOOKUP($D70,BDDprix!$A:AQ,43,FALSE)</f>
        <v>#N/A</v>
      </c>
      <c r="CF70" t="e">
        <f>VLOOKUP($D70,BDDprix!$A:AR,44,FALSE)</f>
        <v>#N/A</v>
      </c>
      <c r="CG70" t="e">
        <f>VLOOKUP($D70,BDDprix!$A:AS,45,FALSE)</f>
        <v>#N/A</v>
      </c>
      <c r="CH70" t="e">
        <f>VLOOKUP($D70,BDDprix!$A:AT,46,FALSE)</f>
        <v>#N/A</v>
      </c>
      <c r="CI70" t="e">
        <f>VLOOKUP($D70,BDDprix!$A:AU,47,FALSE)</f>
        <v>#N/A</v>
      </c>
      <c r="CJ70" t="e">
        <f>VLOOKUP($D70,BDDprix!$A:AV,48,FALSE)</f>
        <v>#N/A</v>
      </c>
      <c r="CK70" t="e">
        <f>VLOOKUP($D70,BDDprix!$A:AW,49,FALSE)</f>
        <v>#N/A</v>
      </c>
      <c r="CL70" t="str">
        <f t="shared" si="29"/>
        <v/>
      </c>
    </row>
    <row r="71" spans="1:90" hidden="1" x14ac:dyDescent="0.25">
      <c r="A71" s="208" t="str">
        <f>IF(VLOOKUP($G$3,BDD!A:HA,209,FALSE)="","",VLOOKUP($G$3,BDD!A:HA,209,FALSE))</f>
        <v/>
      </c>
      <c r="B71" s="200" t="str">
        <f t="shared" si="30"/>
        <v/>
      </c>
      <c r="C71" s="57"/>
      <c r="D71" s="202" t="str">
        <f t="shared" si="22"/>
        <v/>
      </c>
      <c r="E71" s="196"/>
      <c r="F71" s="196"/>
      <c r="G71" s="197"/>
      <c r="H71" s="197"/>
      <c r="I71" s="197"/>
      <c r="J71" s="202" t="str">
        <f t="shared" si="23"/>
        <v/>
      </c>
      <c r="K71" s="54"/>
      <c r="L71" s="202" t="str">
        <f t="shared" si="24"/>
        <v/>
      </c>
      <c r="M71" s="54"/>
      <c r="N71" s="202" t="str">
        <f t="shared" si="25"/>
        <v/>
      </c>
      <c r="O71" s="264"/>
      <c r="P71" s="62" t="str">
        <f t="shared" si="26"/>
        <v/>
      </c>
      <c r="Q71" s="63" t="str">
        <f>IF(J71="","",IF(E71=BDDprix!$A$41,SUM(0-(N71*J71)),IF($G$1=$X$5,SUM(0-(N71*J71)),SUM(N71*J71))))</f>
        <v/>
      </c>
      <c r="R71" s="64" t="str">
        <f t="shared" si="27"/>
        <v/>
      </c>
      <c r="S71" s="39"/>
      <c r="AJ71" s="201" t="str">
        <f>IF(VLOOKUP($G$3,BDD!A:HT,210,FALSE)="","",VLOOKUP($G$3,BDD!A:HT,210,FALSE))</f>
        <v/>
      </c>
      <c r="AK71" s="206" t="str">
        <f>IF(VLOOKUP($G$3,BDD!A:HU,211,FALSE)="","",VLOOKUP($G$3,BDD!A:HU,211,FALSE))</f>
        <v/>
      </c>
      <c r="AL71" s="206" t="str">
        <f>IF(VLOOKUP($G$3,BDD!A:HV,212,FALSE)="","",VLOOKUP($G$3,BDD!A:HV,212,FALSE))</f>
        <v/>
      </c>
      <c r="AM71" s="206" t="str">
        <f>IF(VLOOKUP($G$3,BDD!A:HW,213,FALSE)="","",VLOOKUP($G$3,BDD!A:HW,213,FALSE))</f>
        <v/>
      </c>
      <c r="AN71" s="167" t="str">
        <f t="shared" si="28"/>
        <v/>
      </c>
      <c r="AO71" t="str">
        <f>IF(J$10=V$2,IF(L71=AP71,AX71,IF(L71=AQ71,BC71,IF(L71=AR71,BH71,IF(L71=AS71,BM71,IF(L71=AT71,BR71,IF(L71=AU71,BW71,IF(L71=AV71,CB71,IF(L71=AW71,CG71)))))))),IF(J$10=V$3,IF(L71=AP71,AY71,IF(L71=AQ71,BD71,IF(L71=AR71,BI71,IF(L71=AS71,BN71,IF(L71=AT71,BS71,IF(L71=AU71,BX71,IF(L71=AV71,CC71,IF(L71=AW71,CH71)))))))),IF(J$10=V$4,IF(L71=AP71,AZ71,IF(L71=AQ71,BE71,IF(L71=AR71,BJ71,IF(L71=AS71,BO71,IF(L71=AT71,BT71,IF(L71=AU71,BY71,IF(L71=AV71,CD71,IF(L71=AW71,CI71)))))))),IF(J$10=V$5,IF(L71=AP71,BA71,IF(L71=AQ71,BF71,IF(L71=AR71,BK71,IF(L71=AS71,BP71,IF(L71=AT71,BU71,IF(L71=AU71,BZ71,IF(L71=AV71,CE71,IF(L71=AW71,CJ71)))))))),IF(J$10=V$6,IF(L71=AP71,BB71,IF(L71=AQ71,BG71,IF(L71=AR71,BL71,IF(L71=AS71,BQ71,sil(L71=AT71,BV71,IF(L71=AU71,CA71,IF(L71=AV71,CF71,IF(L71=AW71,CK71)))))))),(""))))))</f>
        <v/>
      </c>
      <c r="AP71" t="e">
        <f>VLOOKUP($D71,BDDprix!$A:B,2,FALSE)</f>
        <v>#N/A</v>
      </c>
      <c r="AQ71" t="e">
        <f>VLOOKUP($D71,BDDprix!$A:C,3,FALSE)</f>
        <v>#N/A</v>
      </c>
      <c r="AR71" t="e">
        <f>VLOOKUP($D71,BDDprix!$A:D,4,FALSE)</f>
        <v>#N/A</v>
      </c>
      <c r="AS71" t="e">
        <f>VLOOKUP($D71,BDDprix!$A:E,5,FALSE)</f>
        <v>#N/A</v>
      </c>
      <c r="AT71" t="e">
        <f>VLOOKUP($D71,BDDprix!$A:F,6,FALSE)</f>
        <v>#N/A</v>
      </c>
      <c r="AU71" t="e">
        <f>VLOOKUP($D71,BDDprix!$A:G,7,FALSE)</f>
        <v>#N/A</v>
      </c>
      <c r="AV71" t="e">
        <f>VLOOKUP($D71,BDDprix!$A:H,8,FALSE)</f>
        <v>#N/A</v>
      </c>
      <c r="AW71" t="e">
        <f>VLOOKUP($D71,BDDprix!$A:I,9,FALSE)</f>
        <v>#N/A</v>
      </c>
      <c r="AX71" t="e">
        <f>VLOOKUP($D71,BDDprix!$A:J,10,FALSE)</f>
        <v>#N/A</v>
      </c>
      <c r="AY71" t="e">
        <f>VLOOKUP($D71,BDDprix!$A:K,11,FALSE)</f>
        <v>#N/A</v>
      </c>
      <c r="AZ71" t="e">
        <f>VLOOKUP($D71,BDDprix!$A:L,12,FALSE)</f>
        <v>#N/A</v>
      </c>
      <c r="BA71" t="e">
        <f>VLOOKUP($D71,BDDprix!$A:M,13,FALSE)</f>
        <v>#N/A</v>
      </c>
      <c r="BB71" t="e">
        <f>VLOOKUP($D71,BDDprix!$A:N,14,FALSE)</f>
        <v>#N/A</v>
      </c>
      <c r="BC71" t="e">
        <f>VLOOKUP($D71,BDDprix!$A:O,15,FALSE)</f>
        <v>#N/A</v>
      </c>
      <c r="BD71" t="e">
        <f>VLOOKUP($D71,BDDprix!$A:P,16,FALSE)</f>
        <v>#N/A</v>
      </c>
      <c r="BE71" t="e">
        <f>VLOOKUP($D71,BDDprix!$A:Q,17,FALSE)</f>
        <v>#N/A</v>
      </c>
      <c r="BF71" t="e">
        <f>VLOOKUP($D71,BDDprix!$A:R,18,FALSE)</f>
        <v>#N/A</v>
      </c>
      <c r="BG71" t="e">
        <f>VLOOKUP($D71,BDDprix!$A:S,19,FALSE)</f>
        <v>#N/A</v>
      </c>
      <c r="BH71" t="e">
        <f>VLOOKUP($D71,BDDprix!$A:T,20,FALSE)</f>
        <v>#N/A</v>
      </c>
      <c r="BI71" t="e">
        <f>VLOOKUP($D71,BDDprix!$A:U,21,FALSE)</f>
        <v>#N/A</v>
      </c>
      <c r="BJ71" t="e">
        <f>VLOOKUP($D71,BDDprix!$A:V,22,FALSE)</f>
        <v>#N/A</v>
      </c>
      <c r="BK71" t="e">
        <f>VLOOKUP($D71,BDDprix!$A:W,23,FALSE)</f>
        <v>#N/A</v>
      </c>
      <c r="BL71" t="e">
        <f>VLOOKUP($D71,BDDprix!$A:X,24,FALSE)</f>
        <v>#N/A</v>
      </c>
      <c r="BM71" t="e">
        <f>VLOOKUP($D71,BDDprix!$A:Y,25,FALSE)</f>
        <v>#N/A</v>
      </c>
      <c r="BN71" t="e">
        <f>VLOOKUP($D71,BDDprix!$A:Z,26,FALSE)</f>
        <v>#N/A</v>
      </c>
      <c r="BO71" t="e">
        <f>VLOOKUP($D71,BDDprix!$A:AA,27,FALSE)</f>
        <v>#N/A</v>
      </c>
      <c r="BP71" t="e">
        <f>VLOOKUP($D71,BDDprix!$A:AB,28,FALSE)</f>
        <v>#N/A</v>
      </c>
      <c r="BQ71" t="e">
        <f>VLOOKUP($D71,BDDprix!$A:AC,29,FALSE)</f>
        <v>#N/A</v>
      </c>
      <c r="BR71" t="e">
        <f>VLOOKUP($D71,BDDprix!$A:AD,26,FALSE)</f>
        <v>#N/A</v>
      </c>
      <c r="BS71" t="e">
        <f>VLOOKUP($D71,BDDprix!$A:AE,31,FALSE)</f>
        <v>#N/A</v>
      </c>
      <c r="BT71" t="e">
        <f>VLOOKUP($D71,BDDprix!$A:AF,32,FALSE)</f>
        <v>#N/A</v>
      </c>
      <c r="BU71" t="e">
        <f>VLOOKUP($D71,BDDprix!$A:AG,33,FALSE)</f>
        <v>#N/A</v>
      </c>
      <c r="BV71" t="e">
        <f>VLOOKUP($D71,BDDprix!$A:AH,34,FALSE)</f>
        <v>#N/A</v>
      </c>
      <c r="BW71" t="e">
        <f>VLOOKUP($D71,BDDprix!$A:AI,35,FALSE)</f>
        <v>#N/A</v>
      </c>
      <c r="BX71" t="e">
        <f>VLOOKUP($D71,BDDprix!$A:AJ,36,FALSE)</f>
        <v>#N/A</v>
      </c>
      <c r="BY71" t="e">
        <f>VLOOKUP($D71,BDDprix!$A:AK,37,FALSE)</f>
        <v>#N/A</v>
      </c>
      <c r="BZ71" t="e">
        <f>VLOOKUP($D71,BDDprix!$A:AL,38,FALSE)</f>
        <v>#N/A</v>
      </c>
      <c r="CA71" t="e">
        <f>VLOOKUP($D71,BDDprix!$A:AM,39,FALSE)</f>
        <v>#N/A</v>
      </c>
      <c r="CB71" t="e">
        <f>VLOOKUP($D71,BDDprix!$A:AN,40,FALSE)</f>
        <v>#N/A</v>
      </c>
      <c r="CC71" t="e">
        <f>VLOOKUP($D71,BDDprix!$A:AO,41,FALSE)</f>
        <v>#N/A</v>
      </c>
      <c r="CD71" t="e">
        <f>VLOOKUP($D71,BDDprix!$A:AP,42,FALSE)</f>
        <v>#N/A</v>
      </c>
      <c r="CE71" t="e">
        <f>VLOOKUP($D71,BDDprix!$A:AQ,43,FALSE)</f>
        <v>#N/A</v>
      </c>
      <c r="CF71" t="e">
        <f>VLOOKUP($D71,BDDprix!$A:AR,44,FALSE)</f>
        <v>#N/A</v>
      </c>
      <c r="CG71" t="e">
        <f>VLOOKUP($D71,BDDprix!$A:AS,45,FALSE)</f>
        <v>#N/A</v>
      </c>
      <c r="CH71" t="e">
        <f>VLOOKUP($D71,BDDprix!$A:AT,46,FALSE)</f>
        <v>#N/A</v>
      </c>
      <c r="CI71" t="e">
        <f>VLOOKUP($D71,BDDprix!$A:AU,47,FALSE)</f>
        <v>#N/A</v>
      </c>
      <c r="CJ71" t="e">
        <f>VLOOKUP($D71,BDDprix!$A:AV,48,FALSE)</f>
        <v>#N/A</v>
      </c>
      <c r="CK71" t="e">
        <f>VLOOKUP($D71,BDDprix!$A:AW,49,FALSE)</f>
        <v>#N/A</v>
      </c>
      <c r="CL71" t="str">
        <f t="shared" si="29"/>
        <v/>
      </c>
    </row>
    <row r="72" spans="1:90" hidden="1" x14ac:dyDescent="0.25">
      <c r="A72" s="208" t="str">
        <f>IF(VLOOKUP($G$3,BDD!A:HG,215,FALSE)="","",VLOOKUP($G$3,BDD!A:HG,215,FALSE))</f>
        <v/>
      </c>
      <c r="B72" s="200" t="str">
        <f t="shared" si="30"/>
        <v/>
      </c>
      <c r="C72" s="57"/>
      <c r="D72" s="202" t="str">
        <f t="shared" si="22"/>
        <v/>
      </c>
      <c r="E72" s="196"/>
      <c r="F72" s="196"/>
      <c r="G72" s="197"/>
      <c r="H72" s="197"/>
      <c r="I72" s="197"/>
      <c r="J72" s="202" t="str">
        <f t="shared" si="23"/>
        <v/>
      </c>
      <c r="K72" s="54"/>
      <c r="L72" s="202" t="str">
        <f t="shared" si="24"/>
        <v/>
      </c>
      <c r="M72" s="54"/>
      <c r="N72" s="202" t="str">
        <f t="shared" si="25"/>
        <v/>
      </c>
      <c r="O72" s="264"/>
      <c r="P72" s="62" t="str">
        <f t="shared" si="26"/>
        <v/>
      </c>
      <c r="Q72" s="63" t="str">
        <f>IF(J72="","",IF(E72=BDDprix!$A$41,SUM(0-(N72*J72)),IF($G$1=$X$5,SUM(0-(N72*J72)),SUM(N72*J72))))</f>
        <v/>
      </c>
      <c r="R72" s="64" t="str">
        <f t="shared" si="27"/>
        <v/>
      </c>
      <c r="S72" s="39"/>
      <c r="AJ72" s="201" t="str">
        <f>IF(VLOOKUP($G$3,BDD!A:HT,216,FALSE)="","",VLOOKUP($G$3,BDD!A:HT,216,FALSE))</f>
        <v/>
      </c>
      <c r="AK72" s="206" t="str">
        <f>IF(VLOOKUP($G$3,BDD!A:HU,217,FALSE)="","",VLOOKUP($G$3,BDD!A:HU,217,FALSE))</f>
        <v/>
      </c>
      <c r="AL72" s="206" t="str">
        <f>IF(VLOOKUP($G$3,BDD!A:HV,218,FALSE)="","",VLOOKUP($G$3,BDD!A:HV,218,FALSE))</f>
        <v/>
      </c>
      <c r="AM72" s="206" t="str">
        <f>IF(VLOOKUP($G$3,BDD!A:HW,219,FALSE)="","",VLOOKUP($G$3,BDD!A:HW,219,FALSE))</f>
        <v/>
      </c>
      <c r="AN72" s="167" t="str">
        <f t="shared" si="28"/>
        <v/>
      </c>
      <c r="AO72" t="str">
        <f>IF(J$10=V$2,IF(L72=AP72,AX72,IF(L72=AQ72,BC72,IF(L72=AR72,BH72,IF(L72=AS72,BM72,IF(L72=AT72,BR72,IF(L72=AU72,BW72,IF(L72=AV72,CB72,IF(L72=AW72,CG72)))))))),IF(J$10=V$3,IF(L72=AP72,AY72,IF(L72=AQ72,BD72,IF(L72=AR72,BI72,IF(L72=AS72,BN72,IF(L72=AT72,BS72,IF(L72=AU72,BX72,IF(L72=AV72,CC72,IF(L72=AW72,CH72)))))))),IF(J$10=V$4,IF(L72=AP72,AZ72,IF(L72=AQ72,BE72,IF(L72=AR72,BJ72,IF(L72=AS72,BO72,IF(L72=AT72,BT72,IF(L72=AU72,BY72,IF(L72=AV72,CD72,IF(L72=AW72,CI72)))))))),IF(J$10=V$5,IF(L72=AP72,BA72,IF(L72=AQ72,BF72,IF(L72=AR72,BK72,IF(L72=AS72,BP72,IF(L72=AT72,BU72,IF(L72=AU72,BZ72,IF(L72=AV72,CE72,IF(L72=AW72,CJ72)))))))),IF(J$10=V$6,IF(L72=AP72,BB72,IF(L72=AQ72,BG72,IF(L72=AR72,BL72,IF(L72=AS72,BQ72,sil(L72=AT72,BV72,IF(L72=AU72,CA72,IF(L72=AV72,CF72,IF(L72=AW72,CK72)))))))),(""))))))</f>
        <v/>
      </c>
      <c r="AP72" t="e">
        <f>VLOOKUP($D72,BDDprix!$A:B,2,FALSE)</f>
        <v>#N/A</v>
      </c>
      <c r="AQ72" t="e">
        <f>VLOOKUP($D72,BDDprix!$A:C,3,FALSE)</f>
        <v>#N/A</v>
      </c>
      <c r="AR72" t="e">
        <f>VLOOKUP($D72,BDDprix!$A:D,4,FALSE)</f>
        <v>#N/A</v>
      </c>
      <c r="AS72" t="e">
        <f>VLOOKUP($D72,BDDprix!$A:E,5,FALSE)</f>
        <v>#N/A</v>
      </c>
      <c r="AT72" t="e">
        <f>VLOOKUP($D72,BDDprix!$A:F,6,FALSE)</f>
        <v>#N/A</v>
      </c>
      <c r="AU72" t="e">
        <f>VLOOKUP($D72,BDDprix!$A:G,7,FALSE)</f>
        <v>#N/A</v>
      </c>
      <c r="AV72" t="e">
        <f>VLOOKUP($D72,BDDprix!$A:H,8,FALSE)</f>
        <v>#N/A</v>
      </c>
      <c r="AW72" t="e">
        <f>VLOOKUP($D72,BDDprix!$A:I,9,FALSE)</f>
        <v>#N/A</v>
      </c>
      <c r="AX72" t="e">
        <f>VLOOKUP($D72,BDDprix!$A:J,10,FALSE)</f>
        <v>#N/A</v>
      </c>
      <c r="AY72" t="e">
        <f>VLOOKUP($D72,BDDprix!$A:K,11,FALSE)</f>
        <v>#N/A</v>
      </c>
      <c r="AZ72" t="e">
        <f>VLOOKUP($D72,BDDprix!$A:L,12,FALSE)</f>
        <v>#N/A</v>
      </c>
      <c r="BA72" t="e">
        <f>VLOOKUP($D72,BDDprix!$A:M,13,FALSE)</f>
        <v>#N/A</v>
      </c>
      <c r="BB72" t="e">
        <f>VLOOKUP($D72,BDDprix!$A:N,14,FALSE)</f>
        <v>#N/A</v>
      </c>
      <c r="BC72" t="e">
        <f>VLOOKUP($D72,BDDprix!$A:O,15,FALSE)</f>
        <v>#N/A</v>
      </c>
      <c r="BD72" t="e">
        <f>VLOOKUP($D72,BDDprix!$A:P,16,FALSE)</f>
        <v>#N/A</v>
      </c>
      <c r="BE72" t="e">
        <f>VLOOKUP($D72,BDDprix!$A:Q,17,FALSE)</f>
        <v>#N/A</v>
      </c>
      <c r="BF72" t="e">
        <f>VLOOKUP($D72,BDDprix!$A:R,18,FALSE)</f>
        <v>#N/A</v>
      </c>
      <c r="BG72" t="e">
        <f>VLOOKUP($D72,BDDprix!$A:S,19,FALSE)</f>
        <v>#N/A</v>
      </c>
      <c r="BH72" t="e">
        <f>VLOOKUP($D72,BDDprix!$A:T,20,FALSE)</f>
        <v>#N/A</v>
      </c>
      <c r="BI72" t="e">
        <f>VLOOKUP($D72,BDDprix!$A:U,21,FALSE)</f>
        <v>#N/A</v>
      </c>
      <c r="BJ72" t="e">
        <f>VLOOKUP($D72,BDDprix!$A:V,22,FALSE)</f>
        <v>#N/A</v>
      </c>
      <c r="BK72" t="e">
        <f>VLOOKUP($D72,BDDprix!$A:W,23,FALSE)</f>
        <v>#N/A</v>
      </c>
      <c r="BL72" t="e">
        <f>VLOOKUP($D72,BDDprix!$A:X,24,FALSE)</f>
        <v>#N/A</v>
      </c>
      <c r="BM72" t="e">
        <f>VLOOKUP($D72,BDDprix!$A:Y,25,FALSE)</f>
        <v>#N/A</v>
      </c>
      <c r="BN72" t="e">
        <f>VLOOKUP($D72,BDDprix!$A:Z,26,FALSE)</f>
        <v>#N/A</v>
      </c>
      <c r="BO72" t="e">
        <f>VLOOKUP($D72,BDDprix!$A:AA,27,FALSE)</f>
        <v>#N/A</v>
      </c>
      <c r="BP72" t="e">
        <f>VLOOKUP($D72,BDDprix!$A:AB,28,FALSE)</f>
        <v>#N/A</v>
      </c>
      <c r="BQ72" t="e">
        <f>VLOOKUP($D72,BDDprix!$A:AC,29,FALSE)</f>
        <v>#N/A</v>
      </c>
      <c r="BR72" t="e">
        <f>VLOOKUP($D72,BDDprix!$A:AD,26,FALSE)</f>
        <v>#N/A</v>
      </c>
      <c r="BS72" t="e">
        <f>VLOOKUP($D72,BDDprix!$A:AE,31,FALSE)</f>
        <v>#N/A</v>
      </c>
      <c r="BT72" t="e">
        <f>VLOOKUP($D72,BDDprix!$A:AF,32,FALSE)</f>
        <v>#N/A</v>
      </c>
      <c r="BU72" t="e">
        <f>VLOOKUP($D72,BDDprix!$A:AG,33,FALSE)</f>
        <v>#N/A</v>
      </c>
      <c r="BV72" t="e">
        <f>VLOOKUP($D72,BDDprix!$A:AH,34,FALSE)</f>
        <v>#N/A</v>
      </c>
      <c r="BW72" t="e">
        <f>VLOOKUP($D72,BDDprix!$A:AI,35,FALSE)</f>
        <v>#N/A</v>
      </c>
      <c r="BX72" t="e">
        <f>VLOOKUP($D72,BDDprix!$A:AJ,36,FALSE)</f>
        <v>#N/A</v>
      </c>
      <c r="BY72" t="e">
        <f>VLOOKUP($D72,BDDprix!$A:AK,37,FALSE)</f>
        <v>#N/A</v>
      </c>
      <c r="BZ72" t="e">
        <f>VLOOKUP($D72,BDDprix!$A:AL,38,FALSE)</f>
        <v>#N/A</v>
      </c>
      <c r="CA72" t="e">
        <f>VLOOKUP($D72,BDDprix!$A:AM,39,FALSE)</f>
        <v>#N/A</v>
      </c>
      <c r="CB72" t="e">
        <f>VLOOKUP($D72,BDDprix!$A:AN,40,FALSE)</f>
        <v>#N/A</v>
      </c>
      <c r="CC72" t="e">
        <f>VLOOKUP($D72,BDDprix!$A:AO,41,FALSE)</f>
        <v>#N/A</v>
      </c>
      <c r="CD72" t="e">
        <f>VLOOKUP($D72,BDDprix!$A:AP,42,FALSE)</f>
        <v>#N/A</v>
      </c>
      <c r="CE72" t="e">
        <f>VLOOKUP($D72,BDDprix!$A:AQ,43,FALSE)</f>
        <v>#N/A</v>
      </c>
      <c r="CF72" t="e">
        <f>VLOOKUP($D72,BDDprix!$A:AR,44,FALSE)</f>
        <v>#N/A</v>
      </c>
      <c r="CG72" t="e">
        <f>VLOOKUP($D72,BDDprix!$A:AS,45,FALSE)</f>
        <v>#N/A</v>
      </c>
      <c r="CH72" t="e">
        <f>VLOOKUP($D72,BDDprix!$A:AT,46,FALSE)</f>
        <v>#N/A</v>
      </c>
      <c r="CI72" t="e">
        <f>VLOOKUP($D72,BDDprix!$A:AU,47,FALSE)</f>
        <v>#N/A</v>
      </c>
      <c r="CJ72" t="e">
        <f>VLOOKUP($D72,BDDprix!$A:AV,48,FALSE)</f>
        <v>#N/A</v>
      </c>
      <c r="CK72" t="e">
        <f>VLOOKUP($D72,BDDprix!$A:AW,49,FALSE)</f>
        <v>#N/A</v>
      </c>
      <c r="CL72" t="str">
        <f t="shared" si="29"/>
        <v/>
      </c>
    </row>
    <row r="73" spans="1:90" hidden="1" x14ac:dyDescent="0.25">
      <c r="A73" s="208" t="str">
        <f>IF(VLOOKUP($G$3,BDD!A:HM,221,FALSE)="","",VLOOKUP($G$3,BDD!A:HM,221,FALSE))</f>
        <v/>
      </c>
      <c r="B73" s="200" t="str">
        <f t="shared" si="30"/>
        <v/>
      </c>
      <c r="C73" s="58"/>
      <c r="D73" s="202" t="str">
        <f t="shared" si="22"/>
        <v/>
      </c>
      <c r="E73" s="198"/>
      <c r="F73" s="198"/>
      <c r="G73" s="199"/>
      <c r="H73" s="199"/>
      <c r="I73" s="199"/>
      <c r="J73" s="202" t="str">
        <f t="shared" si="23"/>
        <v/>
      </c>
      <c r="K73" s="59"/>
      <c r="L73" s="202" t="str">
        <f t="shared" si="24"/>
        <v/>
      </c>
      <c r="M73" s="54"/>
      <c r="N73" s="202" t="str">
        <f t="shared" si="25"/>
        <v/>
      </c>
      <c r="O73" s="264"/>
      <c r="P73" s="62" t="str">
        <f t="shared" si="26"/>
        <v/>
      </c>
      <c r="Q73" s="63" t="str">
        <f>IF(J73="","",IF(E73=BDDprix!$A$41,SUM(0-(N73*J73)),IF($G$1=$X$5,SUM(0-(N73*J73)),SUM(N73*J73))))</f>
        <v/>
      </c>
      <c r="R73" s="64" t="str">
        <f t="shared" si="27"/>
        <v/>
      </c>
      <c r="S73" s="39"/>
      <c r="AJ73" s="201" t="str">
        <f>IF(VLOOKUP($G$3,BDD!A:HT,222,FALSE)="","",VLOOKUP($G$3,BDD!A:HT,222,FALSE))</f>
        <v/>
      </c>
      <c r="AK73" s="206" t="str">
        <f>IF(VLOOKUP($G$3,BDD!A:HU,223,FALSE)="","",VLOOKUP($G$3,BDD!A:HU,223,FALSE))</f>
        <v/>
      </c>
      <c r="AL73" s="206" t="str">
        <f>IF(VLOOKUP($G$3,BDD!A:HV,224,FALSE)="","",VLOOKUP($G$3,BDD!A:HV,224,FALSE))</f>
        <v/>
      </c>
      <c r="AM73" s="206" t="str">
        <f>IF(VLOOKUP($G$3,BDD!A:HW,225,FALSE)="","",VLOOKUP($G$3,BDD!A:HW,225,FALSE))</f>
        <v/>
      </c>
      <c r="AN73" s="167" t="str">
        <f t="shared" si="28"/>
        <v/>
      </c>
      <c r="AO73" t="str">
        <f>IF(J$10=V$2,IF(L73=AP73,AX73,IF(L73=AQ73,BC73,IF(L73=AR73,BH73,IF(L73=AS73,BM73,IF(L73=AT73,BR73,IF(L73=AU73,BW73,IF(L73=AV73,CB73,IF(L73=AW73,CG73)))))))),IF(J$10=V$3,IF(L73=AP73,AY73,IF(L73=AQ73,BD73,IF(L73=AR73,BI73,IF(L73=AS73,BN73,IF(L73=AT73,BS73,IF(L73=AU73,BX73,IF(L73=AV73,CC73,IF(L73=AW73,CH73)))))))),IF(J$10=V$4,IF(L73=AP73,AZ73,IF(L73=AQ73,BE73,IF(L73=AR73,BJ73,IF(L73=AS73,BO73,IF(L73=AT73,BT73,IF(L73=AU73,BY73,IF(L73=AV73,CD73,IF(L73=AW73,CI73)))))))),IF(J$10=V$5,IF(L73=AP73,BA73,IF(L73=AQ73,BF73,IF(L73=AR73,BK73,IF(L73=AS73,BP73,IF(L73=AT73,BU73,IF(L73=AU73,BZ73,IF(L73=AV73,CE73,IF(L73=AW73,CJ73)))))))),IF(J$10=V$6,IF(L73=AP73,BB73,IF(L73=AQ73,BG73,IF(L73=AR73,BL73,IF(L73=AS73,BQ73,sil(L73=AT73,BV73,IF(L73=AU73,CA73,IF(L73=AV73,CF73,IF(L73=AW73,CK73)))))))),(""))))))</f>
        <v/>
      </c>
      <c r="AP73" t="e">
        <f>VLOOKUP($D73,BDDprix!$A:B,2,FALSE)</f>
        <v>#N/A</v>
      </c>
      <c r="AQ73" t="e">
        <f>VLOOKUP($D73,BDDprix!$A:C,3,FALSE)</f>
        <v>#N/A</v>
      </c>
      <c r="AR73" t="e">
        <f>VLOOKUP($D73,BDDprix!$A:D,4,FALSE)</f>
        <v>#N/A</v>
      </c>
      <c r="AS73" t="e">
        <f>VLOOKUP($D73,BDDprix!$A:E,5,FALSE)</f>
        <v>#N/A</v>
      </c>
      <c r="AT73" t="e">
        <f>VLOOKUP($D73,BDDprix!$A:F,6,FALSE)</f>
        <v>#N/A</v>
      </c>
      <c r="AU73" t="e">
        <f>VLOOKUP($D73,BDDprix!$A:G,7,FALSE)</f>
        <v>#N/A</v>
      </c>
      <c r="AV73" t="e">
        <f>VLOOKUP($D73,BDDprix!$A:H,8,FALSE)</f>
        <v>#N/A</v>
      </c>
      <c r="AW73" t="e">
        <f>VLOOKUP($D73,BDDprix!$A:I,9,FALSE)</f>
        <v>#N/A</v>
      </c>
      <c r="AX73" t="e">
        <f>VLOOKUP($D73,BDDprix!$A:J,10,FALSE)</f>
        <v>#N/A</v>
      </c>
      <c r="AY73" t="e">
        <f>VLOOKUP($D73,BDDprix!$A:K,11,FALSE)</f>
        <v>#N/A</v>
      </c>
      <c r="AZ73" t="e">
        <f>VLOOKUP($D73,BDDprix!$A:L,12,FALSE)</f>
        <v>#N/A</v>
      </c>
      <c r="BA73" t="e">
        <f>VLOOKUP($D73,BDDprix!$A:M,13,FALSE)</f>
        <v>#N/A</v>
      </c>
      <c r="BB73" t="e">
        <f>VLOOKUP($D73,BDDprix!$A:N,14,FALSE)</f>
        <v>#N/A</v>
      </c>
      <c r="BC73" t="e">
        <f>VLOOKUP($D73,BDDprix!$A:O,15,FALSE)</f>
        <v>#N/A</v>
      </c>
      <c r="BD73" t="e">
        <f>VLOOKUP($D73,BDDprix!$A:P,16,FALSE)</f>
        <v>#N/A</v>
      </c>
      <c r="BE73" t="e">
        <f>VLOOKUP($D73,BDDprix!$A:Q,17,FALSE)</f>
        <v>#N/A</v>
      </c>
      <c r="BF73" t="e">
        <f>VLOOKUP($D73,BDDprix!$A:R,18,FALSE)</f>
        <v>#N/A</v>
      </c>
      <c r="BG73" t="e">
        <f>VLOOKUP($D73,BDDprix!$A:S,19,FALSE)</f>
        <v>#N/A</v>
      </c>
      <c r="BH73" t="e">
        <f>VLOOKUP($D73,BDDprix!$A:T,20,FALSE)</f>
        <v>#N/A</v>
      </c>
      <c r="BI73" t="e">
        <f>VLOOKUP($D73,BDDprix!$A:U,21,FALSE)</f>
        <v>#N/A</v>
      </c>
      <c r="BJ73" t="e">
        <f>VLOOKUP($D73,BDDprix!$A:V,22,FALSE)</f>
        <v>#N/A</v>
      </c>
      <c r="BK73" t="e">
        <f>VLOOKUP($D73,BDDprix!$A:W,23,FALSE)</f>
        <v>#N/A</v>
      </c>
      <c r="BL73" t="e">
        <f>VLOOKUP($D73,BDDprix!$A:X,24,FALSE)</f>
        <v>#N/A</v>
      </c>
      <c r="BM73" t="e">
        <f>VLOOKUP($D73,BDDprix!$A:Y,25,FALSE)</f>
        <v>#N/A</v>
      </c>
      <c r="BN73" t="e">
        <f>VLOOKUP($D73,BDDprix!$A:Z,26,FALSE)</f>
        <v>#N/A</v>
      </c>
      <c r="BO73" t="e">
        <f>VLOOKUP($D73,BDDprix!$A:AA,27,FALSE)</f>
        <v>#N/A</v>
      </c>
      <c r="BP73" t="e">
        <f>VLOOKUP($D73,BDDprix!$A:AB,28,FALSE)</f>
        <v>#N/A</v>
      </c>
      <c r="BQ73" t="e">
        <f>VLOOKUP($D73,BDDprix!$A:AC,29,FALSE)</f>
        <v>#N/A</v>
      </c>
      <c r="BR73" t="e">
        <f>VLOOKUP($D73,BDDprix!$A:AD,26,FALSE)</f>
        <v>#N/A</v>
      </c>
      <c r="BS73" t="e">
        <f>VLOOKUP($D73,BDDprix!$A:AE,31,FALSE)</f>
        <v>#N/A</v>
      </c>
      <c r="BT73" t="e">
        <f>VLOOKUP($D73,BDDprix!$A:AF,32,FALSE)</f>
        <v>#N/A</v>
      </c>
      <c r="BU73" t="e">
        <f>VLOOKUP($D73,BDDprix!$A:AG,33,FALSE)</f>
        <v>#N/A</v>
      </c>
      <c r="BV73" t="e">
        <f>VLOOKUP($D73,BDDprix!$A:AH,34,FALSE)</f>
        <v>#N/A</v>
      </c>
      <c r="BW73" t="e">
        <f>VLOOKUP($D73,BDDprix!$A:AI,35,FALSE)</f>
        <v>#N/A</v>
      </c>
      <c r="BX73" t="e">
        <f>VLOOKUP($D73,BDDprix!$A:AJ,36,FALSE)</f>
        <v>#N/A</v>
      </c>
      <c r="BY73" t="e">
        <f>VLOOKUP($D73,BDDprix!$A:AK,37,FALSE)</f>
        <v>#N/A</v>
      </c>
      <c r="BZ73" t="e">
        <f>VLOOKUP($D73,BDDprix!$A:AL,38,FALSE)</f>
        <v>#N/A</v>
      </c>
      <c r="CA73" t="e">
        <f>VLOOKUP($D73,BDDprix!$A:AM,39,FALSE)</f>
        <v>#N/A</v>
      </c>
      <c r="CB73" t="e">
        <f>VLOOKUP($D73,BDDprix!$A:AN,40,FALSE)</f>
        <v>#N/A</v>
      </c>
      <c r="CC73" t="e">
        <f>VLOOKUP($D73,BDDprix!$A:AO,41,FALSE)</f>
        <v>#N/A</v>
      </c>
      <c r="CD73" t="e">
        <f>VLOOKUP($D73,BDDprix!$A:AP,42,FALSE)</f>
        <v>#N/A</v>
      </c>
      <c r="CE73" t="e">
        <f>VLOOKUP($D73,BDDprix!$A:AQ,43,FALSE)</f>
        <v>#N/A</v>
      </c>
      <c r="CF73" t="e">
        <f>VLOOKUP($D73,BDDprix!$A:AR,44,FALSE)</f>
        <v>#N/A</v>
      </c>
      <c r="CG73" t="e">
        <f>VLOOKUP($D73,BDDprix!$A:AS,45,FALSE)</f>
        <v>#N/A</v>
      </c>
      <c r="CH73" t="e">
        <f>VLOOKUP($D73,BDDprix!$A:AT,46,FALSE)</f>
        <v>#N/A</v>
      </c>
      <c r="CI73" t="e">
        <f>VLOOKUP($D73,BDDprix!$A:AU,47,FALSE)</f>
        <v>#N/A</v>
      </c>
      <c r="CJ73" t="e">
        <f>VLOOKUP($D73,BDDprix!$A:AV,48,FALSE)</f>
        <v>#N/A</v>
      </c>
      <c r="CK73" t="e">
        <f>VLOOKUP($D73,BDDprix!$A:AW,49,FALSE)</f>
        <v>#N/A</v>
      </c>
      <c r="CL73" t="str">
        <f t="shared" si="29"/>
        <v/>
      </c>
    </row>
    <row r="74" spans="1:90" hidden="1" x14ac:dyDescent="0.25">
      <c r="A74" s="207" t="str">
        <f t="shared" ref="A74:A87" si="31">IF($R$44="1/1","",IF(A30="","",A30))</f>
        <v/>
      </c>
      <c r="B74" s="118"/>
      <c r="C74" s="38" t="str">
        <f t="shared" ref="C74:C86" si="32">IF($R$44="1/1","",IF(C30="","",C30))</f>
        <v/>
      </c>
      <c r="D74" s="119"/>
      <c r="E74" s="38" t="str">
        <f>IF($R$44="1/1","",IF(E30="","",E30))</f>
        <v/>
      </c>
      <c r="F74" s="119"/>
      <c r="G74" s="38" t="str">
        <f t="shared" ref="G74:I79" si="33">IF($R$44="1/1","",IF(G30="","",G30))</f>
        <v/>
      </c>
      <c r="H74" s="38" t="str">
        <f t="shared" si="33"/>
        <v/>
      </c>
      <c r="I74" s="38" t="str">
        <f t="shared" si="33"/>
        <v/>
      </c>
      <c r="J74" s="119"/>
      <c r="K74" s="38" t="str">
        <f t="shared" ref="K74:K79" si="34">IF($R$44="1/1","",IF(K30="","",K30))</f>
        <v/>
      </c>
      <c r="L74" s="119"/>
      <c r="M74" s="38" t="str">
        <f>IF(E56="","","Total:")</f>
        <v/>
      </c>
      <c r="N74" s="119"/>
      <c r="O74" s="38" t="str">
        <f t="shared" ref="O74:P87" si="35">IF($R$44="1/1","",IF(O30="","",O30))</f>
        <v/>
      </c>
      <c r="P74" s="38" t="str">
        <f t="shared" si="35"/>
        <v/>
      </c>
      <c r="Q74" s="41" t="str">
        <f>IF(E56="","",SUM(Q56:Q73))</f>
        <v/>
      </c>
      <c r="R74" s="42" t="str">
        <f>IF($E$56="","",IF($K$10="","",$K$10))</f>
        <v/>
      </c>
      <c r="S74" s="39"/>
    </row>
    <row r="75" spans="1:90" hidden="1" x14ac:dyDescent="0.25">
      <c r="A75" s="207" t="str">
        <f t="shared" si="31"/>
        <v/>
      </c>
      <c r="B75" s="118"/>
      <c r="C75" s="38" t="str">
        <f t="shared" si="32"/>
        <v/>
      </c>
      <c r="D75" s="119"/>
      <c r="E75" s="38"/>
      <c r="F75" s="119"/>
      <c r="G75" s="38" t="str">
        <f t="shared" si="33"/>
        <v/>
      </c>
      <c r="H75" s="38" t="str">
        <f t="shared" si="33"/>
        <v/>
      </c>
      <c r="I75" s="38" t="str">
        <f t="shared" si="33"/>
        <v/>
      </c>
      <c r="J75" s="119"/>
      <c r="K75" s="38" t="str">
        <f t="shared" si="34"/>
        <v/>
      </c>
      <c r="L75" s="119"/>
      <c r="M75" s="38" t="str">
        <f>IF($R$44="1/1","",IF(M31="","",M31))</f>
        <v/>
      </c>
      <c r="N75" s="119"/>
      <c r="O75" s="43" t="str">
        <f t="shared" si="35"/>
        <v/>
      </c>
      <c r="P75" s="43" t="str">
        <f t="shared" si="35"/>
        <v/>
      </c>
      <c r="Q75" s="41" t="str">
        <f>IF(E56="","",Q74-Q76)</f>
        <v/>
      </c>
      <c r="R75" s="42" t="str">
        <f t="shared" ref="R75:R77" si="36">IF($E$56="","",IF($K$10="","",$K$10))</f>
        <v/>
      </c>
      <c r="S75" s="39"/>
    </row>
    <row r="76" spans="1:90" ht="15.75" hidden="1" thickBot="1" x14ac:dyDescent="0.3">
      <c r="A76" s="208" t="str">
        <f t="shared" si="31"/>
        <v/>
      </c>
      <c r="B76" s="119"/>
      <c r="C76" s="232" t="str">
        <f t="shared" si="32"/>
        <v/>
      </c>
      <c r="D76" s="232"/>
      <c r="E76" s="232" t="str">
        <f>IF($R$44="1/1","",IF(E32="","",E32))</f>
        <v/>
      </c>
      <c r="F76" s="232"/>
      <c r="G76" s="232" t="str">
        <f t="shared" si="33"/>
        <v/>
      </c>
      <c r="H76" s="232" t="str">
        <f t="shared" si="33"/>
        <v/>
      </c>
      <c r="I76" s="232" t="str">
        <f t="shared" si="33"/>
        <v/>
      </c>
      <c r="J76" s="141"/>
      <c r="K76" s="38" t="str">
        <f t="shared" si="34"/>
        <v/>
      </c>
      <c r="L76" s="119"/>
      <c r="M76" s="38" t="str">
        <f>IF($R$44="1/1","",IF(M32="","",M32))</f>
        <v/>
      </c>
      <c r="N76" s="119"/>
      <c r="O76" s="38" t="str">
        <f t="shared" si="35"/>
        <v/>
      </c>
      <c r="P76" s="38" t="str">
        <f t="shared" si="35"/>
        <v/>
      </c>
      <c r="Q76" s="60" t="str">
        <f>IF(E56="","",SUM(Q74/(O75+1)))</f>
        <v/>
      </c>
      <c r="R76" s="61" t="str">
        <f t="shared" si="36"/>
        <v/>
      </c>
      <c r="S76" s="39"/>
    </row>
    <row r="77" spans="1:90" ht="15.75" hidden="1" thickTop="1" x14ac:dyDescent="0.25">
      <c r="A77" s="207" t="str">
        <f t="shared" si="31"/>
        <v/>
      </c>
      <c r="B77" s="118"/>
      <c r="C77" s="232" t="str">
        <f t="shared" si="32"/>
        <v/>
      </c>
      <c r="D77" s="232"/>
      <c r="E77" s="232" t="str">
        <f>IF($R$44="1/1","",IF(E33="","",E33))</f>
        <v/>
      </c>
      <c r="F77" s="232"/>
      <c r="G77" s="232" t="str">
        <f t="shared" si="33"/>
        <v/>
      </c>
      <c r="H77" s="232" t="str">
        <f t="shared" si="33"/>
        <v/>
      </c>
      <c r="I77" s="232" t="str">
        <f t="shared" si="33"/>
        <v/>
      </c>
      <c r="J77" s="141"/>
      <c r="K77" s="38" t="str">
        <f t="shared" si="34"/>
        <v/>
      </c>
      <c r="L77" s="119"/>
      <c r="M77" s="38" t="str">
        <f>IF($R$44="1/1","",IF(M33="","",M33))</f>
        <v/>
      </c>
      <c r="N77" s="119"/>
      <c r="O77" s="38" t="str">
        <f t="shared" si="35"/>
        <v/>
      </c>
      <c r="P77" s="38" t="str">
        <f t="shared" si="35"/>
        <v/>
      </c>
      <c r="Q77" s="36" t="str">
        <f>IF(E56="","",SUM(Q75:Q76))</f>
        <v/>
      </c>
      <c r="R77" s="44" t="str">
        <f t="shared" si="36"/>
        <v/>
      </c>
      <c r="S77" s="39"/>
    </row>
    <row r="78" spans="1:90" hidden="1" x14ac:dyDescent="0.25">
      <c r="A78" s="207" t="str">
        <f t="shared" si="31"/>
        <v/>
      </c>
      <c r="B78" s="118"/>
      <c r="C78" s="38" t="str">
        <f t="shared" si="32"/>
        <v/>
      </c>
      <c r="D78" s="119"/>
      <c r="E78" s="38" t="str">
        <f>IF($R$44="1/1","",IF(E34="","",E34))</f>
        <v/>
      </c>
      <c r="F78" s="119"/>
      <c r="G78" s="38" t="str">
        <f t="shared" si="33"/>
        <v/>
      </c>
      <c r="H78" s="45" t="str">
        <f t="shared" si="33"/>
        <v/>
      </c>
      <c r="I78" s="45" t="str">
        <f t="shared" si="33"/>
        <v/>
      </c>
      <c r="J78" s="118"/>
      <c r="K78" s="45" t="str">
        <f t="shared" si="34"/>
        <v/>
      </c>
      <c r="L78" s="118"/>
      <c r="M78" s="100" t="str">
        <f>IF($R$44="1/1","",IF(M34="","",M34))</f>
        <v/>
      </c>
      <c r="N78" s="129"/>
      <c r="O78" s="103" t="str">
        <f t="shared" si="35"/>
        <v/>
      </c>
      <c r="P78" s="103" t="str">
        <f t="shared" si="35"/>
        <v/>
      </c>
      <c r="Q78" s="41"/>
      <c r="R78" s="42" t="str">
        <f>IF($Q$36="","",IF(Q78="","",$K$10))</f>
        <v/>
      </c>
      <c r="S78" s="39"/>
    </row>
    <row r="79" spans="1:90" hidden="1" x14ac:dyDescent="0.25">
      <c r="A79" s="207" t="str">
        <f t="shared" si="31"/>
        <v/>
      </c>
      <c r="B79" s="118"/>
      <c r="C79" s="46" t="str">
        <f t="shared" si="32"/>
        <v/>
      </c>
      <c r="D79" s="125"/>
      <c r="E79" s="47"/>
      <c r="F79" s="132"/>
      <c r="G79" s="65" t="str">
        <f t="shared" si="33"/>
        <v/>
      </c>
      <c r="H79" s="45" t="str">
        <f t="shared" si="33"/>
        <v/>
      </c>
      <c r="I79" s="45" t="str">
        <f t="shared" si="33"/>
        <v/>
      </c>
      <c r="J79" s="118"/>
      <c r="K79" s="45" t="str">
        <f t="shared" si="34"/>
        <v/>
      </c>
      <c r="L79" s="118"/>
      <c r="M79" s="100" t="str">
        <f>IF($R$44="1/1","",IF(M35="","",M35))</f>
        <v/>
      </c>
      <c r="N79" s="129"/>
      <c r="O79" s="104" t="str">
        <f t="shared" si="35"/>
        <v/>
      </c>
      <c r="P79" s="105" t="str">
        <f t="shared" si="35"/>
        <v/>
      </c>
      <c r="Q79" s="41"/>
      <c r="R79" s="42" t="str">
        <f>IF($Q$36="","",IF(Q79="","",$K$10))</f>
        <v/>
      </c>
      <c r="S79" s="39"/>
    </row>
    <row r="80" spans="1:90" hidden="1" x14ac:dyDescent="0.25">
      <c r="A80" s="207" t="str">
        <f t="shared" si="31"/>
        <v/>
      </c>
      <c r="B80" s="118"/>
      <c r="C80" s="38" t="str">
        <f t="shared" si="32"/>
        <v/>
      </c>
      <c r="D80" s="119"/>
      <c r="E80" s="38"/>
      <c r="F80" s="119"/>
      <c r="G80" s="38"/>
      <c r="H80" s="38"/>
      <c r="I80" s="38"/>
      <c r="J80" s="119"/>
      <c r="K80" s="38"/>
      <c r="L80" s="119"/>
      <c r="M80" s="38"/>
      <c r="N80" s="119"/>
      <c r="O80" s="48" t="str">
        <f t="shared" si="35"/>
        <v/>
      </c>
      <c r="P80" s="48" t="str">
        <f t="shared" si="35"/>
        <v/>
      </c>
      <c r="Q80" s="41" t="str">
        <f>IF(E56="","",IF($R$44="1/1","",IF(Q36="","",Q36)))</f>
        <v/>
      </c>
      <c r="R80" s="42" t="str">
        <f t="shared" ref="R80:S87" si="37">IF($R$44="1/1","",IF(R36="","",R36))</f>
        <v/>
      </c>
      <c r="S80" s="39" t="str">
        <f t="shared" si="37"/>
        <v/>
      </c>
    </row>
    <row r="81" spans="1:19" hidden="1" x14ac:dyDescent="0.25">
      <c r="A81" s="207" t="str">
        <f t="shared" si="31"/>
        <v/>
      </c>
      <c r="B81" s="118"/>
      <c r="C81" s="38" t="str">
        <f t="shared" si="32"/>
        <v/>
      </c>
      <c r="D81" s="119"/>
      <c r="E81" s="38"/>
      <c r="F81" s="119"/>
      <c r="G81" s="38"/>
      <c r="H81" s="38"/>
      <c r="I81" s="38"/>
      <c r="J81" s="119"/>
      <c r="K81" s="38"/>
      <c r="L81" s="119"/>
      <c r="M81" s="38" t="str">
        <f t="shared" ref="M81:M87" si="38">IF($R$44="1/1","",IF(M37="","",M37))</f>
        <v/>
      </c>
      <c r="N81" s="119"/>
      <c r="O81" s="38" t="str">
        <f t="shared" si="35"/>
        <v/>
      </c>
      <c r="P81" s="38" t="str">
        <f t="shared" si="35"/>
        <v/>
      </c>
      <c r="Q81" s="38" t="str">
        <f t="shared" ref="Q81:Q87" si="39">IF($R$44="1/1","",IF(Q37="","",Q37))</f>
        <v/>
      </c>
      <c r="R81" s="38" t="str">
        <f t="shared" si="37"/>
        <v/>
      </c>
      <c r="S81" s="49" t="str">
        <f t="shared" si="37"/>
        <v/>
      </c>
    </row>
    <row r="82" spans="1:19" hidden="1" x14ac:dyDescent="0.25">
      <c r="A82" s="207" t="str">
        <f t="shared" si="31"/>
        <v/>
      </c>
      <c r="B82" s="118"/>
      <c r="C82" s="38" t="str">
        <f t="shared" si="32"/>
        <v/>
      </c>
      <c r="D82" s="119"/>
      <c r="E82" s="48"/>
      <c r="F82" s="122"/>
      <c r="G82" s="38"/>
      <c r="H82" s="38"/>
      <c r="I82" s="38"/>
      <c r="J82" s="119"/>
      <c r="K82" s="102"/>
      <c r="L82" s="141"/>
      <c r="M82" s="102" t="str">
        <f t="shared" si="38"/>
        <v/>
      </c>
      <c r="N82" s="141"/>
      <c r="O82" s="102" t="str">
        <f t="shared" si="35"/>
        <v/>
      </c>
      <c r="P82" s="102" t="str">
        <f t="shared" si="35"/>
        <v/>
      </c>
      <c r="Q82" s="38" t="str">
        <f t="shared" si="39"/>
        <v/>
      </c>
      <c r="R82" s="38" t="str">
        <f t="shared" si="37"/>
        <v/>
      </c>
      <c r="S82" s="49" t="str">
        <f t="shared" si="37"/>
        <v/>
      </c>
    </row>
    <row r="83" spans="1:19" hidden="1" x14ac:dyDescent="0.25">
      <c r="A83" s="207" t="str">
        <f t="shared" si="31"/>
        <v/>
      </c>
      <c r="B83" s="118"/>
      <c r="C83" s="38" t="str">
        <f t="shared" si="32"/>
        <v/>
      </c>
      <c r="D83" s="119"/>
      <c r="E83" s="38"/>
      <c r="F83" s="119"/>
      <c r="G83" s="38"/>
      <c r="H83" s="38"/>
      <c r="I83" s="45"/>
      <c r="J83" s="118"/>
      <c r="K83" s="48"/>
      <c r="L83" s="122"/>
      <c r="M83" s="232" t="str">
        <f t="shared" si="38"/>
        <v/>
      </c>
      <c r="N83" s="232"/>
      <c r="O83" s="232" t="str">
        <f t="shared" si="35"/>
        <v/>
      </c>
      <c r="P83" s="232" t="str">
        <f t="shared" si="35"/>
        <v/>
      </c>
      <c r="Q83" s="38" t="str">
        <f t="shared" si="39"/>
        <v/>
      </c>
      <c r="R83" s="38" t="str">
        <f t="shared" si="37"/>
        <v/>
      </c>
      <c r="S83" s="49" t="str">
        <f t="shared" si="37"/>
        <v/>
      </c>
    </row>
    <row r="84" spans="1:19" hidden="1" x14ac:dyDescent="0.25">
      <c r="A84" s="207" t="str">
        <f t="shared" si="31"/>
        <v/>
      </c>
      <c r="B84" s="118"/>
      <c r="C84" s="38" t="str">
        <f t="shared" si="32"/>
        <v/>
      </c>
      <c r="D84" s="119"/>
      <c r="E84" s="38" t="str">
        <f>IF($R$44="1/1","",IF(E40="","",E40))</f>
        <v/>
      </c>
      <c r="F84" s="119"/>
      <c r="G84" s="38" t="str">
        <f t="shared" ref="G84:I86" si="40">IF($R$44="1/1","",IF(G40="","",G40))</f>
        <v/>
      </c>
      <c r="H84" s="38" t="str">
        <f t="shared" si="40"/>
        <v/>
      </c>
      <c r="I84" s="233" t="str">
        <f t="shared" si="40"/>
        <v/>
      </c>
      <c r="J84" s="233"/>
      <c r="K84" s="233" t="str">
        <f>IF($R$44="1/1","",IF(K40="","",K40))</f>
        <v/>
      </c>
      <c r="L84" s="147"/>
      <c r="M84" s="38" t="str">
        <f t="shared" si="38"/>
        <v/>
      </c>
      <c r="N84" s="119"/>
      <c r="O84" s="38" t="str">
        <f t="shared" si="35"/>
        <v/>
      </c>
      <c r="P84" s="38" t="str">
        <f t="shared" si="35"/>
        <v/>
      </c>
      <c r="Q84" s="38" t="str">
        <f t="shared" si="39"/>
        <v/>
      </c>
      <c r="R84" s="38" t="str">
        <f t="shared" si="37"/>
        <v/>
      </c>
      <c r="S84" s="49" t="str">
        <f t="shared" si="37"/>
        <v/>
      </c>
    </row>
    <row r="85" spans="1:19" hidden="1" x14ac:dyDescent="0.25">
      <c r="A85" s="207" t="str">
        <f t="shared" si="31"/>
        <v/>
      </c>
      <c r="B85" s="118"/>
      <c r="C85" s="234" t="str">
        <f t="shared" si="32"/>
        <v/>
      </c>
      <c r="D85" s="234"/>
      <c r="E85" s="234" t="str">
        <f>IF($R$44="1/1","",IF(E41="","",E41))</f>
        <v/>
      </c>
      <c r="F85" s="129"/>
      <c r="G85" s="38" t="str">
        <f t="shared" si="40"/>
        <v/>
      </c>
      <c r="H85" s="242" t="str">
        <f t="shared" si="40"/>
        <v/>
      </c>
      <c r="I85" s="242" t="str">
        <f t="shared" si="40"/>
        <v/>
      </c>
      <c r="J85" s="242"/>
      <c r="K85" s="242" t="str">
        <f>IF($R$44="1/1","",IF(K41="","",K41))</f>
        <v/>
      </c>
      <c r="L85" s="145"/>
      <c r="M85" s="243" t="str">
        <f t="shared" si="38"/>
        <v/>
      </c>
      <c r="N85" s="243"/>
      <c r="O85" s="243" t="str">
        <f t="shared" si="35"/>
        <v/>
      </c>
      <c r="P85" s="243" t="str">
        <f t="shared" si="35"/>
        <v/>
      </c>
      <c r="Q85" s="38" t="str">
        <f t="shared" si="39"/>
        <v/>
      </c>
      <c r="R85" s="38" t="str">
        <f t="shared" si="37"/>
        <v/>
      </c>
      <c r="S85" s="49" t="str">
        <f t="shared" si="37"/>
        <v/>
      </c>
    </row>
    <row r="86" spans="1:19" hidden="1" x14ac:dyDescent="0.25">
      <c r="A86" s="207" t="str">
        <f t="shared" si="31"/>
        <v/>
      </c>
      <c r="B86" s="118"/>
      <c r="C86" s="45" t="str">
        <f t="shared" si="32"/>
        <v/>
      </c>
      <c r="D86" s="118"/>
      <c r="E86" s="45" t="str">
        <f>IF($R$44="1/1","",IF(E42="","",E42))</f>
        <v/>
      </c>
      <c r="F86" s="118"/>
      <c r="G86" s="45" t="str">
        <f t="shared" si="40"/>
        <v/>
      </c>
      <c r="H86" s="38" t="str">
        <f t="shared" si="40"/>
        <v/>
      </c>
      <c r="I86" s="45" t="str">
        <f t="shared" si="40"/>
        <v/>
      </c>
      <c r="J86" s="118"/>
      <c r="K86" s="45" t="str">
        <f>IF($R$44="1/1","",IF(K42="","",K42))</f>
        <v/>
      </c>
      <c r="L86" s="118"/>
      <c r="M86" s="38" t="str">
        <f t="shared" si="38"/>
        <v/>
      </c>
      <c r="N86" s="119"/>
      <c r="O86" s="38" t="str">
        <f t="shared" si="35"/>
        <v/>
      </c>
      <c r="P86" s="38" t="str">
        <f t="shared" si="35"/>
        <v/>
      </c>
      <c r="Q86" s="38" t="str">
        <f t="shared" si="39"/>
        <v/>
      </c>
      <c r="R86" s="45" t="str">
        <f t="shared" si="37"/>
        <v/>
      </c>
      <c r="S86" s="49" t="str">
        <f t="shared" si="37"/>
        <v/>
      </c>
    </row>
    <row r="87" spans="1:19" ht="32.1" hidden="1" customHeight="1" thickBot="1" x14ac:dyDescent="0.3">
      <c r="A87" s="209" t="str">
        <f t="shared" si="31"/>
        <v/>
      </c>
      <c r="B87" s="120"/>
      <c r="C87" s="50"/>
      <c r="D87" s="120"/>
      <c r="E87" s="51" t="str">
        <f>IF($R$44="1/1","",IF(E43="","",E43))</f>
        <v/>
      </c>
      <c r="F87" s="134"/>
      <c r="G87" s="52" t="str">
        <f>IF($R$44="1/1","",IF(G43="","",G43))</f>
        <v/>
      </c>
      <c r="H87" s="213"/>
      <c r="I87" s="213"/>
      <c r="J87" s="139"/>
      <c r="K87" s="53" t="str">
        <f>IF($R$44="1/1","",IF(K43="","",K43))</f>
        <v/>
      </c>
      <c r="L87" s="146"/>
      <c r="M87" s="214" t="str">
        <f t="shared" si="38"/>
        <v/>
      </c>
      <c r="N87" s="215"/>
      <c r="O87" s="215" t="str">
        <f t="shared" si="35"/>
        <v/>
      </c>
      <c r="P87" s="216" t="str">
        <f t="shared" si="35"/>
        <v/>
      </c>
      <c r="Q87" s="217" t="str">
        <f t="shared" si="39"/>
        <v/>
      </c>
      <c r="R87" s="218" t="str">
        <f t="shared" si="37"/>
        <v/>
      </c>
      <c r="S87" s="95" t="str">
        <f t="shared" si="37"/>
        <v/>
      </c>
    </row>
    <row r="88" spans="1:19" ht="15.75" hidden="1" thickTop="1" x14ac:dyDescent="0.25">
      <c r="A88" s="106"/>
      <c r="C88" s="106"/>
      <c r="E88" s="106"/>
      <c r="G88" s="106"/>
      <c r="H88" s="106"/>
      <c r="I88" s="106"/>
      <c r="K88" s="106"/>
      <c r="M88" s="106"/>
      <c r="O88" s="106"/>
      <c r="P88" s="106"/>
      <c r="Q88" s="106"/>
      <c r="R88" s="114" t="str">
        <f>IF(R44="1/1","","2/2")</f>
        <v/>
      </c>
      <c r="S88" s="106"/>
    </row>
    <row r="159" spans="4:4" x14ac:dyDescent="0.25">
      <c r="D159" s="127"/>
    </row>
    <row r="160" spans="4:4" x14ac:dyDescent="0.25">
      <c r="D160" s="117"/>
    </row>
    <row r="161" spans="4:4" x14ac:dyDescent="0.25">
      <c r="D161" s="117"/>
    </row>
    <row r="162" spans="4:4" x14ac:dyDescent="0.25">
      <c r="D162" s="117"/>
    </row>
    <row r="163" spans="4:4" x14ac:dyDescent="0.25">
      <c r="D163" s="117"/>
    </row>
    <row r="164" spans="4:4" x14ac:dyDescent="0.25">
      <c r="D164" s="117"/>
    </row>
    <row r="165" spans="4:4" x14ac:dyDescent="0.25">
      <c r="D165" s="117"/>
    </row>
    <row r="166" spans="4:4" x14ac:dyDescent="0.25">
      <c r="D166" s="117"/>
    </row>
    <row r="167" spans="4:4" x14ac:dyDescent="0.25">
      <c r="D167" s="128"/>
    </row>
    <row r="168" spans="4:4" x14ac:dyDescent="0.25">
      <c r="D168" s="117"/>
    </row>
    <row r="169" spans="4:4" x14ac:dyDescent="0.25">
      <c r="D169" s="117"/>
    </row>
    <row r="170" spans="4:4" x14ac:dyDescent="0.25">
      <c r="D170" s="117"/>
    </row>
    <row r="171" spans="4:4" x14ac:dyDescent="0.25">
      <c r="D171" s="117"/>
    </row>
    <row r="172" spans="4:4" x14ac:dyDescent="0.25">
      <c r="D172" s="117"/>
    </row>
    <row r="173" spans="4:4" x14ac:dyDescent="0.25">
      <c r="D173" s="117"/>
    </row>
    <row r="174" spans="4:4" x14ac:dyDescent="0.25">
      <c r="D174" s="117"/>
    </row>
    <row r="175" spans="4:4" x14ac:dyDescent="0.25">
      <c r="D175" s="117"/>
    </row>
    <row r="176" spans="4:4" x14ac:dyDescent="0.25">
      <c r="D176" s="117"/>
    </row>
    <row r="177" spans="4:4" x14ac:dyDescent="0.25">
      <c r="D177" s="117"/>
    </row>
    <row r="178" spans="4:4" x14ac:dyDescent="0.25">
      <c r="D178" s="117"/>
    </row>
    <row r="179" spans="4:4" x14ac:dyDescent="0.25">
      <c r="D179" s="117"/>
    </row>
    <row r="180" spans="4:4" x14ac:dyDescent="0.25">
      <c r="D180" s="117"/>
    </row>
    <row r="181" spans="4:4" x14ac:dyDescent="0.25">
      <c r="D181" s="117"/>
    </row>
    <row r="182" spans="4:4" x14ac:dyDescent="0.25">
      <c r="D182" s="117"/>
    </row>
    <row r="183" spans="4:4" x14ac:dyDescent="0.25">
      <c r="D183" s="117"/>
    </row>
    <row r="184" spans="4:4" x14ac:dyDescent="0.25">
      <c r="D184" s="117"/>
    </row>
    <row r="185" spans="4:4" x14ac:dyDescent="0.25">
      <c r="D185" s="117"/>
    </row>
    <row r="186" spans="4:4" x14ac:dyDescent="0.25">
      <c r="D186" s="117"/>
    </row>
    <row r="187" spans="4:4" x14ac:dyDescent="0.25">
      <c r="D187" s="117"/>
    </row>
    <row r="188" spans="4:4" x14ac:dyDescent="0.25">
      <c r="D188" s="117"/>
    </row>
    <row r="189" spans="4:4" x14ac:dyDescent="0.25">
      <c r="D189" s="117"/>
    </row>
    <row r="190" spans="4:4" x14ac:dyDescent="0.25">
      <c r="D190" s="117"/>
    </row>
    <row r="191" spans="4:4" x14ac:dyDescent="0.25">
      <c r="D191" s="117"/>
    </row>
    <row r="192" spans="4:4" x14ac:dyDescent="0.25">
      <c r="D192" s="117"/>
    </row>
    <row r="193" spans="3:4" x14ac:dyDescent="0.25">
      <c r="D193" s="117"/>
    </row>
    <row r="194" spans="3:4" x14ac:dyDescent="0.25">
      <c r="D194" s="117"/>
    </row>
    <row r="195" spans="3:4" x14ac:dyDescent="0.25">
      <c r="D195" s="117"/>
    </row>
    <row r="196" spans="3:4" x14ac:dyDescent="0.25">
      <c r="D196" s="117"/>
    </row>
    <row r="197" spans="3:4" x14ac:dyDescent="0.25">
      <c r="D197" s="117"/>
    </row>
    <row r="198" spans="3:4" x14ac:dyDescent="0.25">
      <c r="D198" s="117"/>
    </row>
    <row r="199" spans="3:4" x14ac:dyDescent="0.25">
      <c r="C199" s="29"/>
      <c r="D199" s="117"/>
    </row>
    <row r="200" spans="3:4" x14ac:dyDescent="0.25">
      <c r="C200" s="29"/>
      <c r="D200" s="117"/>
    </row>
    <row r="201" spans="3:4" x14ac:dyDescent="0.25">
      <c r="C201" s="29"/>
      <c r="D201" s="117"/>
    </row>
    <row r="202" spans="3:4" x14ac:dyDescent="0.25">
      <c r="C202" s="29"/>
      <c r="D202" s="117"/>
    </row>
  </sheetData>
  <mergeCells count="46">
    <mergeCell ref="G3:H3"/>
    <mergeCell ref="H41:K41"/>
    <mergeCell ref="G1:M2"/>
    <mergeCell ref="P1:R2"/>
    <mergeCell ref="Q11:R11"/>
    <mergeCell ref="O11:P11"/>
    <mergeCell ref="E11:I11"/>
    <mergeCell ref="K47:R47"/>
    <mergeCell ref="C41:E41"/>
    <mergeCell ref="I40:K40"/>
    <mergeCell ref="M39:P39"/>
    <mergeCell ref="C32:I32"/>
    <mergeCell ref="C33:I33"/>
    <mergeCell ref="H43:I43"/>
    <mergeCell ref="M43:P43"/>
    <mergeCell ref="M41:P41"/>
    <mergeCell ref="Q43:R43"/>
    <mergeCell ref="G47:H47"/>
    <mergeCell ref="G48:H48"/>
    <mergeCell ref="K48:R48"/>
    <mergeCell ref="G49:H49"/>
    <mergeCell ref="K49:R49"/>
    <mergeCell ref="G50:H50"/>
    <mergeCell ref="K50:R50"/>
    <mergeCell ref="H85:K85"/>
    <mergeCell ref="C76:I76"/>
    <mergeCell ref="M85:P85"/>
    <mergeCell ref="G51:H51"/>
    <mergeCell ref="K51:R51"/>
    <mergeCell ref="K52:R52"/>
    <mergeCell ref="H87:I87"/>
    <mergeCell ref="M87:P87"/>
    <mergeCell ref="Q87:R87"/>
    <mergeCell ref="G45:M46"/>
    <mergeCell ref="P45:R46"/>
    <mergeCell ref="G52:H52"/>
    <mergeCell ref="K53:R53"/>
    <mergeCell ref="K54:M54"/>
    <mergeCell ref="O55:P55"/>
    <mergeCell ref="Q55:R55"/>
    <mergeCell ref="C77:I77"/>
    <mergeCell ref="M83:P83"/>
    <mergeCell ref="I84:K84"/>
    <mergeCell ref="C85:E85"/>
    <mergeCell ref="E55:I55"/>
    <mergeCell ref="E56:I56"/>
  </mergeCells>
  <conditionalFormatting sqref="M31:R35 M36:Q36">
    <cfRule type="expression" dxfId="20" priority="9">
      <formula>IF($AG$29=1,TRUE,FALSE)</formula>
    </cfRule>
  </conditionalFormatting>
  <dataValidations count="10">
    <dataValidation type="list" allowBlank="1" showInputMessage="1" sqref="K12:K29 K57:K73">
      <formula1>$W$2:$W$21</formula1>
    </dataValidation>
    <dataValidation type="list" allowBlank="1" showInputMessage="1" sqref="C32:D33">
      <formula1>$Z$2:$Z$6</formula1>
    </dataValidation>
    <dataValidation type="list" allowBlank="1" showInputMessage="1" sqref="G43 G87">
      <formula1>$AA$2:$AA$6</formula1>
    </dataValidation>
    <dataValidation type="list" allowBlank="1" showInputMessage="1" showErrorMessage="1" error="Utiliser un compte de la liste" prompt="Entrée le type de compte a utiliser pour ce payement" sqref="G35">
      <formula1>$AD$2:$AD$12</formula1>
    </dataValidation>
    <dataValidation type="list" allowBlank="1" showDropDown="1" showInputMessage="1" showErrorMessage="1" error="Mots de passe invalide" prompt="rentrer votre mots de passe ICI" sqref="I40:J40">
      <formula1>$AC$2:$AC$11</formula1>
    </dataValidation>
    <dataValidation type="list" showInputMessage="1" showErrorMessage="1" sqref="G1:M2">
      <formula1>$X$2:$X$5</formula1>
    </dataValidation>
    <dataValidation allowBlank="1" showInputMessage="1" prompt="Entrer ici le No de Chèque" sqref="C41:F41"/>
    <dataValidation type="list" allowBlank="1" showInputMessage="1" showErrorMessage="1" error="Type de Facture de la liste uniquement" prompt="Si la référence est deja existante ne pas remplire" sqref="G9">
      <formula1>$AE$2:$AE$3</formula1>
    </dataValidation>
    <dataValidation type="list" allowBlank="1" showInputMessage="1" showErrorMessage="1" sqref="K10">
      <formula1>$V$2:$V$7</formula1>
    </dataValidation>
    <dataValidation type="list" allowBlank="1" showInputMessage="1" sqref="E73">
      <formula1>$A$2:$A$42</formula1>
    </dataValidation>
  </dataValidations>
  <pageMargins left="0" right="0" top="2.3622047244094491" bottom="0" header="0" footer="0"/>
  <pageSetup paperSize="9" orientation="portrait" horizontalDpi="4294967293" verticalDpi="4294967293" r:id="rId1"/>
  <headerFooter>
    <oddHeader>&amp;C&amp;G</oddHeader>
    <oddFooter>&amp;R&amp;P/&amp;N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3075" r:id="rId5" name="CommandButton1">
          <controlPr autoLine="0" r:id="rId6">
            <anchor moveWithCells="1">
              <from>
                <xdr:col>33</xdr:col>
                <xdr:colOff>0</xdr:colOff>
                <xdr:row>10</xdr:row>
                <xdr:rowOff>19050</xdr:rowOff>
              </from>
              <to>
                <xdr:col>34</xdr:col>
                <xdr:colOff>0</xdr:colOff>
                <xdr:row>11</xdr:row>
                <xdr:rowOff>133350</xdr:rowOff>
              </to>
            </anchor>
          </controlPr>
        </control>
      </mc:Choice>
      <mc:Fallback>
        <control shapeId="3075" r:id="rId5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5" operator="containsText" id="{351AA5FC-DB61-4182-8DC1-18FA34F648E0}">
            <xm:f>NOT(ISERROR(SEARCH($AC$11,I40)))</xm:f>
            <xm:f>$AC$11</xm:f>
            <x14:dxf>
              <font>
                <strike val="0"/>
                <color theme="0"/>
              </font>
            </x14:dxf>
          </x14:cfRule>
          <x14:cfRule type="containsText" priority="46" operator="containsText" id="{230D6179-7E52-446D-A7B9-AF3018FBCF09}">
            <xm:f>NOT(ISERROR(SEARCH($AC$10,I40)))</xm:f>
            <xm:f>$AC$10</xm:f>
            <x14:dxf>
              <font>
                <strike val="0"/>
                <color theme="0"/>
              </font>
            </x14:dxf>
          </x14:cfRule>
          <x14:cfRule type="containsText" priority="47" operator="containsText" id="{7783635C-A1C8-40A2-BF72-BF8DE60763C9}">
            <xm:f>NOT(ISERROR(SEARCH($AC$9,I40)))</xm:f>
            <xm:f>$AC$9</xm:f>
            <x14:dxf>
              <font>
                <strike val="0"/>
                <color theme="0"/>
              </font>
            </x14:dxf>
          </x14:cfRule>
          <x14:cfRule type="containsText" priority="48" operator="containsText" id="{0129FC8E-544C-4016-90ED-9D7B6012E6D9}">
            <xm:f>NOT(ISERROR(SEARCH($AC$8,I40)))</xm:f>
            <xm:f>$AC$8</xm:f>
            <x14:dxf>
              <font>
                <strike val="0"/>
                <color theme="0"/>
              </font>
            </x14:dxf>
          </x14:cfRule>
          <x14:cfRule type="containsText" priority="49" operator="containsText" id="{0D826159-A329-494E-9BDC-7219BBB6D18D}">
            <xm:f>NOT(ISERROR(SEARCH($AC$7,I40)))</xm:f>
            <xm:f>$AC$7</xm:f>
            <x14:dxf>
              <font>
                <strike val="0"/>
                <color theme="0"/>
              </font>
            </x14:dxf>
          </x14:cfRule>
          <x14:cfRule type="containsText" priority="50" operator="containsText" id="{3723E296-63D6-4908-A621-2FD38AF6A92B}">
            <xm:f>NOT(ISERROR(SEARCH($AC$6,I40)))</xm:f>
            <xm:f>$AC$6</xm:f>
            <x14:dxf>
              <font>
                <strike val="0"/>
                <color theme="0"/>
              </font>
            </x14:dxf>
          </x14:cfRule>
          <x14:cfRule type="containsText" priority="51" operator="containsText" id="{64E07A80-3CD6-4317-8F1A-AB6E646CA7B7}">
            <xm:f>NOT(ISERROR(SEARCH($AC$5,I40)))</xm:f>
            <xm:f>$AC$5</xm:f>
            <x14:dxf>
              <font>
                <strike val="0"/>
                <color theme="0"/>
              </font>
            </x14:dxf>
          </x14:cfRule>
          <x14:cfRule type="containsText" priority="52" operator="containsText" id="{97DD5050-865C-4689-8D3A-85A60F4B138B}">
            <xm:f>NOT(ISERROR(SEARCH($AC$4,I40)))</xm:f>
            <xm:f>$AC$4</xm:f>
            <x14:dxf>
              <font>
                <strike val="0"/>
                <color theme="0"/>
              </font>
            </x14:dxf>
          </x14:cfRule>
          <x14:cfRule type="containsText" priority="53" operator="containsText" id="{CFFC2400-0E05-428F-8955-89CFFFF869A9}">
            <xm:f>NOT(ISERROR(SEARCH($AC$3,I40)))</xm:f>
            <xm:f>$AC$3</xm:f>
            <x14:dxf>
              <font>
                <strike val="0"/>
                <color theme="0"/>
              </font>
            </x14:dxf>
          </x14:cfRule>
          <x14:cfRule type="containsText" priority="54" operator="containsText" id="{D3F9752D-83DD-4525-A8B9-CE97A1742CD9}">
            <xm:f>NOT(ISERROR(SEARCH($AC$2,I40)))</xm:f>
            <xm:f>$AC$2</xm:f>
            <x14:dxf>
              <font>
                <strike val="0"/>
                <color theme="0"/>
              </font>
            </x14:dxf>
          </x14:cfRule>
          <xm:sqref>I40:L40</xm:sqref>
        </x14:conditionalFormatting>
        <x14:conditionalFormatting xmlns:xm="http://schemas.microsoft.com/office/excel/2006/main">
          <x14:cfRule type="containsText" priority="32" operator="containsText" id="{EB9C4142-B66E-4BE2-A79C-C9B450218815}">
            <xm:f>NOT(ISERROR(SEARCH($AC$11,I84)))</xm:f>
            <xm:f>$AC$11</xm:f>
            <x14:dxf>
              <font>
                <strike val="0"/>
                <color theme="0"/>
              </font>
            </x14:dxf>
          </x14:cfRule>
          <x14:cfRule type="containsText" priority="33" operator="containsText" id="{606B33B0-821D-41F5-8AE9-A8B407F6E1F8}">
            <xm:f>NOT(ISERROR(SEARCH($AC$10,I84)))</xm:f>
            <xm:f>$AC$10</xm:f>
            <x14:dxf>
              <font>
                <strike val="0"/>
                <color theme="0"/>
              </font>
            </x14:dxf>
          </x14:cfRule>
          <x14:cfRule type="containsText" priority="34" operator="containsText" id="{CD3BF5CF-89C7-4E21-A245-128701008B3E}">
            <xm:f>NOT(ISERROR(SEARCH($AC$9,I84)))</xm:f>
            <xm:f>$AC$9</xm:f>
            <x14:dxf>
              <font>
                <strike val="0"/>
                <color theme="0"/>
              </font>
            </x14:dxf>
          </x14:cfRule>
          <x14:cfRule type="containsText" priority="35" operator="containsText" id="{72240CDF-8550-41BC-A52A-8280E5BB6E8B}">
            <xm:f>NOT(ISERROR(SEARCH($AC$8,I84)))</xm:f>
            <xm:f>$AC$8</xm:f>
            <x14:dxf>
              <font>
                <strike val="0"/>
                <color theme="0"/>
              </font>
            </x14:dxf>
          </x14:cfRule>
          <x14:cfRule type="containsText" priority="36" operator="containsText" id="{CCDAD7D7-327A-4559-AE1C-F41213581FC9}">
            <xm:f>NOT(ISERROR(SEARCH($AC$7,I84)))</xm:f>
            <xm:f>$AC$7</xm:f>
            <x14:dxf>
              <font>
                <strike val="0"/>
                <color theme="0"/>
              </font>
            </x14:dxf>
          </x14:cfRule>
          <x14:cfRule type="containsText" priority="37" operator="containsText" id="{6B59E267-10FF-47DC-A576-1C7BAD80B975}">
            <xm:f>NOT(ISERROR(SEARCH($AC$6,I84)))</xm:f>
            <xm:f>$AC$6</xm:f>
            <x14:dxf>
              <font>
                <strike val="0"/>
                <color theme="0"/>
              </font>
            </x14:dxf>
          </x14:cfRule>
          <x14:cfRule type="containsText" priority="38" operator="containsText" id="{0BAF9724-48EB-4EBD-92D1-DC6C2AEF088F}">
            <xm:f>NOT(ISERROR(SEARCH($AC$5,I84)))</xm:f>
            <xm:f>$AC$5</xm:f>
            <x14:dxf>
              <font>
                <strike val="0"/>
                <color theme="0"/>
              </font>
            </x14:dxf>
          </x14:cfRule>
          <x14:cfRule type="containsText" priority="39" operator="containsText" id="{C350B084-E818-4680-AD13-64E62E0F64A8}">
            <xm:f>NOT(ISERROR(SEARCH($AC$4,I84)))</xm:f>
            <xm:f>$AC$4</xm:f>
            <x14:dxf>
              <font>
                <strike val="0"/>
                <color theme="0"/>
              </font>
            </x14:dxf>
          </x14:cfRule>
          <x14:cfRule type="containsText" priority="40" operator="containsText" id="{916C7E6D-1177-4A63-83F2-E800A16ECFC7}">
            <xm:f>NOT(ISERROR(SEARCH($AC$3,I84)))</xm:f>
            <xm:f>$AC$3</xm:f>
            <x14:dxf>
              <font>
                <strike val="0"/>
                <color theme="0"/>
              </font>
            </x14:dxf>
          </x14:cfRule>
          <x14:cfRule type="containsText" priority="41" operator="containsText" id="{FB7D7C67-7173-413B-B099-695AC86DB1C8}">
            <xm:f>NOT(ISERROR(SEARCH($AC$2,I84)))</xm:f>
            <xm:f>$AC$2</xm:f>
            <x14:dxf>
              <font>
                <strike val="0"/>
                <color theme="0"/>
              </font>
            </x14:dxf>
          </x14:cfRule>
          <xm:sqref>I84:L84</xm:sqref>
        </x14:conditionalFormatting>
        <x14:conditionalFormatting xmlns:xm="http://schemas.microsoft.com/office/excel/2006/main">
          <x14:cfRule type="iconSet" priority="31" id="{874CF822-4864-4DCA-B4D1-81313238A8D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4TrafficLights" iconId="0"/>
              <x14:cfIcon iconSet="3Arrows" iconId="0"/>
            </x14:iconSet>
          </x14:cfRule>
          <xm:sqref>AG29</xm:sqref>
        </x14:conditionalFormatting>
        <x14:conditionalFormatting xmlns:xm="http://schemas.microsoft.com/office/excel/2006/main">
          <x14:cfRule type="iconSet" priority="28" id="{E5B0FA18-DED1-4FE8-88F9-4CDACC03976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AG33</xm:sqref>
        </x14:conditionalFormatting>
        <x14:conditionalFormatting xmlns:xm="http://schemas.microsoft.com/office/excel/2006/main">
          <x14:cfRule type="iconSet" priority="27" id="{BCB9A34A-76FF-4389-94DF-81DD91B0EFA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AG35</xm:sqref>
        </x14:conditionalFormatting>
        <x14:conditionalFormatting xmlns:xm="http://schemas.microsoft.com/office/excel/2006/main">
          <x14:cfRule type="iconSet" priority="26" id="{AF2864D8-F947-4DA5-93C2-F6E517577FE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AG37</xm:sqref>
        </x14:conditionalFormatting>
        <x14:conditionalFormatting xmlns:xm="http://schemas.microsoft.com/office/excel/2006/main">
          <x14:cfRule type="iconSet" priority="25" id="{9C1AA45D-1C1E-4C28-98BA-068322DAC93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AG39</xm:sqref>
        </x14:conditionalFormatting>
        <x14:conditionalFormatting xmlns:xm="http://schemas.microsoft.com/office/excel/2006/main">
          <x14:cfRule type="iconSet" priority="24" id="{E4AA5A98-6A63-43BA-A3CD-C6FD652710F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AG41</xm:sqref>
        </x14:conditionalFormatting>
        <x14:conditionalFormatting xmlns:xm="http://schemas.microsoft.com/office/excel/2006/main">
          <x14:cfRule type="iconSet" priority="23" id="{74C4AC25-33F3-4CC9-BF7F-73FB9CCC165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AG43</xm:sqref>
        </x14:conditionalFormatting>
        <x14:conditionalFormatting xmlns:xm="http://schemas.microsoft.com/office/excel/2006/main">
          <x14:cfRule type="iconSet" priority="18" id="{6DC872ED-7D3F-44C9-9EB6-662144997BD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AG46</xm:sqref>
        </x14:conditionalFormatting>
        <x14:conditionalFormatting xmlns:xm="http://schemas.microsoft.com/office/excel/2006/main">
          <x14:cfRule type="iconSet" priority="17" id="{D96FBF8C-1CA0-478D-9EB2-F0ED5313BC1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AG49</xm:sqref>
        </x14:conditionalFormatting>
        <x14:conditionalFormatting xmlns:xm="http://schemas.microsoft.com/office/excel/2006/main">
          <x14:cfRule type="iconSet" priority="16" id="{FAB05D70-0C93-4580-BF9D-3EA47CF43BF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AG45</xm:sqref>
        </x14:conditionalFormatting>
        <x14:conditionalFormatting xmlns:xm="http://schemas.microsoft.com/office/excel/2006/main">
          <x14:cfRule type="iconSet" priority="15" id="{2FFC4263-50E5-45E0-AB5B-320B1B42A09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AG47</xm:sqref>
        </x14:conditionalFormatting>
        <x14:conditionalFormatting xmlns:xm="http://schemas.microsoft.com/office/excel/2006/main">
          <x14:cfRule type="iconSet" priority="14" id="{06208672-C63C-47F9-B6AB-84EDE4188A5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AG51</xm:sqref>
        </x14:conditionalFormatting>
        <x14:conditionalFormatting xmlns:xm="http://schemas.microsoft.com/office/excel/2006/main">
          <x14:cfRule type="iconSet" priority="13" id="{B276D244-65EB-4B13-B824-084E912C73B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AG53</xm:sqref>
        </x14:conditionalFormatting>
        <x14:conditionalFormatting xmlns:xm="http://schemas.microsoft.com/office/excel/2006/main">
          <x14:cfRule type="iconSet" priority="12" id="{012F0A5E-C4AC-40D6-9852-E22331589B7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AG56</xm:sqref>
        </x14:conditionalFormatting>
        <x14:conditionalFormatting xmlns:xm="http://schemas.microsoft.com/office/excel/2006/main">
          <x14:cfRule type="iconSet" priority="8" id="{0F2EA65B-100E-422F-98C3-E97E27F78B56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D3:D8</xm:sqref>
        </x14:conditionalFormatting>
        <x14:conditionalFormatting xmlns:xm="http://schemas.microsoft.com/office/excel/2006/main">
          <x14:cfRule type="iconSet" priority="7" id="{6B691686-D16D-4346-BE4F-EF87CF0550BD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D9</xm:sqref>
        </x14:conditionalFormatting>
        <x14:conditionalFormatting xmlns:xm="http://schemas.microsoft.com/office/excel/2006/main">
          <x14:cfRule type="iconSet" priority="6" id="{2EFAB2BD-0087-4759-8BDE-0CEA219BFAC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AG31</xm:sqref>
        </x14:conditionalFormatting>
        <x14:conditionalFormatting xmlns:xm="http://schemas.microsoft.com/office/excel/2006/main">
          <x14:cfRule type="iconSet" priority="5" id="{7A2843C2-5301-4BBF-9B95-F657638007B9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G4:G8</xm:sqref>
        </x14:conditionalFormatting>
        <x14:conditionalFormatting xmlns:xm="http://schemas.microsoft.com/office/excel/2006/main">
          <x14:cfRule type="iconSet" priority="4" id="{C918B6D9-382B-45E8-93DB-A33BBD47DC5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K3:K9</xm:sqref>
        </x14:conditionalFormatting>
        <x14:conditionalFormatting xmlns:xm="http://schemas.microsoft.com/office/excel/2006/main">
          <x14:cfRule type="iconSet" priority="3" id="{B70A07FB-71E5-4F5F-8C33-B9AE39C89F4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R10</xm:sqref>
        </x14:conditionalFormatting>
        <x14:conditionalFormatting xmlns:xm="http://schemas.microsoft.com/office/excel/2006/main">
          <x14:cfRule type="iconSet" priority="2" id="{8D61DC11-2178-4A7F-9200-414DA6366245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E12:E29</xm:sqref>
        </x14:conditionalFormatting>
        <x14:conditionalFormatting xmlns:xm="http://schemas.microsoft.com/office/excel/2006/main">
          <x14:cfRule type="iconSet" priority="1" id="{A0615084-D84E-48A0-9CC2-4D05FCD5F2C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E57:E73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7">
        <x14:dataValidation type="list" errorStyle="information" allowBlank="1" showDropDown="1" showInputMessage="1" showErrorMessage="1" error="Cette référence n'existe pas._x000a_Pour en créer une nouvelle presser sur OK, sinon ANNULER.">
          <x14:formula1>
            <xm:f>BDD!$A:$A</xm:f>
          </x14:formula1>
          <xm:sqref>G3:H3</xm:sqref>
        </x14:dataValidation>
        <x14:dataValidation type="list" allowBlank="1" showInputMessage="1">
          <x14:formula1>
            <xm:f>'liste deroulamte'!$B$3:$I$3</xm:f>
          </x14:formula1>
          <xm:sqref>M13</xm:sqref>
        </x14:dataValidation>
        <x14:dataValidation type="list" allowBlank="1" showInputMessage="1">
          <x14:formula1>
            <xm:f>BDDprix!$A$3:$A$40</xm:f>
          </x14:formula1>
          <xm:sqref>E12:E29 E57:E72</xm:sqref>
        </x14:dataValidation>
        <x14:dataValidation type="list" allowBlank="1" showInputMessage="1">
          <x14:formula1>
            <xm:f>'liste deroulamte'!$B$2:$I$2</xm:f>
          </x14:formula1>
          <xm:sqref>M12</xm:sqref>
        </x14:dataValidation>
        <x14:dataValidation type="list" allowBlank="1" showInputMessage="1">
          <x14:formula1>
            <xm:f>'liste deroulamte'!$B$4:$I$4</xm:f>
          </x14:formula1>
          <xm:sqref>M14</xm:sqref>
        </x14:dataValidation>
        <x14:dataValidation type="list" allowBlank="1" showInputMessage="1">
          <x14:formula1>
            <xm:f>'liste deroulamte'!$B$5:$I$5</xm:f>
          </x14:formula1>
          <xm:sqref>M15</xm:sqref>
        </x14:dataValidation>
        <x14:dataValidation type="list" allowBlank="1" showInputMessage="1">
          <x14:formula1>
            <xm:f>'liste deroulamte'!$B$6:$I$6</xm:f>
          </x14:formula1>
          <xm:sqref>M16</xm:sqref>
        </x14:dataValidation>
        <x14:dataValidation type="list" allowBlank="1" showInputMessage="1">
          <x14:formula1>
            <xm:f>'liste deroulamte'!$B$7:$I$7</xm:f>
          </x14:formula1>
          <xm:sqref>M17</xm:sqref>
        </x14:dataValidation>
        <x14:dataValidation type="list" allowBlank="1" showInputMessage="1">
          <x14:formula1>
            <xm:f>'liste deroulamte'!$B$8:$I$8</xm:f>
          </x14:formula1>
          <xm:sqref>M18</xm:sqref>
        </x14:dataValidation>
        <x14:dataValidation type="list" allowBlank="1" showInputMessage="1">
          <x14:formula1>
            <xm:f>'liste deroulamte'!$B$9:$I$9</xm:f>
          </x14:formula1>
          <xm:sqref>M19</xm:sqref>
        </x14:dataValidation>
        <x14:dataValidation type="list" allowBlank="1" showInputMessage="1">
          <x14:formula1>
            <xm:f>'liste deroulamte'!$B$10:$I$10</xm:f>
          </x14:formula1>
          <xm:sqref>M20</xm:sqref>
        </x14:dataValidation>
        <x14:dataValidation type="list" allowBlank="1" showInputMessage="1">
          <x14:formula1>
            <xm:f>'liste deroulamte'!$B$11:$I$11</xm:f>
          </x14:formula1>
          <xm:sqref>M21</xm:sqref>
        </x14:dataValidation>
        <x14:dataValidation type="list" allowBlank="1" showInputMessage="1">
          <x14:formula1>
            <xm:f>'liste deroulamte'!$B$12:$I$12</xm:f>
          </x14:formula1>
          <xm:sqref>M22</xm:sqref>
        </x14:dataValidation>
        <x14:dataValidation type="list" allowBlank="1" showInputMessage="1">
          <x14:formula1>
            <xm:f>'liste deroulamte'!$B$13:$I$13</xm:f>
          </x14:formula1>
          <xm:sqref>M23</xm:sqref>
        </x14:dataValidation>
        <x14:dataValidation type="list" allowBlank="1" showInputMessage="1">
          <x14:formula1>
            <xm:f>'liste deroulamte'!$B$14:$I$14</xm:f>
          </x14:formula1>
          <xm:sqref>M24</xm:sqref>
        </x14:dataValidation>
        <x14:dataValidation type="list" allowBlank="1" showInputMessage="1">
          <x14:formula1>
            <xm:f>'liste deroulamte'!$B$15:$I$15</xm:f>
          </x14:formula1>
          <xm:sqref>M25</xm:sqref>
        </x14:dataValidation>
        <x14:dataValidation type="list" allowBlank="1" showInputMessage="1">
          <x14:formula1>
            <xm:f>'liste deroulamte'!$B$16:$I$16</xm:f>
          </x14:formula1>
          <xm:sqref>M26</xm:sqref>
        </x14:dataValidation>
        <x14:dataValidation type="list" allowBlank="1" showInputMessage="1">
          <x14:formula1>
            <xm:f>'liste deroulamte'!$B$17:$I$17</xm:f>
          </x14:formula1>
          <xm:sqref>M27</xm:sqref>
        </x14:dataValidation>
        <x14:dataValidation type="list" allowBlank="1" showInputMessage="1">
          <x14:formula1>
            <xm:f>'liste deroulamte'!$B$18:$I$18</xm:f>
          </x14:formula1>
          <xm:sqref>M28</xm:sqref>
        </x14:dataValidation>
        <x14:dataValidation type="list" allowBlank="1" showInputMessage="1">
          <x14:formula1>
            <xm:f>'liste deroulamte'!$B$19:$I$19</xm:f>
          </x14:formula1>
          <xm:sqref>M29</xm:sqref>
        </x14:dataValidation>
        <x14:dataValidation type="list" allowBlank="1" showInputMessage="1">
          <x14:formula1>
            <xm:f>'liste deroulamte'!$B$20:$I$20</xm:f>
          </x14:formula1>
          <xm:sqref>M57</xm:sqref>
        </x14:dataValidation>
        <x14:dataValidation type="list" allowBlank="1" showInputMessage="1">
          <x14:formula1>
            <xm:f>'liste deroulamte'!$B$21:$I$21</xm:f>
          </x14:formula1>
          <xm:sqref>M58</xm:sqref>
        </x14:dataValidation>
        <x14:dataValidation type="list" allowBlank="1" showInputMessage="1">
          <x14:formula1>
            <xm:f>'liste deroulamte'!$B$22:$I$22</xm:f>
          </x14:formula1>
          <xm:sqref>M59</xm:sqref>
        </x14:dataValidation>
        <x14:dataValidation type="list" allowBlank="1" showInputMessage="1">
          <x14:formula1>
            <xm:f>'liste deroulamte'!$B$23:$I$23</xm:f>
          </x14:formula1>
          <xm:sqref>M60</xm:sqref>
        </x14:dataValidation>
        <x14:dataValidation type="list" allowBlank="1" showInputMessage="1">
          <x14:formula1>
            <xm:f>'liste deroulamte'!$C$24:$I$24</xm:f>
          </x14:formula1>
          <xm:sqref>M61</xm:sqref>
        </x14:dataValidation>
        <x14:dataValidation type="list" allowBlank="1" showInputMessage="1">
          <x14:formula1>
            <xm:f>'liste deroulamte'!$C$25:$I$25</xm:f>
          </x14:formula1>
          <xm:sqref>M62</xm:sqref>
        </x14:dataValidation>
        <x14:dataValidation type="list" allowBlank="1" showInputMessage="1">
          <x14:formula1>
            <xm:f>'liste deroulamte'!$B$26:$I$26</xm:f>
          </x14:formula1>
          <xm:sqref>M63</xm:sqref>
        </x14:dataValidation>
        <x14:dataValidation type="list" allowBlank="1" showInputMessage="1">
          <x14:formula1>
            <xm:f>'liste deroulamte'!$B$27:$I$27</xm:f>
          </x14:formula1>
          <xm:sqref>M64</xm:sqref>
        </x14:dataValidation>
        <x14:dataValidation type="list" allowBlank="1" showInputMessage="1">
          <x14:formula1>
            <xm:f>'liste deroulamte'!$B$28:$I$28</xm:f>
          </x14:formula1>
          <xm:sqref>M65</xm:sqref>
        </x14:dataValidation>
        <x14:dataValidation type="list" allowBlank="1" showInputMessage="1">
          <x14:formula1>
            <xm:f>'liste deroulamte'!$B$29:$I$29</xm:f>
          </x14:formula1>
          <xm:sqref>M66</xm:sqref>
        </x14:dataValidation>
        <x14:dataValidation type="list" allowBlank="1" showInputMessage="1">
          <x14:formula1>
            <xm:f>'liste deroulamte'!$B$30:$I$30</xm:f>
          </x14:formula1>
          <xm:sqref>M67</xm:sqref>
        </x14:dataValidation>
        <x14:dataValidation type="list" allowBlank="1" showInputMessage="1">
          <x14:formula1>
            <xm:f>'liste deroulamte'!$B$31:$I$31</xm:f>
          </x14:formula1>
          <xm:sqref>M68</xm:sqref>
        </x14:dataValidation>
        <x14:dataValidation type="list" allowBlank="1" showInputMessage="1">
          <x14:formula1>
            <xm:f>'liste deroulamte'!$B$32:$I$32</xm:f>
          </x14:formula1>
          <xm:sqref>M69</xm:sqref>
        </x14:dataValidation>
        <x14:dataValidation type="list" allowBlank="1" showInputMessage="1">
          <x14:formula1>
            <xm:f>'liste deroulamte'!$B$33:$I$33</xm:f>
          </x14:formula1>
          <xm:sqref>M70</xm:sqref>
        </x14:dataValidation>
        <x14:dataValidation type="list" allowBlank="1" showInputMessage="1">
          <x14:formula1>
            <xm:f>'liste deroulamte'!$C$34:$I$34</xm:f>
          </x14:formula1>
          <xm:sqref>M71</xm:sqref>
        </x14:dataValidation>
        <x14:dataValidation type="list" allowBlank="1" showInputMessage="1">
          <x14:formula1>
            <xm:f>'liste deroulamte'!$B$35:$I$35</xm:f>
          </x14:formula1>
          <xm:sqref>M72</xm:sqref>
        </x14:dataValidation>
        <x14:dataValidation type="list" allowBlank="1" showInputMessage="1">
          <x14:formula1>
            <xm:f>'liste deroulamte'!$B$36:$I$36</xm:f>
          </x14:formula1>
          <xm:sqref>M73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97"/>
  <sheetViews>
    <sheetView workbookViewId="0">
      <selection activeCell="I5" sqref="I5"/>
    </sheetView>
  </sheetViews>
  <sheetFormatPr baseColWidth="10" defaultRowHeight="15" x14ac:dyDescent="0.25"/>
  <cols>
    <col min="1" max="1" width="3.5703125" customWidth="1"/>
    <col min="2" max="2" width="22.85546875" customWidth="1"/>
    <col min="3" max="3" width="12.28515625" style="1" customWidth="1"/>
    <col min="4" max="4" width="2.140625" customWidth="1"/>
    <col min="5" max="5" width="11" style="2" customWidth="1"/>
    <col min="6" max="6" width="3.85546875" style="2" customWidth="1"/>
    <col min="7" max="7" width="9.42578125" style="1" customWidth="1"/>
    <col min="8" max="8" width="10.28515625" style="1" customWidth="1"/>
    <col min="9" max="9" width="17.42578125" customWidth="1"/>
  </cols>
  <sheetData>
    <row r="1" spans="1:15" ht="18.75" x14ac:dyDescent="0.3">
      <c r="A1" s="11" t="s">
        <v>0</v>
      </c>
      <c r="I1" s="8" t="s">
        <v>2</v>
      </c>
      <c r="J1" s="8">
        <v>40</v>
      </c>
    </row>
    <row r="3" spans="1:15" x14ac:dyDescent="0.25">
      <c r="C3" s="1" t="s">
        <v>24</v>
      </c>
      <c r="E3" s="2" t="s">
        <v>25</v>
      </c>
      <c r="G3" s="1" t="s">
        <v>73</v>
      </c>
      <c r="H3" s="1" t="s">
        <v>74</v>
      </c>
      <c r="I3" t="s">
        <v>123</v>
      </c>
      <c r="J3" t="s">
        <v>123</v>
      </c>
      <c r="K3" t="s">
        <v>124</v>
      </c>
      <c r="L3" t="s">
        <v>124</v>
      </c>
      <c r="M3" t="s">
        <v>124</v>
      </c>
      <c r="N3" t="s">
        <v>124</v>
      </c>
      <c r="O3" t="s">
        <v>124</v>
      </c>
    </row>
    <row r="4" spans="1:15" x14ac:dyDescent="0.25">
      <c r="A4" s="9" t="s">
        <v>1</v>
      </c>
    </row>
    <row r="5" spans="1:15" x14ac:dyDescent="0.25">
      <c r="B5" t="s">
        <v>4</v>
      </c>
      <c r="C5" s="1">
        <v>1500</v>
      </c>
      <c r="E5" s="2">
        <f>ROUNDUP(C5/$J$1,0)</f>
        <v>38</v>
      </c>
      <c r="I5" t="s">
        <v>13</v>
      </c>
      <c r="J5" t="s">
        <v>9</v>
      </c>
    </row>
    <row r="6" spans="1:15" x14ac:dyDescent="0.25">
      <c r="B6" t="s">
        <v>5</v>
      </c>
      <c r="C6" s="1">
        <v>1000</v>
      </c>
      <c r="E6" s="2">
        <f>ROUNDUP(C6/$J$1,0)</f>
        <v>25</v>
      </c>
      <c r="I6" t="s">
        <v>14</v>
      </c>
      <c r="J6" t="s">
        <v>10</v>
      </c>
    </row>
    <row r="7" spans="1:15" x14ac:dyDescent="0.25">
      <c r="B7" t="s">
        <v>6</v>
      </c>
      <c r="C7" s="1">
        <v>500</v>
      </c>
      <c r="E7" s="2">
        <f>ROUNDUP(C7/$J$1,0)</f>
        <v>13</v>
      </c>
    </row>
    <row r="8" spans="1:15" x14ac:dyDescent="0.25">
      <c r="B8" t="s">
        <v>7</v>
      </c>
      <c r="C8" s="1" t="s">
        <v>8</v>
      </c>
    </row>
    <row r="10" spans="1:15" x14ac:dyDescent="0.25">
      <c r="A10" s="9" t="s">
        <v>11</v>
      </c>
    </row>
    <row r="11" spans="1:15" x14ac:dyDescent="0.25">
      <c r="B11" t="s">
        <v>4</v>
      </c>
      <c r="C11" s="1">
        <v>0</v>
      </c>
      <c r="E11" s="2">
        <f>ROUNDUP(C11/$J$1,0)</f>
        <v>0</v>
      </c>
      <c r="I11" t="s">
        <v>13</v>
      </c>
    </row>
    <row r="12" spans="1:15" x14ac:dyDescent="0.25">
      <c r="B12" t="s">
        <v>5</v>
      </c>
      <c r="C12" s="1">
        <v>0</v>
      </c>
      <c r="E12" s="2">
        <f>ROUNDUP(C12/$J$1,0)</f>
        <v>0</v>
      </c>
      <c r="I12" t="s">
        <v>12</v>
      </c>
    </row>
    <row r="13" spans="1:15" x14ac:dyDescent="0.25">
      <c r="B13" t="s">
        <v>6</v>
      </c>
      <c r="C13" s="1">
        <v>0</v>
      </c>
      <c r="E13" s="2">
        <f>ROUNDUP(C13/$J$1,0)</f>
        <v>0</v>
      </c>
    </row>
    <row r="14" spans="1:15" x14ac:dyDescent="0.25">
      <c r="B14" t="s">
        <v>7</v>
      </c>
      <c r="C14" s="1">
        <v>0</v>
      </c>
      <c r="E14" s="2">
        <f>ROUNDUP(C14/$J$1,0)</f>
        <v>0</v>
      </c>
    </row>
    <row r="16" spans="1:15" x14ac:dyDescent="0.25">
      <c r="A16" s="9" t="s">
        <v>15</v>
      </c>
    </row>
    <row r="17" spans="1:9" x14ac:dyDescent="0.25">
      <c r="B17" t="s">
        <v>4</v>
      </c>
      <c r="C17" s="1">
        <v>0</v>
      </c>
      <c r="E17" s="2">
        <f>ROUNDUP(C17/$J$1,0)</f>
        <v>0</v>
      </c>
      <c r="I17" t="s">
        <v>13</v>
      </c>
    </row>
    <row r="18" spans="1:9" x14ac:dyDescent="0.25">
      <c r="B18" t="s">
        <v>5</v>
      </c>
      <c r="C18" s="1">
        <v>0</v>
      </c>
      <c r="E18" s="2">
        <f>ROUNDUP(C18/$J$1,0)</f>
        <v>0</v>
      </c>
      <c r="I18" t="s">
        <v>12</v>
      </c>
    </row>
    <row r="19" spans="1:9" x14ac:dyDescent="0.25">
      <c r="B19" t="s">
        <v>6</v>
      </c>
      <c r="C19" s="1">
        <v>0</v>
      </c>
      <c r="E19" s="2">
        <f>ROUNDUP(C19/$J$1,0)</f>
        <v>0</v>
      </c>
    </row>
    <row r="20" spans="1:9" x14ac:dyDescent="0.25">
      <c r="B20" t="s">
        <v>7</v>
      </c>
      <c r="C20" s="1">
        <v>0</v>
      </c>
      <c r="E20" s="2">
        <f>ROUNDUP(C20/$J$1,0)</f>
        <v>0</v>
      </c>
    </row>
    <row r="22" spans="1:9" x14ac:dyDescent="0.25">
      <c r="A22" s="9" t="s">
        <v>16</v>
      </c>
      <c r="I22" t="s">
        <v>13</v>
      </c>
    </row>
    <row r="23" spans="1:9" x14ac:dyDescent="0.25">
      <c r="B23" t="s">
        <v>4</v>
      </c>
      <c r="C23" s="1">
        <v>0</v>
      </c>
      <c r="E23" s="2">
        <f>ROUNDUP(C23/$J$1,0)</f>
        <v>0</v>
      </c>
      <c r="I23" t="s">
        <v>12</v>
      </c>
    </row>
    <row r="24" spans="1:9" x14ac:dyDescent="0.25">
      <c r="B24" t="s">
        <v>5</v>
      </c>
      <c r="C24" s="1">
        <v>0</v>
      </c>
      <c r="E24" s="2">
        <f>ROUNDUP(C24/$J$1,0)</f>
        <v>0</v>
      </c>
    </row>
    <row r="25" spans="1:9" x14ac:dyDescent="0.25">
      <c r="B25" t="s">
        <v>6</v>
      </c>
      <c r="C25" s="1">
        <v>0</v>
      </c>
      <c r="E25" s="2">
        <f>ROUNDUP(C25/$J$1,0)</f>
        <v>0</v>
      </c>
    </row>
    <row r="26" spans="1:9" x14ac:dyDescent="0.25">
      <c r="B26" t="s">
        <v>7</v>
      </c>
      <c r="C26" s="1">
        <v>0</v>
      </c>
      <c r="E26" s="2">
        <f>ROUNDUP(C26/$J$1,0)</f>
        <v>0</v>
      </c>
    </row>
    <row r="28" spans="1:9" x14ac:dyDescent="0.25">
      <c r="A28" s="9" t="s">
        <v>17</v>
      </c>
      <c r="I28" t="s">
        <v>13</v>
      </c>
    </row>
    <row r="29" spans="1:9" x14ac:dyDescent="0.25">
      <c r="B29" t="s">
        <v>4</v>
      </c>
      <c r="C29" s="1">
        <v>0</v>
      </c>
      <c r="E29" s="2">
        <f>ROUNDUP(C29/$J$1,0)</f>
        <v>0</v>
      </c>
      <c r="I29" t="s">
        <v>12</v>
      </c>
    </row>
    <row r="30" spans="1:9" x14ac:dyDescent="0.25">
      <c r="B30" t="s">
        <v>5</v>
      </c>
      <c r="C30" s="1">
        <v>0</v>
      </c>
      <c r="E30" s="2">
        <f>ROUNDUP(C30/$J$1,0)</f>
        <v>0</v>
      </c>
    </row>
    <row r="31" spans="1:9" x14ac:dyDescent="0.25">
      <c r="B31" t="s">
        <v>6</v>
      </c>
      <c r="C31" s="1">
        <v>0</v>
      </c>
      <c r="E31" s="2">
        <f>ROUNDUP(C31/$J$1,0)</f>
        <v>0</v>
      </c>
    </row>
    <row r="32" spans="1:9" x14ac:dyDescent="0.25">
      <c r="B32" t="s">
        <v>7</v>
      </c>
      <c r="C32" s="1">
        <v>0</v>
      </c>
      <c r="E32" s="2">
        <f>ROUNDUP(C32/$J$1,0)</f>
        <v>0</v>
      </c>
    </row>
    <row r="34" spans="1:9" x14ac:dyDescent="0.25">
      <c r="A34" s="9" t="s">
        <v>18</v>
      </c>
      <c r="I34" t="s">
        <v>13</v>
      </c>
    </row>
    <row r="35" spans="1:9" x14ac:dyDescent="0.25">
      <c r="B35" t="s">
        <v>4</v>
      </c>
      <c r="C35" s="1">
        <v>0</v>
      </c>
      <c r="E35" s="2">
        <f>ROUNDUP(C35/$J$1,0)</f>
        <v>0</v>
      </c>
      <c r="I35" t="s">
        <v>12</v>
      </c>
    </row>
    <row r="36" spans="1:9" x14ac:dyDescent="0.25">
      <c r="B36" t="s">
        <v>5</v>
      </c>
      <c r="C36" s="1">
        <v>0</v>
      </c>
      <c r="E36" s="2">
        <f>ROUNDUP(C36/$J$1,0)</f>
        <v>0</v>
      </c>
    </row>
    <row r="37" spans="1:9" x14ac:dyDescent="0.25">
      <c r="B37" t="s">
        <v>6</v>
      </c>
      <c r="C37" s="1">
        <v>0</v>
      </c>
      <c r="E37" s="2">
        <f>ROUNDUP(C37/$J$1,0)</f>
        <v>0</v>
      </c>
    </row>
    <row r="38" spans="1:9" x14ac:dyDescent="0.25">
      <c r="B38" t="s">
        <v>7</v>
      </c>
      <c r="C38" s="1">
        <v>0</v>
      </c>
      <c r="E38" s="2">
        <f>ROUNDUP(C38/$J$1,0)</f>
        <v>0</v>
      </c>
    </row>
    <row r="39" spans="1:9" x14ac:dyDescent="0.25">
      <c r="A39" s="3"/>
      <c r="B39" s="3"/>
      <c r="C39" s="4"/>
      <c r="D39" s="3"/>
      <c r="E39" s="5"/>
      <c r="F39" s="6"/>
      <c r="G39" s="7"/>
      <c r="H39" s="7"/>
    </row>
    <row r="40" spans="1:9" ht="15.75" x14ac:dyDescent="0.25">
      <c r="A40" s="10" t="s">
        <v>20</v>
      </c>
    </row>
    <row r="42" spans="1:9" x14ac:dyDescent="0.25">
      <c r="A42" t="s">
        <v>21</v>
      </c>
    </row>
    <row r="43" spans="1:9" x14ac:dyDescent="0.25">
      <c r="A43" s="9" t="s">
        <v>23</v>
      </c>
    </row>
    <row r="44" spans="1:9" x14ac:dyDescent="0.25">
      <c r="B44" t="s">
        <v>3</v>
      </c>
      <c r="C44" s="1">
        <v>0</v>
      </c>
      <c r="E44" s="2">
        <f>ROUNDUP(C44/$J$1,0)</f>
        <v>0</v>
      </c>
      <c r="I44" t="s">
        <v>13</v>
      </c>
    </row>
    <row r="45" spans="1:9" x14ac:dyDescent="0.25">
      <c r="B45" t="s">
        <v>5</v>
      </c>
      <c r="C45" s="1">
        <v>0</v>
      </c>
      <c r="E45" s="2">
        <f>ROUNDUP(C45/$J$1,0)</f>
        <v>0</v>
      </c>
      <c r="I45" t="s">
        <v>12</v>
      </c>
    </row>
    <row r="46" spans="1:9" x14ac:dyDescent="0.25">
      <c r="B46" t="s">
        <v>7</v>
      </c>
      <c r="C46" s="1">
        <v>0</v>
      </c>
      <c r="E46" s="2">
        <f>ROUNDUP(C46/$J$1,0)</f>
        <v>0</v>
      </c>
    </row>
    <row r="48" spans="1:9" x14ac:dyDescent="0.25">
      <c r="A48" s="9" t="s">
        <v>22</v>
      </c>
    </row>
    <row r="49" spans="1:9" x14ac:dyDescent="0.25">
      <c r="B49" t="s">
        <v>3</v>
      </c>
      <c r="C49" s="1">
        <v>0</v>
      </c>
      <c r="E49" s="2">
        <f>ROUNDUP(C49/$J$1,0)</f>
        <v>0</v>
      </c>
      <c r="I49" t="s">
        <v>13</v>
      </c>
    </row>
    <row r="50" spans="1:9" x14ac:dyDescent="0.25">
      <c r="B50" t="s">
        <v>5</v>
      </c>
      <c r="C50" s="1">
        <v>0</v>
      </c>
      <c r="E50" s="2">
        <f>ROUNDUP(C50/$J$1,0)</f>
        <v>0</v>
      </c>
      <c r="I50" t="s">
        <v>12</v>
      </c>
    </row>
    <row r="51" spans="1:9" x14ac:dyDescent="0.25">
      <c r="B51" t="s">
        <v>7</v>
      </c>
      <c r="C51" s="1">
        <v>0</v>
      </c>
      <c r="E51" s="2">
        <f>ROUNDUP(C51/$J$1,0)</f>
        <v>0</v>
      </c>
    </row>
    <row r="53" spans="1:9" x14ac:dyDescent="0.25">
      <c r="A53" s="9" t="s">
        <v>26</v>
      </c>
    </row>
    <row r="54" spans="1:9" x14ac:dyDescent="0.25">
      <c r="B54" t="s">
        <v>3</v>
      </c>
      <c r="C54" s="1">
        <v>0</v>
      </c>
      <c r="E54" s="2">
        <f>ROUNDUP(C54/$J$1,0)</f>
        <v>0</v>
      </c>
      <c r="I54" t="s">
        <v>13</v>
      </c>
    </row>
    <row r="55" spans="1:9" x14ac:dyDescent="0.25">
      <c r="B55" t="s">
        <v>5</v>
      </c>
      <c r="C55" s="1">
        <v>0</v>
      </c>
      <c r="E55" s="2">
        <f>ROUNDUP(C55/$J$1,0)</f>
        <v>0</v>
      </c>
      <c r="I55" t="s">
        <v>12</v>
      </c>
    </row>
    <row r="56" spans="1:9" x14ac:dyDescent="0.25">
      <c r="B56" t="s">
        <v>7</v>
      </c>
      <c r="C56" s="1">
        <v>0</v>
      </c>
      <c r="E56" s="2">
        <f>ROUNDUP(C56/$J$1,0)</f>
        <v>0</v>
      </c>
    </row>
    <row r="58" spans="1:9" x14ac:dyDescent="0.25">
      <c r="A58" s="9" t="s">
        <v>27</v>
      </c>
    </row>
    <row r="59" spans="1:9" x14ac:dyDescent="0.25">
      <c r="B59" t="s">
        <v>3</v>
      </c>
      <c r="C59" s="1">
        <v>0</v>
      </c>
      <c r="E59" s="2">
        <f>ROUNDUP(C59/$J$1,0)</f>
        <v>0</v>
      </c>
      <c r="I59" t="s">
        <v>13</v>
      </c>
    </row>
    <row r="60" spans="1:9" x14ac:dyDescent="0.25">
      <c r="B60" t="s">
        <v>5</v>
      </c>
      <c r="C60" s="1">
        <v>0</v>
      </c>
      <c r="E60" s="2">
        <f>ROUNDUP(C60/$J$1,0)</f>
        <v>0</v>
      </c>
      <c r="I60" t="s">
        <v>12</v>
      </c>
    </row>
    <row r="61" spans="1:9" x14ac:dyDescent="0.25">
      <c r="B61" t="s">
        <v>7</v>
      </c>
      <c r="C61" s="1">
        <v>0</v>
      </c>
      <c r="E61" s="2">
        <f>ROUNDUP(C61/$J$1,0)</f>
        <v>0</v>
      </c>
    </row>
    <row r="63" spans="1:9" x14ac:dyDescent="0.25">
      <c r="A63" s="9" t="s">
        <v>28</v>
      </c>
    </row>
    <row r="64" spans="1:9" x14ac:dyDescent="0.25">
      <c r="B64" t="s">
        <v>3</v>
      </c>
      <c r="C64" s="1">
        <v>0</v>
      </c>
      <c r="E64" s="2">
        <f>ROUNDUP(C64/$J$1,0)</f>
        <v>0</v>
      </c>
      <c r="I64" t="s">
        <v>13</v>
      </c>
    </row>
    <row r="65" spans="1:9" x14ac:dyDescent="0.25">
      <c r="B65" t="s">
        <v>5</v>
      </c>
      <c r="C65" s="1">
        <v>0</v>
      </c>
      <c r="E65" s="2">
        <f>ROUNDUP(C65/$J$1,0)</f>
        <v>0</v>
      </c>
      <c r="I65" t="s">
        <v>12</v>
      </c>
    </row>
    <row r="66" spans="1:9" x14ac:dyDescent="0.25">
      <c r="B66" t="s">
        <v>7</v>
      </c>
      <c r="C66" s="1">
        <v>0</v>
      </c>
      <c r="E66" s="2">
        <f>ROUNDUP(C66/$J$1,0)</f>
        <v>0</v>
      </c>
    </row>
    <row r="68" spans="1:9" x14ac:dyDescent="0.25">
      <c r="A68" s="9" t="s">
        <v>29</v>
      </c>
    </row>
    <row r="69" spans="1:9" x14ac:dyDescent="0.25">
      <c r="A69" s="8" t="s">
        <v>34</v>
      </c>
      <c r="I69" t="s">
        <v>37</v>
      </c>
    </row>
    <row r="70" spans="1:9" x14ac:dyDescent="0.25">
      <c r="B70" t="s">
        <v>30</v>
      </c>
      <c r="C70" s="1">
        <v>0</v>
      </c>
      <c r="E70" s="2">
        <f t="shared" ref="E70:E78" si="0">ROUNDUP(C70/$J$1,0)</f>
        <v>0</v>
      </c>
      <c r="I70" t="s">
        <v>13</v>
      </c>
    </row>
    <row r="71" spans="1:9" x14ac:dyDescent="0.25">
      <c r="B71" t="s">
        <v>31</v>
      </c>
      <c r="C71" s="1">
        <v>0</v>
      </c>
      <c r="E71" s="2">
        <f t="shared" si="0"/>
        <v>0</v>
      </c>
      <c r="I71" t="s">
        <v>12</v>
      </c>
    </row>
    <row r="72" spans="1:9" x14ac:dyDescent="0.25">
      <c r="B72" t="s">
        <v>32</v>
      </c>
      <c r="C72" s="1">
        <v>0</v>
      </c>
      <c r="E72" s="2">
        <f t="shared" si="0"/>
        <v>0</v>
      </c>
    </row>
    <row r="73" spans="1:9" x14ac:dyDescent="0.25">
      <c r="B73" t="s">
        <v>33</v>
      </c>
      <c r="C73" s="1">
        <v>0</v>
      </c>
      <c r="E73" s="2">
        <f t="shared" si="0"/>
        <v>0</v>
      </c>
    </row>
    <row r="74" spans="1:9" x14ac:dyDescent="0.25">
      <c r="A74" s="8" t="s">
        <v>36</v>
      </c>
      <c r="E74" s="2">
        <f t="shared" si="0"/>
        <v>0</v>
      </c>
    </row>
    <row r="75" spans="1:9" x14ac:dyDescent="0.25">
      <c r="B75" t="s">
        <v>30</v>
      </c>
      <c r="C75" s="1">
        <v>0</v>
      </c>
      <c r="E75" s="2">
        <f t="shared" si="0"/>
        <v>0</v>
      </c>
    </row>
    <row r="76" spans="1:9" x14ac:dyDescent="0.25">
      <c r="B76" t="s">
        <v>31</v>
      </c>
      <c r="C76" s="1">
        <v>0</v>
      </c>
      <c r="E76" s="2">
        <f t="shared" si="0"/>
        <v>0</v>
      </c>
    </row>
    <row r="77" spans="1:9" x14ac:dyDescent="0.25">
      <c r="B77" t="s">
        <v>32</v>
      </c>
      <c r="C77" s="1">
        <v>0</v>
      </c>
      <c r="E77" s="2">
        <f t="shared" si="0"/>
        <v>0</v>
      </c>
    </row>
    <row r="78" spans="1:9" x14ac:dyDescent="0.25">
      <c r="B78" t="s">
        <v>33</v>
      </c>
      <c r="C78" s="1">
        <v>0</v>
      </c>
      <c r="E78" s="2">
        <f t="shared" si="0"/>
        <v>0</v>
      </c>
    </row>
    <row r="80" spans="1:9" x14ac:dyDescent="0.25">
      <c r="A80" s="8" t="s">
        <v>35</v>
      </c>
      <c r="I80" t="s">
        <v>44</v>
      </c>
    </row>
    <row r="81" spans="1:9" x14ac:dyDescent="0.25">
      <c r="B81" t="s">
        <v>30</v>
      </c>
      <c r="C81" s="1">
        <v>0</v>
      </c>
      <c r="E81" s="2">
        <f>ROUNDUP(C81/$J$1,0)</f>
        <v>0</v>
      </c>
      <c r="I81" t="s">
        <v>13</v>
      </c>
    </row>
    <row r="82" spans="1:9" x14ac:dyDescent="0.25">
      <c r="B82" t="s">
        <v>31</v>
      </c>
      <c r="C82" s="1">
        <v>0</v>
      </c>
      <c r="E82" s="2">
        <f>ROUNDUP(C82/$J$1,0)</f>
        <v>0</v>
      </c>
      <c r="I82" t="s">
        <v>12</v>
      </c>
    </row>
    <row r="83" spans="1:9" x14ac:dyDescent="0.25">
      <c r="B83" t="s">
        <v>32</v>
      </c>
      <c r="C83" s="1">
        <v>0</v>
      </c>
      <c r="E83" s="2">
        <f>ROUNDUP(C83/$J$1,0)</f>
        <v>0</v>
      </c>
    </row>
    <row r="84" spans="1:9" x14ac:dyDescent="0.25">
      <c r="B84" t="s">
        <v>33</v>
      </c>
      <c r="C84" s="1">
        <v>0</v>
      </c>
      <c r="E84" s="2">
        <f>ROUNDUP(C84/$J$1,0)</f>
        <v>0</v>
      </c>
    </row>
    <row r="85" spans="1:9" x14ac:dyDescent="0.25">
      <c r="A85" s="8" t="s">
        <v>38</v>
      </c>
    </row>
    <row r="86" spans="1:9" x14ac:dyDescent="0.25">
      <c r="B86" t="s">
        <v>30</v>
      </c>
      <c r="C86" s="1">
        <v>0</v>
      </c>
      <c r="E86" s="2">
        <f>ROUNDUP(C86/$J$1,0)</f>
        <v>0</v>
      </c>
    </row>
    <row r="87" spans="1:9" x14ac:dyDescent="0.25">
      <c r="B87" t="s">
        <v>31</v>
      </c>
      <c r="C87" s="1">
        <v>0</v>
      </c>
      <c r="E87" s="2">
        <f>ROUNDUP(C87/$J$1,0)</f>
        <v>0</v>
      </c>
    </row>
    <row r="88" spans="1:9" x14ac:dyDescent="0.25">
      <c r="B88" t="s">
        <v>32</v>
      </c>
      <c r="C88" s="1">
        <v>0</v>
      </c>
      <c r="E88" s="2">
        <f>ROUNDUP(C88/$J$1,0)</f>
        <v>0</v>
      </c>
    </row>
    <row r="89" spans="1:9" x14ac:dyDescent="0.25">
      <c r="B89" t="s">
        <v>33</v>
      </c>
      <c r="C89" s="1">
        <v>0</v>
      </c>
      <c r="E89" s="2">
        <f>ROUNDUP(C89/$J$1,0)</f>
        <v>0</v>
      </c>
    </row>
    <row r="90" spans="1:9" x14ac:dyDescent="0.25">
      <c r="A90" s="3"/>
      <c r="B90" s="3"/>
      <c r="C90" s="4"/>
      <c r="D90" s="3"/>
      <c r="E90" s="5"/>
    </row>
    <row r="91" spans="1:9" ht="15.75" x14ac:dyDescent="0.25">
      <c r="A91" s="10" t="s">
        <v>39</v>
      </c>
    </row>
    <row r="93" spans="1:9" x14ac:dyDescent="0.25">
      <c r="A93" t="s">
        <v>21</v>
      </c>
    </row>
    <row r="94" spans="1:9" x14ac:dyDescent="0.25">
      <c r="A94" s="9" t="s">
        <v>40</v>
      </c>
    </row>
    <row r="95" spans="1:9" x14ac:dyDescent="0.25">
      <c r="B95" t="s">
        <v>3</v>
      </c>
      <c r="C95" s="1">
        <v>0</v>
      </c>
      <c r="E95" s="2">
        <f>ROUNDUP(C95/$J$1,0)</f>
        <v>0</v>
      </c>
      <c r="I95" t="s">
        <v>13</v>
      </c>
    </row>
    <row r="96" spans="1:9" x14ac:dyDescent="0.25">
      <c r="B96" t="s">
        <v>5</v>
      </c>
      <c r="C96" s="1">
        <v>0</v>
      </c>
      <c r="E96" s="2">
        <f>ROUNDUP(C96/$J$1,0)</f>
        <v>0</v>
      </c>
      <c r="I96" t="s">
        <v>12</v>
      </c>
    </row>
    <row r="97" spans="1:9" x14ac:dyDescent="0.25">
      <c r="B97" t="s">
        <v>7</v>
      </c>
      <c r="C97" s="1">
        <v>0</v>
      </c>
      <c r="E97" s="2">
        <f>ROUNDUP(C97/$J$1,0)</f>
        <v>0</v>
      </c>
    </row>
    <row r="99" spans="1:9" x14ac:dyDescent="0.25">
      <c r="A99" s="9" t="s">
        <v>42</v>
      </c>
    </row>
    <row r="100" spans="1:9" x14ac:dyDescent="0.25">
      <c r="B100" t="s">
        <v>3</v>
      </c>
      <c r="C100" s="1">
        <v>0</v>
      </c>
      <c r="E100" s="2">
        <f>ROUNDUP(C100/$J$1,0)</f>
        <v>0</v>
      </c>
      <c r="I100" t="s">
        <v>13</v>
      </c>
    </row>
    <row r="101" spans="1:9" x14ac:dyDescent="0.25">
      <c r="B101" t="s">
        <v>5</v>
      </c>
      <c r="C101" s="1">
        <v>0</v>
      </c>
      <c r="E101" s="2">
        <f>ROUNDUP(C101/$J$1,0)</f>
        <v>0</v>
      </c>
      <c r="I101" t="s">
        <v>12</v>
      </c>
    </row>
    <row r="102" spans="1:9" x14ac:dyDescent="0.25">
      <c r="B102" t="s">
        <v>7</v>
      </c>
      <c r="C102" s="1">
        <v>0</v>
      </c>
      <c r="E102" s="2">
        <f>ROUNDUP(C102/$J$1,0)</f>
        <v>0</v>
      </c>
    </row>
    <row r="104" spans="1:9" x14ac:dyDescent="0.25">
      <c r="A104" s="9" t="s">
        <v>43</v>
      </c>
    </row>
    <row r="105" spans="1:9" x14ac:dyDescent="0.25">
      <c r="B105" t="s">
        <v>3</v>
      </c>
      <c r="C105" s="1">
        <v>0</v>
      </c>
      <c r="E105" s="2">
        <f>ROUNDUP(C105/$J$1,0)</f>
        <v>0</v>
      </c>
      <c r="I105" t="s">
        <v>13</v>
      </c>
    </row>
    <row r="106" spans="1:9" x14ac:dyDescent="0.25">
      <c r="B106" t="s">
        <v>5</v>
      </c>
      <c r="C106" s="1">
        <v>0</v>
      </c>
      <c r="E106" s="2">
        <f>ROUNDUP(C106/$J$1,0)</f>
        <v>0</v>
      </c>
      <c r="I106" t="s">
        <v>12</v>
      </c>
    </row>
    <row r="107" spans="1:9" x14ac:dyDescent="0.25">
      <c r="B107" t="s">
        <v>7</v>
      </c>
      <c r="C107" s="1">
        <v>0</v>
      </c>
      <c r="E107" s="2">
        <f>ROUNDUP(C107/$J$1,0)</f>
        <v>0</v>
      </c>
    </row>
    <row r="109" spans="1:9" x14ac:dyDescent="0.25">
      <c r="A109" s="9" t="s">
        <v>29</v>
      </c>
    </row>
    <row r="110" spans="1:9" x14ac:dyDescent="0.25">
      <c r="A110" s="8" t="s">
        <v>34</v>
      </c>
      <c r="I110" t="s">
        <v>37</v>
      </c>
    </row>
    <row r="111" spans="1:9" x14ac:dyDescent="0.25">
      <c r="B111" t="s">
        <v>30</v>
      </c>
      <c r="C111" s="1">
        <v>0</v>
      </c>
      <c r="E111" s="2">
        <f t="shared" ref="E111:E119" si="1">ROUNDUP(C111/$J$1,0)</f>
        <v>0</v>
      </c>
      <c r="I111" t="s">
        <v>13</v>
      </c>
    </row>
    <row r="112" spans="1:9" x14ac:dyDescent="0.25">
      <c r="B112" t="s">
        <v>31</v>
      </c>
      <c r="C112" s="1">
        <v>0</v>
      </c>
      <c r="E112" s="2">
        <f t="shared" si="1"/>
        <v>0</v>
      </c>
      <c r="I112" t="s">
        <v>12</v>
      </c>
    </row>
    <row r="113" spans="1:9" x14ac:dyDescent="0.25">
      <c r="B113" t="s">
        <v>32</v>
      </c>
      <c r="C113" s="1">
        <v>0</v>
      </c>
      <c r="E113" s="2">
        <f t="shared" si="1"/>
        <v>0</v>
      </c>
    </row>
    <row r="114" spans="1:9" x14ac:dyDescent="0.25">
      <c r="B114" t="s">
        <v>33</v>
      </c>
      <c r="C114" s="1">
        <v>0</v>
      </c>
      <c r="E114" s="2">
        <f t="shared" si="1"/>
        <v>0</v>
      </c>
    </row>
    <row r="115" spans="1:9" x14ac:dyDescent="0.25">
      <c r="A115" s="8" t="s">
        <v>36</v>
      </c>
      <c r="E115" s="2">
        <f t="shared" si="1"/>
        <v>0</v>
      </c>
    </row>
    <row r="116" spans="1:9" x14ac:dyDescent="0.25">
      <c r="B116" t="s">
        <v>30</v>
      </c>
      <c r="C116" s="1">
        <v>0</v>
      </c>
      <c r="E116" s="2">
        <f t="shared" si="1"/>
        <v>0</v>
      </c>
    </row>
    <row r="117" spans="1:9" x14ac:dyDescent="0.25">
      <c r="B117" t="s">
        <v>31</v>
      </c>
      <c r="C117" s="1">
        <v>0</v>
      </c>
      <c r="E117" s="2">
        <f t="shared" si="1"/>
        <v>0</v>
      </c>
    </row>
    <row r="118" spans="1:9" x14ac:dyDescent="0.25">
      <c r="B118" t="s">
        <v>32</v>
      </c>
      <c r="C118" s="1">
        <v>0</v>
      </c>
      <c r="E118" s="2">
        <f t="shared" si="1"/>
        <v>0</v>
      </c>
    </row>
    <row r="119" spans="1:9" x14ac:dyDescent="0.25">
      <c r="B119" t="s">
        <v>33</v>
      </c>
      <c r="C119" s="1">
        <v>0</v>
      </c>
      <c r="E119" s="2">
        <f t="shared" si="1"/>
        <v>0</v>
      </c>
    </row>
    <row r="121" spans="1:9" x14ac:dyDescent="0.25">
      <c r="A121" s="8" t="s">
        <v>35</v>
      </c>
      <c r="I121" t="s">
        <v>44</v>
      </c>
    </row>
    <row r="122" spans="1:9" x14ac:dyDescent="0.25">
      <c r="B122" t="s">
        <v>30</v>
      </c>
      <c r="C122" s="1">
        <v>0</v>
      </c>
      <c r="E122" s="2">
        <f t="shared" ref="E122:E125" si="2">ROUNDUP(C122/$J$1,0)</f>
        <v>0</v>
      </c>
      <c r="I122" t="s">
        <v>13</v>
      </c>
    </row>
    <row r="123" spans="1:9" x14ac:dyDescent="0.25">
      <c r="B123" t="s">
        <v>31</v>
      </c>
      <c r="C123" s="1">
        <v>0</v>
      </c>
      <c r="E123" s="2">
        <f t="shared" si="2"/>
        <v>0</v>
      </c>
      <c r="I123" t="s">
        <v>12</v>
      </c>
    </row>
    <row r="124" spans="1:9" x14ac:dyDescent="0.25">
      <c r="B124" t="s">
        <v>32</v>
      </c>
      <c r="C124" s="1">
        <v>0</v>
      </c>
      <c r="E124" s="2">
        <f t="shared" si="2"/>
        <v>0</v>
      </c>
    </row>
    <row r="125" spans="1:9" x14ac:dyDescent="0.25">
      <c r="B125" t="s">
        <v>33</v>
      </c>
      <c r="C125" s="1">
        <v>0</v>
      </c>
      <c r="E125" s="2">
        <f t="shared" si="2"/>
        <v>0</v>
      </c>
    </row>
    <row r="126" spans="1:9" x14ac:dyDescent="0.25">
      <c r="A126" s="8" t="s">
        <v>38</v>
      </c>
    </row>
    <row r="127" spans="1:9" x14ac:dyDescent="0.25">
      <c r="B127" t="s">
        <v>30</v>
      </c>
      <c r="C127" s="1">
        <v>0</v>
      </c>
      <c r="E127" s="2">
        <f t="shared" ref="E127:E130" si="3">ROUNDUP(C127/$J$1,0)</f>
        <v>0</v>
      </c>
    </row>
    <row r="128" spans="1:9" x14ac:dyDescent="0.25">
      <c r="B128" t="s">
        <v>31</v>
      </c>
      <c r="C128" s="1">
        <v>0</v>
      </c>
      <c r="E128" s="2">
        <f t="shared" si="3"/>
        <v>0</v>
      </c>
    </row>
    <row r="129" spans="1:9" x14ac:dyDescent="0.25">
      <c r="B129" t="s">
        <v>32</v>
      </c>
      <c r="C129" s="1">
        <v>0</v>
      </c>
      <c r="E129" s="2">
        <f t="shared" si="3"/>
        <v>0</v>
      </c>
    </row>
    <row r="130" spans="1:9" x14ac:dyDescent="0.25">
      <c r="B130" t="s">
        <v>33</v>
      </c>
      <c r="C130" s="1">
        <v>0</v>
      </c>
      <c r="E130" s="2">
        <f t="shared" si="3"/>
        <v>0</v>
      </c>
    </row>
    <row r="131" spans="1:9" x14ac:dyDescent="0.25">
      <c r="A131" s="3"/>
      <c r="B131" s="3"/>
      <c r="C131" s="4"/>
      <c r="D131" s="3"/>
      <c r="E131" s="5"/>
      <c r="F131" s="5"/>
    </row>
    <row r="132" spans="1:9" ht="15.75" x14ac:dyDescent="0.25">
      <c r="A132" s="10" t="s">
        <v>45</v>
      </c>
    </row>
    <row r="134" spans="1:9" x14ac:dyDescent="0.25">
      <c r="A134" t="s">
        <v>21</v>
      </c>
    </row>
    <row r="135" spans="1:9" x14ac:dyDescent="0.25">
      <c r="A135" s="9" t="s">
        <v>46</v>
      </c>
    </row>
    <row r="136" spans="1:9" x14ac:dyDescent="0.25">
      <c r="B136" t="s">
        <v>3</v>
      </c>
      <c r="C136" s="1">
        <v>0</v>
      </c>
      <c r="E136" s="2">
        <f>ROUNDUP(C136/$J$1,0)</f>
        <v>0</v>
      </c>
      <c r="I136" t="s">
        <v>13</v>
      </c>
    </row>
    <row r="137" spans="1:9" x14ac:dyDescent="0.25">
      <c r="B137" t="s">
        <v>5</v>
      </c>
      <c r="C137" s="1">
        <v>0</v>
      </c>
      <c r="E137" s="2">
        <f>ROUNDUP(C137/$J$1,0)</f>
        <v>0</v>
      </c>
      <c r="I137" t="s">
        <v>12</v>
      </c>
    </row>
    <row r="138" spans="1:9" x14ac:dyDescent="0.25">
      <c r="B138" t="s">
        <v>7</v>
      </c>
      <c r="C138" s="1">
        <v>0</v>
      </c>
      <c r="E138" s="2">
        <f>ROUNDUP(C138/$J$1,0)</f>
        <v>0</v>
      </c>
    </row>
    <row r="140" spans="1:9" x14ac:dyDescent="0.25">
      <c r="A140" s="9" t="s">
        <v>47</v>
      </c>
    </row>
    <row r="141" spans="1:9" x14ac:dyDescent="0.25">
      <c r="B141" t="s">
        <v>3</v>
      </c>
      <c r="C141" s="1">
        <v>0</v>
      </c>
      <c r="E141" s="2">
        <f>ROUNDUP(C141/$J$1,0)</f>
        <v>0</v>
      </c>
      <c r="I141" t="s">
        <v>13</v>
      </c>
    </row>
    <row r="142" spans="1:9" x14ac:dyDescent="0.25">
      <c r="B142" t="s">
        <v>5</v>
      </c>
      <c r="C142" s="1">
        <v>0</v>
      </c>
      <c r="E142" s="2">
        <f>ROUNDUP(C142/$J$1,0)</f>
        <v>0</v>
      </c>
      <c r="I142" t="s">
        <v>12</v>
      </c>
    </row>
    <row r="143" spans="1:9" x14ac:dyDescent="0.25">
      <c r="B143" t="s">
        <v>7</v>
      </c>
      <c r="C143" s="1">
        <v>0</v>
      </c>
      <c r="E143" s="2">
        <f>ROUNDUP(C143/$J$1,0)</f>
        <v>0</v>
      </c>
    </row>
    <row r="145" spans="1:9" x14ac:dyDescent="0.25">
      <c r="A145" s="9" t="s">
        <v>48</v>
      </c>
    </row>
    <row r="146" spans="1:9" x14ac:dyDescent="0.25">
      <c r="A146" t="s">
        <v>50</v>
      </c>
      <c r="B146" t="s">
        <v>3</v>
      </c>
      <c r="C146" s="1">
        <v>0</v>
      </c>
      <c r="E146" s="2">
        <f>ROUNDUP(C146/$J$1,0)</f>
        <v>0</v>
      </c>
      <c r="I146" t="s">
        <v>13</v>
      </c>
    </row>
    <row r="147" spans="1:9" x14ac:dyDescent="0.25">
      <c r="B147" t="s">
        <v>5</v>
      </c>
      <c r="C147" s="1">
        <v>0</v>
      </c>
      <c r="E147" s="2">
        <f>ROUNDUP(C147/$J$1,0)</f>
        <v>0</v>
      </c>
      <c r="I147" t="s">
        <v>12</v>
      </c>
    </row>
    <row r="148" spans="1:9" x14ac:dyDescent="0.25">
      <c r="B148" t="s">
        <v>7</v>
      </c>
      <c r="C148" s="1">
        <v>0</v>
      </c>
      <c r="E148" s="2">
        <f>ROUNDUP(C148/$J$1,0)</f>
        <v>0</v>
      </c>
    </row>
    <row r="149" spans="1:9" x14ac:dyDescent="0.25">
      <c r="A149" t="s">
        <v>51</v>
      </c>
      <c r="B149" t="s">
        <v>3</v>
      </c>
      <c r="C149" s="1">
        <v>0</v>
      </c>
      <c r="E149" s="2">
        <f t="shared" ref="E149:E151" si="4">ROUNDUP(C149/$J$1,0)</f>
        <v>0</v>
      </c>
    </row>
    <row r="150" spans="1:9" x14ac:dyDescent="0.25">
      <c r="B150" t="s">
        <v>5</v>
      </c>
      <c r="C150" s="1">
        <v>0</v>
      </c>
      <c r="E150" s="2">
        <f t="shared" si="4"/>
        <v>0</v>
      </c>
    </row>
    <row r="151" spans="1:9" x14ac:dyDescent="0.25">
      <c r="B151" t="s">
        <v>7</v>
      </c>
      <c r="C151" s="1">
        <v>0</v>
      </c>
      <c r="E151" s="2">
        <f t="shared" si="4"/>
        <v>0</v>
      </c>
    </row>
    <row r="153" spans="1:9" x14ac:dyDescent="0.25">
      <c r="A153" s="9" t="s">
        <v>49</v>
      </c>
    </row>
    <row r="154" spans="1:9" x14ac:dyDescent="0.25">
      <c r="A154" t="s">
        <v>50</v>
      </c>
      <c r="B154" t="s">
        <v>3</v>
      </c>
      <c r="C154" s="1">
        <v>0</v>
      </c>
      <c r="E154" s="2">
        <f>ROUNDUP(C154/$J$1,0)</f>
        <v>0</v>
      </c>
      <c r="I154" t="s">
        <v>13</v>
      </c>
    </row>
    <row r="155" spans="1:9" x14ac:dyDescent="0.25">
      <c r="B155" t="s">
        <v>5</v>
      </c>
      <c r="C155" s="1">
        <v>0</v>
      </c>
      <c r="E155" s="2">
        <f>ROUNDUP(C155/$J$1,0)</f>
        <v>0</v>
      </c>
      <c r="I155" t="s">
        <v>12</v>
      </c>
    </row>
    <row r="156" spans="1:9" x14ac:dyDescent="0.25">
      <c r="B156" t="s">
        <v>7</v>
      </c>
      <c r="C156" s="1">
        <v>0</v>
      </c>
      <c r="E156" s="2">
        <f>ROUNDUP(C156/$J$1,0)</f>
        <v>0</v>
      </c>
    </row>
    <row r="157" spans="1:9" x14ac:dyDescent="0.25">
      <c r="A157" t="s">
        <v>51</v>
      </c>
      <c r="B157" t="s">
        <v>3</v>
      </c>
      <c r="C157" s="1">
        <v>0</v>
      </c>
      <c r="E157" s="2">
        <f t="shared" ref="E157:E159" si="5">ROUNDUP(C157/$J$1,0)</f>
        <v>0</v>
      </c>
    </row>
    <row r="158" spans="1:9" x14ac:dyDescent="0.25">
      <c r="B158" t="s">
        <v>5</v>
      </c>
      <c r="C158" s="1">
        <v>0</v>
      </c>
      <c r="E158" s="2">
        <f t="shared" si="5"/>
        <v>0</v>
      </c>
    </row>
    <row r="159" spans="1:9" x14ac:dyDescent="0.25">
      <c r="B159" t="s">
        <v>7</v>
      </c>
      <c r="C159" s="1">
        <v>0</v>
      </c>
      <c r="E159" s="2">
        <f t="shared" si="5"/>
        <v>0</v>
      </c>
    </row>
    <row r="161" spans="1:9" x14ac:dyDescent="0.25">
      <c r="A161" s="9" t="s">
        <v>52</v>
      </c>
    </row>
    <row r="162" spans="1:9" x14ac:dyDescent="0.25">
      <c r="B162" t="s">
        <v>3</v>
      </c>
      <c r="C162" s="1">
        <v>0</v>
      </c>
      <c r="E162" s="2">
        <f>ROUNDUP(C162/$J$1,0)</f>
        <v>0</v>
      </c>
      <c r="I162" t="s">
        <v>13</v>
      </c>
    </row>
    <row r="163" spans="1:9" x14ac:dyDescent="0.25">
      <c r="B163" t="s">
        <v>5</v>
      </c>
      <c r="C163" s="1">
        <v>0</v>
      </c>
      <c r="E163" s="2">
        <f>ROUNDUP(C163/$J$1,0)</f>
        <v>0</v>
      </c>
      <c r="I163" t="s">
        <v>12</v>
      </c>
    </row>
    <row r="164" spans="1:9" x14ac:dyDescent="0.25">
      <c r="B164" t="s">
        <v>7</v>
      </c>
      <c r="C164" s="1">
        <v>0</v>
      </c>
      <c r="E164" s="2">
        <f>ROUNDUP(C164/$J$1,0)</f>
        <v>0</v>
      </c>
    </row>
    <row r="166" spans="1:9" x14ac:dyDescent="0.25">
      <c r="A166" s="9" t="s">
        <v>53</v>
      </c>
    </row>
    <row r="167" spans="1:9" x14ac:dyDescent="0.25">
      <c r="B167" t="s">
        <v>3</v>
      </c>
      <c r="C167" s="1">
        <v>0</v>
      </c>
      <c r="E167" s="2">
        <f>ROUNDUP(C167/$J$1,0)</f>
        <v>0</v>
      </c>
      <c r="I167" t="s">
        <v>13</v>
      </c>
    </row>
    <row r="168" spans="1:9" x14ac:dyDescent="0.25">
      <c r="B168" t="s">
        <v>5</v>
      </c>
      <c r="C168" s="1">
        <v>0</v>
      </c>
      <c r="E168" s="2">
        <f>ROUNDUP(C168/$J$1,0)</f>
        <v>0</v>
      </c>
      <c r="I168" t="s">
        <v>12</v>
      </c>
    </row>
    <row r="169" spans="1:9" x14ac:dyDescent="0.25">
      <c r="B169" t="s">
        <v>7</v>
      </c>
      <c r="C169" s="1">
        <v>0</v>
      </c>
      <c r="E169" s="2">
        <f>ROUNDUP(C169/$J$1,0)</f>
        <v>0</v>
      </c>
    </row>
    <row r="171" spans="1:9" x14ac:dyDescent="0.25">
      <c r="A171" s="9" t="s">
        <v>54</v>
      </c>
    </row>
    <row r="172" spans="1:9" x14ac:dyDescent="0.25">
      <c r="B172" t="s">
        <v>3</v>
      </c>
      <c r="C172" s="1">
        <v>0</v>
      </c>
      <c r="E172" s="2">
        <f>ROUNDUP(C172/$J$1,0)</f>
        <v>0</v>
      </c>
      <c r="I172" t="s">
        <v>13</v>
      </c>
    </row>
    <row r="173" spans="1:9" x14ac:dyDescent="0.25">
      <c r="B173" t="s">
        <v>5</v>
      </c>
      <c r="C173" s="1">
        <v>0</v>
      </c>
      <c r="E173" s="2">
        <f>ROUNDUP(C173/$J$1,0)</f>
        <v>0</v>
      </c>
      <c r="I173" t="s">
        <v>12</v>
      </c>
    </row>
    <row r="174" spans="1:9" x14ac:dyDescent="0.25">
      <c r="B174" t="s">
        <v>7</v>
      </c>
      <c r="C174" s="1">
        <v>0</v>
      </c>
      <c r="E174" s="2">
        <f>ROUNDUP(C174/$J$1,0)</f>
        <v>0</v>
      </c>
    </row>
    <row r="176" spans="1:9" x14ac:dyDescent="0.25">
      <c r="A176" s="9" t="s">
        <v>29</v>
      </c>
    </row>
    <row r="177" spans="1:9" x14ac:dyDescent="0.25">
      <c r="A177" s="8" t="s">
        <v>34</v>
      </c>
      <c r="I177" t="s">
        <v>37</v>
      </c>
    </row>
    <row r="178" spans="1:9" x14ac:dyDescent="0.25">
      <c r="B178" t="s">
        <v>30</v>
      </c>
      <c r="C178" s="1">
        <v>0</v>
      </c>
      <c r="E178" s="2">
        <f t="shared" ref="E178:E186" si="6">ROUNDUP(C178/$J$1,0)</f>
        <v>0</v>
      </c>
      <c r="I178" t="s">
        <v>13</v>
      </c>
    </row>
    <row r="179" spans="1:9" x14ac:dyDescent="0.25">
      <c r="B179" t="s">
        <v>31</v>
      </c>
      <c r="C179" s="1">
        <v>0</v>
      </c>
      <c r="E179" s="2">
        <f t="shared" si="6"/>
        <v>0</v>
      </c>
      <c r="I179" t="s">
        <v>12</v>
      </c>
    </row>
    <row r="180" spans="1:9" x14ac:dyDescent="0.25">
      <c r="B180" t="s">
        <v>32</v>
      </c>
      <c r="C180" s="1">
        <v>0</v>
      </c>
      <c r="E180" s="2">
        <f t="shared" si="6"/>
        <v>0</v>
      </c>
    </row>
    <row r="181" spans="1:9" x14ac:dyDescent="0.25">
      <c r="B181" t="s">
        <v>33</v>
      </c>
      <c r="C181" s="1">
        <v>0</v>
      </c>
      <c r="E181" s="2">
        <f t="shared" si="6"/>
        <v>0</v>
      </c>
    </row>
    <row r="182" spans="1:9" x14ac:dyDescent="0.25">
      <c r="A182" s="8" t="s">
        <v>36</v>
      </c>
      <c r="E182" s="2">
        <f t="shared" si="6"/>
        <v>0</v>
      </c>
    </row>
    <row r="183" spans="1:9" x14ac:dyDescent="0.25">
      <c r="B183" t="s">
        <v>30</v>
      </c>
      <c r="C183" s="1">
        <v>0</v>
      </c>
      <c r="E183" s="2">
        <f t="shared" si="6"/>
        <v>0</v>
      </c>
    </row>
    <row r="184" spans="1:9" x14ac:dyDescent="0.25">
      <c r="B184" t="s">
        <v>31</v>
      </c>
      <c r="C184" s="1">
        <v>0</v>
      </c>
      <c r="E184" s="2">
        <f t="shared" si="6"/>
        <v>0</v>
      </c>
    </row>
    <row r="185" spans="1:9" x14ac:dyDescent="0.25">
      <c r="B185" t="s">
        <v>32</v>
      </c>
      <c r="C185" s="1">
        <v>0</v>
      </c>
      <c r="E185" s="2">
        <f t="shared" si="6"/>
        <v>0</v>
      </c>
    </row>
    <row r="186" spans="1:9" x14ac:dyDescent="0.25">
      <c r="B186" t="s">
        <v>33</v>
      </c>
      <c r="C186" s="1">
        <v>0</v>
      </c>
      <c r="E186" s="2">
        <f t="shared" si="6"/>
        <v>0</v>
      </c>
    </row>
    <row r="188" spans="1:9" x14ac:dyDescent="0.25">
      <c r="A188" s="8" t="s">
        <v>35</v>
      </c>
      <c r="I188" t="s">
        <v>44</v>
      </c>
    </row>
    <row r="189" spans="1:9" x14ac:dyDescent="0.25">
      <c r="B189" t="s">
        <v>30</v>
      </c>
      <c r="C189" s="1">
        <v>0</v>
      </c>
      <c r="E189" s="2">
        <f t="shared" ref="E189:E192" si="7">ROUNDUP(C189/$J$1,0)</f>
        <v>0</v>
      </c>
      <c r="I189" t="s">
        <v>13</v>
      </c>
    </row>
    <row r="190" spans="1:9" x14ac:dyDescent="0.25">
      <c r="B190" t="s">
        <v>31</v>
      </c>
      <c r="C190" s="1">
        <v>0</v>
      </c>
      <c r="E190" s="2">
        <f t="shared" si="7"/>
        <v>0</v>
      </c>
      <c r="I190" t="s">
        <v>12</v>
      </c>
    </row>
    <row r="191" spans="1:9" x14ac:dyDescent="0.25">
      <c r="B191" t="s">
        <v>32</v>
      </c>
      <c r="C191" s="1">
        <v>0</v>
      </c>
      <c r="E191" s="2">
        <f t="shared" si="7"/>
        <v>0</v>
      </c>
    </row>
    <row r="192" spans="1:9" x14ac:dyDescent="0.25">
      <c r="B192" t="s">
        <v>33</v>
      </c>
      <c r="C192" s="1">
        <v>0</v>
      </c>
      <c r="E192" s="2">
        <f t="shared" si="7"/>
        <v>0</v>
      </c>
    </row>
    <row r="193" spans="1:9" x14ac:dyDescent="0.25">
      <c r="A193" s="8" t="s">
        <v>38</v>
      </c>
    </row>
    <row r="194" spans="1:9" x14ac:dyDescent="0.25">
      <c r="B194" t="s">
        <v>30</v>
      </c>
      <c r="C194" s="1">
        <v>0</v>
      </c>
      <c r="E194" s="2">
        <f t="shared" ref="E194:E197" si="8">ROUNDUP(C194/$J$1,0)</f>
        <v>0</v>
      </c>
    </row>
    <row r="195" spans="1:9" x14ac:dyDescent="0.25">
      <c r="B195" t="s">
        <v>31</v>
      </c>
      <c r="C195" s="1">
        <v>0</v>
      </c>
      <c r="E195" s="2">
        <f t="shared" si="8"/>
        <v>0</v>
      </c>
    </row>
    <row r="196" spans="1:9" x14ac:dyDescent="0.25">
      <c r="B196" t="s">
        <v>32</v>
      </c>
      <c r="C196" s="1">
        <v>0</v>
      </c>
      <c r="E196" s="2">
        <f t="shared" si="8"/>
        <v>0</v>
      </c>
    </row>
    <row r="197" spans="1:9" x14ac:dyDescent="0.25">
      <c r="B197" t="s">
        <v>33</v>
      </c>
      <c r="C197" s="1">
        <v>0</v>
      </c>
      <c r="E197" s="2">
        <f t="shared" si="8"/>
        <v>0</v>
      </c>
    </row>
    <row r="198" spans="1:9" x14ac:dyDescent="0.25">
      <c r="A198" s="3"/>
      <c r="B198" s="3"/>
      <c r="C198" s="4"/>
      <c r="D198" s="3"/>
      <c r="E198" s="5"/>
    </row>
    <row r="199" spans="1:9" ht="15.75" x14ac:dyDescent="0.25">
      <c r="A199" s="10" t="s">
        <v>55</v>
      </c>
    </row>
    <row r="201" spans="1:9" x14ac:dyDescent="0.25">
      <c r="A201" t="s">
        <v>21</v>
      </c>
    </row>
    <row r="202" spans="1:9" x14ac:dyDescent="0.25">
      <c r="A202" s="9" t="s">
        <v>56</v>
      </c>
    </row>
    <row r="203" spans="1:9" x14ac:dyDescent="0.25">
      <c r="B203" t="s">
        <v>3</v>
      </c>
      <c r="C203" s="1">
        <v>0</v>
      </c>
      <c r="E203" s="2">
        <f>ROUNDUP(C203/$J$1,0)</f>
        <v>0</v>
      </c>
      <c r="I203" t="s">
        <v>13</v>
      </c>
    </row>
    <row r="204" spans="1:9" x14ac:dyDescent="0.25">
      <c r="B204" t="s">
        <v>5</v>
      </c>
      <c r="C204" s="1">
        <v>0</v>
      </c>
      <c r="E204" s="2">
        <f>ROUNDUP(C204/$J$1,0)</f>
        <v>0</v>
      </c>
      <c r="I204" t="s">
        <v>12</v>
      </c>
    </row>
    <row r="205" spans="1:9" x14ac:dyDescent="0.25">
      <c r="B205" t="s">
        <v>7</v>
      </c>
      <c r="C205" s="1">
        <v>0</v>
      </c>
      <c r="E205" s="2">
        <f>ROUNDUP(C205/$J$1,0)</f>
        <v>0</v>
      </c>
    </row>
    <row r="207" spans="1:9" x14ac:dyDescent="0.25">
      <c r="A207" s="9" t="s">
        <v>29</v>
      </c>
    </row>
    <row r="208" spans="1:9" x14ac:dyDescent="0.25">
      <c r="A208" s="8" t="s">
        <v>34</v>
      </c>
      <c r="I208" t="s">
        <v>37</v>
      </c>
    </row>
    <row r="209" spans="1:9" x14ac:dyDescent="0.25">
      <c r="B209" t="s">
        <v>30</v>
      </c>
      <c r="C209" s="1">
        <v>0</v>
      </c>
      <c r="E209" s="2">
        <f t="shared" ref="E209:E217" si="9">ROUNDUP(C209/$J$1,0)</f>
        <v>0</v>
      </c>
      <c r="I209" t="s">
        <v>13</v>
      </c>
    </row>
    <row r="210" spans="1:9" x14ac:dyDescent="0.25">
      <c r="B210" t="s">
        <v>31</v>
      </c>
      <c r="C210" s="1">
        <v>0</v>
      </c>
      <c r="E210" s="2">
        <f t="shared" si="9"/>
        <v>0</v>
      </c>
      <c r="I210" t="s">
        <v>12</v>
      </c>
    </row>
    <row r="211" spans="1:9" x14ac:dyDescent="0.25">
      <c r="B211" t="s">
        <v>32</v>
      </c>
      <c r="C211" s="1">
        <v>0</v>
      </c>
      <c r="E211" s="2">
        <f t="shared" si="9"/>
        <v>0</v>
      </c>
    </row>
    <row r="212" spans="1:9" x14ac:dyDescent="0.25">
      <c r="B212" t="s">
        <v>33</v>
      </c>
      <c r="C212" s="1">
        <v>0</v>
      </c>
      <c r="E212" s="2">
        <f t="shared" si="9"/>
        <v>0</v>
      </c>
    </row>
    <row r="213" spans="1:9" x14ac:dyDescent="0.25">
      <c r="A213" s="8" t="s">
        <v>36</v>
      </c>
      <c r="E213" s="2">
        <f t="shared" si="9"/>
        <v>0</v>
      </c>
    </row>
    <row r="214" spans="1:9" x14ac:dyDescent="0.25">
      <c r="B214" t="s">
        <v>30</v>
      </c>
      <c r="C214" s="1">
        <v>0</v>
      </c>
      <c r="E214" s="2">
        <f t="shared" si="9"/>
        <v>0</v>
      </c>
    </row>
    <row r="215" spans="1:9" x14ac:dyDescent="0.25">
      <c r="B215" t="s">
        <v>31</v>
      </c>
      <c r="C215" s="1">
        <v>0</v>
      </c>
      <c r="E215" s="2">
        <f t="shared" si="9"/>
        <v>0</v>
      </c>
    </row>
    <row r="216" spans="1:9" x14ac:dyDescent="0.25">
      <c r="B216" t="s">
        <v>32</v>
      </c>
      <c r="C216" s="1">
        <v>0</v>
      </c>
      <c r="E216" s="2">
        <f t="shared" si="9"/>
        <v>0</v>
      </c>
    </row>
    <row r="217" spans="1:9" x14ac:dyDescent="0.25">
      <c r="B217" t="s">
        <v>33</v>
      </c>
      <c r="C217" s="1">
        <v>0</v>
      </c>
      <c r="E217" s="2">
        <f t="shared" si="9"/>
        <v>0</v>
      </c>
    </row>
    <row r="219" spans="1:9" x14ac:dyDescent="0.25">
      <c r="A219" s="8" t="s">
        <v>35</v>
      </c>
      <c r="I219" t="s">
        <v>44</v>
      </c>
    </row>
    <row r="220" spans="1:9" x14ac:dyDescent="0.25">
      <c r="B220" t="s">
        <v>30</v>
      </c>
      <c r="C220" s="1">
        <v>0</v>
      </c>
      <c r="E220" s="2">
        <f t="shared" ref="E220:E223" si="10">ROUNDUP(C220/$J$1,0)</f>
        <v>0</v>
      </c>
      <c r="I220" t="s">
        <v>13</v>
      </c>
    </row>
    <row r="221" spans="1:9" x14ac:dyDescent="0.25">
      <c r="B221" t="s">
        <v>31</v>
      </c>
      <c r="C221" s="1">
        <v>0</v>
      </c>
      <c r="E221" s="2">
        <f t="shared" si="10"/>
        <v>0</v>
      </c>
      <c r="I221" t="s">
        <v>12</v>
      </c>
    </row>
    <row r="222" spans="1:9" x14ac:dyDescent="0.25">
      <c r="B222" t="s">
        <v>32</v>
      </c>
      <c r="C222" s="1">
        <v>0</v>
      </c>
      <c r="E222" s="2">
        <f t="shared" si="10"/>
        <v>0</v>
      </c>
    </row>
    <row r="223" spans="1:9" x14ac:dyDescent="0.25">
      <c r="B223" t="s">
        <v>33</v>
      </c>
      <c r="C223" s="1">
        <v>0</v>
      </c>
      <c r="E223" s="2">
        <f t="shared" si="10"/>
        <v>0</v>
      </c>
    </row>
    <row r="224" spans="1:9" x14ac:dyDescent="0.25">
      <c r="A224" s="8" t="s">
        <v>38</v>
      </c>
    </row>
    <row r="225" spans="1:9" x14ac:dyDescent="0.25">
      <c r="B225" t="s">
        <v>30</v>
      </c>
      <c r="C225" s="1">
        <v>0</v>
      </c>
      <c r="E225" s="2">
        <f t="shared" ref="E225:E228" si="11">ROUNDUP(C225/$J$1,0)</f>
        <v>0</v>
      </c>
    </row>
    <row r="226" spans="1:9" x14ac:dyDescent="0.25">
      <c r="B226" t="s">
        <v>31</v>
      </c>
      <c r="C226" s="1">
        <v>0</v>
      </c>
      <c r="E226" s="2">
        <f t="shared" si="11"/>
        <v>0</v>
      </c>
    </row>
    <row r="227" spans="1:9" x14ac:dyDescent="0.25">
      <c r="B227" t="s">
        <v>32</v>
      </c>
      <c r="C227" s="1">
        <v>0</v>
      </c>
      <c r="E227" s="2">
        <f t="shared" si="11"/>
        <v>0</v>
      </c>
    </row>
    <row r="228" spans="1:9" x14ac:dyDescent="0.25">
      <c r="B228" t="s">
        <v>33</v>
      </c>
      <c r="C228" s="1">
        <v>0</v>
      </c>
      <c r="E228" s="2">
        <f t="shared" si="11"/>
        <v>0</v>
      </c>
    </row>
    <row r="229" spans="1:9" x14ac:dyDescent="0.25">
      <c r="A229" s="3"/>
      <c r="B229" s="3"/>
      <c r="C229" s="4"/>
      <c r="D229" s="3"/>
      <c r="E229" s="5"/>
    </row>
    <row r="230" spans="1:9" ht="15.75" x14ac:dyDescent="0.25">
      <c r="A230" s="10" t="s">
        <v>57</v>
      </c>
    </row>
    <row r="232" spans="1:9" x14ac:dyDescent="0.25">
      <c r="A232" t="s">
        <v>21</v>
      </c>
    </row>
    <row r="233" spans="1:9" x14ac:dyDescent="0.25">
      <c r="A233" s="9" t="s">
        <v>58</v>
      </c>
    </row>
    <row r="234" spans="1:9" x14ac:dyDescent="0.25">
      <c r="B234" t="s">
        <v>3</v>
      </c>
      <c r="C234" s="1">
        <v>0</v>
      </c>
      <c r="E234" s="2">
        <f>ROUNDUP(C234/$J$1,0)</f>
        <v>0</v>
      </c>
      <c r="I234" t="s">
        <v>13</v>
      </c>
    </row>
    <row r="235" spans="1:9" x14ac:dyDescent="0.25">
      <c r="B235" t="s">
        <v>5</v>
      </c>
      <c r="C235" s="1">
        <v>0</v>
      </c>
      <c r="E235" s="2">
        <f>ROUNDUP(C235/$J$1,0)</f>
        <v>0</v>
      </c>
      <c r="I235" t="s">
        <v>12</v>
      </c>
    </row>
    <row r="236" spans="1:9" x14ac:dyDescent="0.25">
      <c r="B236" t="s">
        <v>7</v>
      </c>
      <c r="C236" s="1">
        <v>0</v>
      </c>
      <c r="E236" s="2">
        <f>ROUNDUP(C236/$J$1,0)</f>
        <v>0</v>
      </c>
    </row>
    <row r="238" spans="1:9" x14ac:dyDescent="0.25">
      <c r="A238" s="9" t="s">
        <v>59</v>
      </c>
    </row>
    <row r="239" spans="1:9" x14ac:dyDescent="0.25">
      <c r="B239" t="s">
        <v>3</v>
      </c>
      <c r="C239" s="1">
        <v>0</v>
      </c>
      <c r="E239" s="2">
        <f>ROUNDUP(C239/$J$1,0)</f>
        <v>0</v>
      </c>
      <c r="I239" t="s">
        <v>13</v>
      </c>
    </row>
    <row r="240" spans="1:9" x14ac:dyDescent="0.25">
      <c r="B240" t="s">
        <v>5</v>
      </c>
      <c r="C240" s="1">
        <v>0</v>
      </c>
      <c r="E240" s="2">
        <f>ROUNDUP(C240/$J$1,0)</f>
        <v>0</v>
      </c>
      <c r="I240" t="s">
        <v>12</v>
      </c>
    </row>
    <row r="241" spans="1:9" x14ac:dyDescent="0.25">
      <c r="B241" t="s">
        <v>7</v>
      </c>
      <c r="C241" s="1">
        <v>0</v>
      </c>
      <c r="E241" s="2">
        <f>ROUNDUP(C241/$J$1,0)</f>
        <v>0</v>
      </c>
    </row>
    <row r="243" spans="1:9" x14ac:dyDescent="0.25">
      <c r="A243" s="9" t="s">
        <v>60</v>
      </c>
    </row>
    <row r="244" spans="1:9" x14ac:dyDescent="0.25">
      <c r="B244" t="s">
        <v>3</v>
      </c>
      <c r="C244" s="1">
        <v>0</v>
      </c>
      <c r="E244" s="2">
        <f>ROUNDUP(C244/$J$1,0)</f>
        <v>0</v>
      </c>
      <c r="I244" t="s">
        <v>13</v>
      </c>
    </row>
    <row r="245" spans="1:9" x14ac:dyDescent="0.25">
      <c r="B245" t="s">
        <v>5</v>
      </c>
      <c r="C245" s="1">
        <v>0</v>
      </c>
      <c r="E245" s="2">
        <f>ROUNDUP(C245/$J$1,0)</f>
        <v>0</v>
      </c>
      <c r="I245" t="s">
        <v>12</v>
      </c>
    </row>
    <row r="246" spans="1:9" x14ac:dyDescent="0.25">
      <c r="B246" t="s">
        <v>7</v>
      </c>
      <c r="C246" s="1">
        <v>0</v>
      </c>
      <c r="E246" s="2">
        <f>ROUNDUP(C246/$J$1,0)</f>
        <v>0</v>
      </c>
    </row>
    <row r="248" spans="1:9" x14ac:dyDescent="0.25">
      <c r="A248" s="9" t="s">
        <v>61</v>
      </c>
    </row>
    <row r="249" spans="1:9" x14ac:dyDescent="0.25">
      <c r="B249" t="s">
        <v>3</v>
      </c>
      <c r="C249" s="1">
        <v>0</v>
      </c>
      <c r="E249" s="2">
        <f>ROUNDUP(C249/$J$1,0)</f>
        <v>0</v>
      </c>
      <c r="I249" t="s">
        <v>13</v>
      </c>
    </row>
    <row r="250" spans="1:9" x14ac:dyDescent="0.25">
      <c r="B250" t="s">
        <v>5</v>
      </c>
      <c r="C250" s="1">
        <v>0</v>
      </c>
      <c r="E250" s="2">
        <f>ROUNDUP(C250/$J$1,0)</f>
        <v>0</v>
      </c>
      <c r="I250" t="s">
        <v>12</v>
      </c>
    </row>
    <row r="251" spans="1:9" x14ac:dyDescent="0.25">
      <c r="B251" t="s">
        <v>7</v>
      </c>
      <c r="C251" s="1">
        <v>0</v>
      </c>
      <c r="E251" s="2">
        <f>ROUNDUP(C251/$J$1,0)</f>
        <v>0</v>
      </c>
    </row>
    <row r="253" spans="1:9" x14ac:dyDescent="0.25">
      <c r="A253" s="9" t="s">
        <v>29</v>
      </c>
    </row>
    <row r="254" spans="1:9" x14ac:dyDescent="0.25">
      <c r="A254" s="8" t="s">
        <v>34</v>
      </c>
      <c r="I254" t="s">
        <v>37</v>
      </c>
    </row>
    <row r="255" spans="1:9" x14ac:dyDescent="0.25">
      <c r="B255" t="s">
        <v>30</v>
      </c>
      <c r="C255" s="1">
        <v>0</v>
      </c>
      <c r="E255" s="2">
        <f t="shared" ref="E255:E263" si="12">ROUNDUP(C255/$J$1,0)</f>
        <v>0</v>
      </c>
      <c r="I255" t="s">
        <v>13</v>
      </c>
    </row>
    <row r="256" spans="1:9" x14ac:dyDescent="0.25">
      <c r="B256" t="s">
        <v>31</v>
      </c>
      <c r="C256" s="1">
        <v>0</v>
      </c>
      <c r="E256" s="2">
        <f t="shared" si="12"/>
        <v>0</v>
      </c>
      <c r="I256" t="s">
        <v>12</v>
      </c>
    </row>
    <row r="257" spans="1:9" x14ac:dyDescent="0.25">
      <c r="B257" t="s">
        <v>32</v>
      </c>
      <c r="C257" s="1">
        <v>0</v>
      </c>
      <c r="E257" s="2">
        <f t="shared" si="12"/>
        <v>0</v>
      </c>
    </row>
    <row r="258" spans="1:9" x14ac:dyDescent="0.25">
      <c r="B258" t="s">
        <v>33</v>
      </c>
      <c r="C258" s="1">
        <v>0</v>
      </c>
      <c r="E258" s="2">
        <f t="shared" si="12"/>
        <v>0</v>
      </c>
    </row>
    <row r="259" spans="1:9" x14ac:dyDescent="0.25">
      <c r="A259" s="8" t="s">
        <v>36</v>
      </c>
      <c r="E259" s="2">
        <f t="shared" si="12"/>
        <v>0</v>
      </c>
    </row>
    <row r="260" spans="1:9" x14ac:dyDescent="0.25">
      <c r="B260" t="s">
        <v>30</v>
      </c>
      <c r="C260" s="1">
        <v>0</v>
      </c>
      <c r="E260" s="2">
        <f t="shared" si="12"/>
        <v>0</v>
      </c>
    </row>
    <row r="261" spans="1:9" x14ac:dyDescent="0.25">
      <c r="B261" t="s">
        <v>31</v>
      </c>
      <c r="C261" s="1">
        <v>0</v>
      </c>
      <c r="E261" s="2">
        <f t="shared" si="12"/>
        <v>0</v>
      </c>
    </row>
    <row r="262" spans="1:9" x14ac:dyDescent="0.25">
      <c r="B262" t="s">
        <v>32</v>
      </c>
      <c r="C262" s="1">
        <v>0</v>
      </c>
      <c r="E262" s="2">
        <f t="shared" si="12"/>
        <v>0</v>
      </c>
    </row>
    <row r="263" spans="1:9" x14ac:dyDescent="0.25">
      <c r="B263" t="s">
        <v>33</v>
      </c>
      <c r="C263" s="1">
        <v>0</v>
      </c>
      <c r="E263" s="2">
        <f t="shared" si="12"/>
        <v>0</v>
      </c>
    </row>
    <row r="265" spans="1:9" x14ac:dyDescent="0.25">
      <c r="A265" s="8" t="s">
        <v>35</v>
      </c>
      <c r="I265" t="s">
        <v>44</v>
      </c>
    </row>
    <row r="266" spans="1:9" x14ac:dyDescent="0.25">
      <c r="B266" t="s">
        <v>30</v>
      </c>
      <c r="C266" s="1">
        <v>0</v>
      </c>
      <c r="E266" s="2">
        <f t="shared" ref="E266:E274" si="13">ROUNDUP(C266/$J$1,0)</f>
        <v>0</v>
      </c>
      <c r="I266" t="s">
        <v>13</v>
      </c>
    </row>
    <row r="267" spans="1:9" x14ac:dyDescent="0.25">
      <c r="B267" t="s">
        <v>31</v>
      </c>
      <c r="C267" s="1">
        <v>0</v>
      </c>
      <c r="E267" s="2">
        <f t="shared" si="13"/>
        <v>0</v>
      </c>
      <c r="I267" t="s">
        <v>12</v>
      </c>
    </row>
    <row r="268" spans="1:9" x14ac:dyDescent="0.25">
      <c r="B268" t="s">
        <v>32</v>
      </c>
      <c r="C268" s="1">
        <v>0</v>
      </c>
      <c r="E268" s="2">
        <f t="shared" si="13"/>
        <v>0</v>
      </c>
    </row>
    <row r="269" spans="1:9" x14ac:dyDescent="0.25">
      <c r="B269" t="s">
        <v>33</v>
      </c>
      <c r="C269" s="1">
        <v>0</v>
      </c>
      <c r="E269" s="2">
        <f t="shared" si="13"/>
        <v>0</v>
      </c>
    </row>
    <row r="270" spans="1:9" x14ac:dyDescent="0.25">
      <c r="A270" s="8" t="s">
        <v>38</v>
      </c>
    </row>
    <row r="271" spans="1:9" x14ac:dyDescent="0.25">
      <c r="B271" t="s">
        <v>30</v>
      </c>
      <c r="C271" s="1">
        <v>0</v>
      </c>
      <c r="E271" s="2">
        <f t="shared" si="13"/>
        <v>0</v>
      </c>
    </row>
    <row r="272" spans="1:9" x14ac:dyDescent="0.25">
      <c r="B272" t="s">
        <v>31</v>
      </c>
      <c r="C272" s="1">
        <v>0</v>
      </c>
      <c r="E272" s="2">
        <f t="shared" si="13"/>
        <v>0</v>
      </c>
    </row>
    <row r="273" spans="1:9" x14ac:dyDescent="0.25">
      <c r="B273" t="s">
        <v>32</v>
      </c>
      <c r="C273" s="1">
        <v>0</v>
      </c>
      <c r="E273" s="2">
        <f t="shared" si="13"/>
        <v>0</v>
      </c>
    </row>
    <row r="274" spans="1:9" x14ac:dyDescent="0.25">
      <c r="B274" t="s">
        <v>33</v>
      </c>
      <c r="C274" s="1">
        <v>0</v>
      </c>
      <c r="E274" s="2">
        <f t="shared" si="13"/>
        <v>0</v>
      </c>
    </row>
    <row r="275" spans="1:9" x14ac:dyDescent="0.25">
      <c r="A275" s="3"/>
      <c r="B275" s="3"/>
      <c r="C275" s="4"/>
      <c r="D275" s="3"/>
      <c r="E275" s="5"/>
    </row>
    <row r="276" spans="1:9" ht="15.75" x14ac:dyDescent="0.25">
      <c r="A276" s="10" t="s">
        <v>62</v>
      </c>
    </row>
    <row r="278" spans="1:9" x14ac:dyDescent="0.25">
      <c r="A278" s="9" t="s">
        <v>63</v>
      </c>
    </row>
    <row r="279" spans="1:9" x14ac:dyDescent="0.25">
      <c r="A279" t="s">
        <v>64</v>
      </c>
    </row>
    <row r="280" spans="1:9" x14ac:dyDescent="0.25">
      <c r="B280" t="s">
        <v>65</v>
      </c>
      <c r="C280" s="1">
        <v>0</v>
      </c>
      <c r="E280" s="2">
        <f t="shared" ref="E280:E283" si="14">ROUNDUP(C280/$J$1,0)</f>
        <v>0</v>
      </c>
      <c r="I280" t="s">
        <v>13</v>
      </c>
    </row>
    <row r="281" spans="1:9" x14ac:dyDescent="0.25">
      <c r="B281" t="s">
        <v>66</v>
      </c>
      <c r="C281" s="1">
        <v>0</v>
      </c>
      <c r="E281" s="2">
        <f t="shared" si="14"/>
        <v>0</v>
      </c>
      <c r="I281" t="s">
        <v>12</v>
      </c>
    </row>
    <row r="282" spans="1:9" x14ac:dyDescent="0.25">
      <c r="B282" t="s">
        <v>67</v>
      </c>
      <c r="C282" s="1">
        <v>0</v>
      </c>
      <c r="E282" s="2">
        <f t="shared" si="14"/>
        <v>0</v>
      </c>
    </row>
    <row r="283" spans="1:9" x14ac:dyDescent="0.25">
      <c r="B283" t="s">
        <v>68</v>
      </c>
      <c r="C283" s="1">
        <v>0</v>
      </c>
      <c r="E283" s="2">
        <f t="shared" si="14"/>
        <v>0</v>
      </c>
    </row>
    <row r="285" spans="1:9" x14ac:dyDescent="0.25">
      <c r="A285" t="s">
        <v>69</v>
      </c>
    </row>
    <row r="286" spans="1:9" x14ac:dyDescent="0.25">
      <c r="B286" t="s">
        <v>65</v>
      </c>
      <c r="C286" s="1">
        <v>0</v>
      </c>
      <c r="E286" s="2">
        <f t="shared" ref="E286:E289" si="15">ROUNDUP(C286/$J$1,0)</f>
        <v>0</v>
      </c>
      <c r="I286" t="s">
        <v>13</v>
      </c>
    </row>
    <row r="287" spans="1:9" x14ac:dyDescent="0.25">
      <c r="B287" t="s">
        <v>66</v>
      </c>
      <c r="C287" s="1">
        <v>0</v>
      </c>
      <c r="E287" s="2">
        <f t="shared" si="15"/>
        <v>0</v>
      </c>
      <c r="I287" t="s">
        <v>12</v>
      </c>
    </row>
    <row r="288" spans="1:9" x14ac:dyDescent="0.25">
      <c r="B288" t="s">
        <v>67</v>
      </c>
      <c r="C288" s="1">
        <v>0</v>
      </c>
      <c r="E288" s="2">
        <f t="shared" si="15"/>
        <v>0</v>
      </c>
    </row>
    <row r="289" spans="1:9" x14ac:dyDescent="0.25">
      <c r="B289" t="s">
        <v>68</v>
      </c>
      <c r="C289" s="1">
        <v>0</v>
      </c>
      <c r="E289" s="2">
        <f t="shared" si="15"/>
        <v>0</v>
      </c>
    </row>
    <row r="291" spans="1:9" x14ac:dyDescent="0.25">
      <c r="A291" t="s">
        <v>70</v>
      </c>
    </row>
    <row r="292" spans="1:9" x14ac:dyDescent="0.25">
      <c r="B292" t="s">
        <v>65</v>
      </c>
      <c r="C292" s="1">
        <v>0</v>
      </c>
      <c r="E292" s="2">
        <f t="shared" ref="E292:E295" si="16">ROUNDUP(C292/$J$1,0)</f>
        <v>0</v>
      </c>
      <c r="I292" t="s">
        <v>13</v>
      </c>
    </row>
    <row r="293" spans="1:9" x14ac:dyDescent="0.25">
      <c r="B293" t="s">
        <v>66</v>
      </c>
      <c r="C293" s="1">
        <v>0</v>
      </c>
      <c r="E293" s="2">
        <f t="shared" si="16"/>
        <v>0</v>
      </c>
      <c r="I293" t="s">
        <v>12</v>
      </c>
    </row>
    <row r="294" spans="1:9" x14ac:dyDescent="0.25">
      <c r="B294" t="s">
        <v>67</v>
      </c>
      <c r="C294" s="1">
        <v>0</v>
      </c>
      <c r="E294" s="2">
        <f t="shared" si="16"/>
        <v>0</v>
      </c>
    </row>
    <row r="295" spans="1:9" x14ac:dyDescent="0.25">
      <c r="B295" t="s">
        <v>68</v>
      </c>
      <c r="C295" s="1">
        <v>0</v>
      </c>
      <c r="E295" s="2">
        <f t="shared" si="16"/>
        <v>0</v>
      </c>
    </row>
    <row r="297" spans="1:9" x14ac:dyDescent="0.25">
      <c r="A297" s="9" t="s">
        <v>71</v>
      </c>
    </row>
    <row r="298" spans="1:9" x14ac:dyDescent="0.25">
      <c r="B298" t="s">
        <v>65</v>
      </c>
      <c r="C298" s="1">
        <v>0</v>
      </c>
      <c r="E298" s="2">
        <f t="shared" ref="E298:E301" si="17">ROUNDUP(C298/$J$1,0)</f>
        <v>0</v>
      </c>
      <c r="I298" t="s">
        <v>13</v>
      </c>
    </row>
    <row r="299" spans="1:9" x14ac:dyDescent="0.25">
      <c r="B299" t="s">
        <v>66</v>
      </c>
      <c r="C299" s="1">
        <v>0</v>
      </c>
      <c r="E299" s="2">
        <f t="shared" si="17"/>
        <v>0</v>
      </c>
      <c r="I299" t="s">
        <v>12</v>
      </c>
    </row>
    <row r="300" spans="1:9" x14ac:dyDescent="0.25">
      <c r="B300" t="s">
        <v>67</v>
      </c>
      <c r="C300" s="1">
        <v>0</v>
      </c>
      <c r="E300" s="2">
        <f t="shared" si="17"/>
        <v>0</v>
      </c>
    </row>
    <row r="301" spans="1:9" x14ac:dyDescent="0.25">
      <c r="B301" t="s">
        <v>68</v>
      </c>
      <c r="C301" s="1">
        <v>0</v>
      </c>
      <c r="E301" s="2">
        <f t="shared" si="17"/>
        <v>0</v>
      </c>
    </row>
    <row r="303" spans="1:9" x14ac:dyDescent="0.25">
      <c r="A303" s="9" t="s">
        <v>72</v>
      </c>
    </row>
    <row r="304" spans="1:9" x14ac:dyDescent="0.25">
      <c r="A304" t="s">
        <v>64</v>
      </c>
    </row>
    <row r="305" spans="1:9" x14ac:dyDescent="0.25">
      <c r="B305" t="s">
        <v>65</v>
      </c>
      <c r="C305" s="1">
        <v>0</v>
      </c>
      <c r="E305" s="2">
        <f t="shared" ref="E305:E308" si="18">ROUNDUP(C305/$J$1,0)</f>
        <v>0</v>
      </c>
      <c r="I305" t="s">
        <v>13</v>
      </c>
    </row>
    <row r="306" spans="1:9" x14ac:dyDescent="0.25">
      <c r="B306" t="s">
        <v>66</v>
      </c>
      <c r="C306" s="1">
        <v>0</v>
      </c>
      <c r="E306" s="2">
        <f t="shared" si="18"/>
        <v>0</v>
      </c>
      <c r="I306" t="s">
        <v>12</v>
      </c>
    </row>
    <row r="307" spans="1:9" x14ac:dyDescent="0.25">
      <c r="B307" t="s">
        <v>67</v>
      </c>
      <c r="C307" s="1">
        <v>0</v>
      </c>
      <c r="E307" s="2">
        <f t="shared" si="18"/>
        <v>0</v>
      </c>
    </row>
    <row r="308" spans="1:9" x14ac:dyDescent="0.25">
      <c r="B308" t="s">
        <v>68</v>
      </c>
      <c r="C308" s="1">
        <v>0</v>
      </c>
      <c r="E308" s="2">
        <f t="shared" si="18"/>
        <v>0</v>
      </c>
    </row>
    <row r="310" spans="1:9" x14ac:dyDescent="0.25">
      <c r="A310" t="s">
        <v>69</v>
      </c>
    </row>
    <row r="311" spans="1:9" x14ac:dyDescent="0.25">
      <c r="B311" t="s">
        <v>65</v>
      </c>
      <c r="C311" s="1">
        <v>0</v>
      </c>
      <c r="E311" s="2">
        <f t="shared" ref="E311:E314" si="19">ROUNDUP(C311/$J$1,0)</f>
        <v>0</v>
      </c>
      <c r="I311" t="s">
        <v>13</v>
      </c>
    </row>
    <row r="312" spans="1:9" x14ac:dyDescent="0.25">
      <c r="B312" t="s">
        <v>66</v>
      </c>
      <c r="C312" s="1">
        <v>0</v>
      </c>
      <c r="E312" s="2">
        <f t="shared" si="19"/>
        <v>0</v>
      </c>
      <c r="I312" t="s">
        <v>12</v>
      </c>
    </row>
    <row r="313" spans="1:9" x14ac:dyDescent="0.25">
      <c r="B313" t="s">
        <v>67</v>
      </c>
      <c r="C313" s="1">
        <v>0</v>
      </c>
      <c r="E313" s="2">
        <f t="shared" si="19"/>
        <v>0</v>
      </c>
    </row>
    <row r="314" spans="1:9" x14ac:dyDescent="0.25">
      <c r="B314" t="s">
        <v>68</v>
      </c>
      <c r="C314" s="1">
        <v>0</v>
      </c>
      <c r="E314" s="2">
        <f t="shared" si="19"/>
        <v>0</v>
      </c>
    </row>
    <row r="316" spans="1:9" x14ac:dyDescent="0.25">
      <c r="A316" t="s">
        <v>70</v>
      </c>
    </row>
    <row r="317" spans="1:9" x14ac:dyDescent="0.25">
      <c r="B317" t="s">
        <v>65</v>
      </c>
      <c r="C317" s="1">
        <v>0</v>
      </c>
      <c r="E317" s="2">
        <f t="shared" ref="E317:E320" si="20">ROUNDUP(C317/$J$1,0)</f>
        <v>0</v>
      </c>
      <c r="I317" t="s">
        <v>13</v>
      </c>
    </row>
    <row r="318" spans="1:9" x14ac:dyDescent="0.25">
      <c r="B318" t="s">
        <v>66</v>
      </c>
      <c r="C318" s="1">
        <v>0</v>
      </c>
      <c r="E318" s="2">
        <f t="shared" si="20"/>
        <v>0</v>
      </c>
      <c r="I318" t="s">
        <v>12</v>
      </c>
    </row>
    <row r="319" spans="1:9" x14ac:dyDescent="0.25">
      <c r="B319" t="s">
        <v>67</v>
      </c>
      <c r="C319" s="1">
        <v>0</v>
      </c>
      <c r="E319" s="2">
        <f t="shared" si="20"/>
        <v>0</v>
      </c>
    </row>
    <row r="320" spans="1:9" x14ac:dyDescent="0.25">
      <c r="B320" t="s">
        <v>68</v>
      </c>
      <c r="C320" s="1">
        <v>0</v>
      </c>
      <c r="E320" s="2">
        <f t="shared" si="20"/>
        <v>0</v>
      </c>
    </row>
    <row r="322" spans="1:9" x14ac:dyDescent="0.25">
      <c r="A322" s="9" t="s">
        <v>75</v>
      </c>
    </row>
    <row r="323" spans="1:9" x14ac:dyDescent="0.25">
      <c r="B323" t="s">
        <v>65</v>
      </c>
      <c r="C323" s="1">
        <v>0</v>
      </c>
      <c r="E323" s="2">
        <f t="shared" ref="E323:E326" si="21">ROUNDUP(C323/$J$1,0)</f>
        <v>0</v>
      </c>
      <c r="I323" t="s">
        <v>13</v>
      </c>
    </row>
    <row r="324" spans="1:9" x14ac:dyDescent="0.25">
      <c r="B324" t="s">
        <v>66</v>
      </c>
      <c r="C324" s="1">
        <v>0</v>
      </c>
      <c r="E324" s="2">
        <f t="shared" si="21"/>
        <v>0</v>
      </c>
      <c r="I324" t="s">
        <v>12</v>
      </c>
    </row>
    <row r="325" spans="1:9" x14ac:dyDescent="0.25">
      <c r="B325" t="s">
        <v>67</v>
      </c>
      <c r="C325" s="1">
        <v>0</v>
      </c>
      <c r="E325" s="2">
        <f t="shared" si="21"/>
        <v>0</v>
      </c>
    </row>
    <row r="326" spans="1:9" x14ac:dyDescent="0.25">
      <c r="B326" t="s">
        <v>68</v>
      </c>
      <c r="C326" s="1">
        <v>0</v>
      </c>
      <c r="E326" s="2">
        <f t="shared" si="21"/>
        <v>0</v>
      </c>
    </row>
    <row r="327" spans="1:9" x14ac:dyDescent="0.25">
      <c r="A327" s="3"/>
      <c r="B327" s="3"/>
      <c r="C327" s="4"/>
      <c r="D327" s="3"/>
      <c r="E327" s="5"/>
    </row>
    <row r="328" spans="1:9" ht="15.75" x14ac:dyDescent="0.25">
      <c r="A328" s="10" t="s">
        <v>80</v>
      </c>
    </row>
    <row r="329" spans="1:9" x14ac:dyDescent="0.25">
      <c r="A329" s="9"/>
    </row>
    <row r="330" spans="1:9" x14ac:dyDescent="0.25">
      <c r="A330" s="9" t="s">
        <v>76</v>
      </c>
    </row>
    <row r="331" spans="1:9" x14ac:dyDescent="0.25">
      <c r="B331" t="s">
        <v>78</v>
      </c>
      <c r="C331" s="1">
        <v>0</v>
      </c>
      <c r="E331" s="2">
        <f t="shared" ref="E331:E333" si="22">ROUNDUP(C331/$J$1,0)</f>
        <v>0</v>
      </c>
      <c r="I331" t="s">
        <v>13</v>
      </c>
    </row>
    <row r="332" spans="1:9" x14ac:dyDescent="0.25">
      <c r="B332" t="s">
        <v>77</v>
      </c>
      <c r="C332" s="1">
        <v>0</v>
      </c>
      <c r="E332" s="2">
        <f t="shared" si="22"/>
        <v>0</v>
      </c>
      <c r="I332" t="s">
        <v>12</v>
      </c>
    </row>
    <row r="333" spans="1:9" x14ac:dyDescent="0.25">
      <c r="B333" t="s">
        <v>79</v>
      </c>
      <c r="C333" s="1">
        <v>0</v>
      </c>
      <c r="E333" s="2">
        <f t="shared" si="22"/>
        <v>0</v>
      </c>
    </row>
    <row r="335" spans="1:9" x14ac:dyDescent="0.25">
      <c r="A335" s="9" t="s">
        <v>81</v>
      </c>
    </row>
    <row r="336" spans="1:9" x14ac:dyDescent="0.25">
      <c r="B336" t="s">
        <v>82</v>
      </c>
      <c r="C336" s="1">
        <v>11500</v>
      </c>
      <c r="E336" s="2">
        <f t="shared" ref="E336" si="23">ROUNDUP(C336/$J$1,0)</f>
        <v>288</v>
      </c>
      <c r="I336" t="s">
        <v>13</v>
      </c>
    </row>
    <row r="337" spans="1:9" x14ac:dyDescent="0.25">
      <c r="A337" s="3"/>
      <c r="B337" s="3"/>
      <c r="C337" s="4"/>
      <c r="D337" s="3"/>
      <c r="E337" s="5"/>
      <c r="I337" t="s">
        <v>12</v>
      </c>
    </row>
    <row r="338" spans="1:9" ht="15.75" x14ac:dyDescent="0.25">
      <c r="A338" s="10" t="s">
        <v>83</v>
      </c>
    </row>
    <row r="340" spans="1:9" x14ac:dyDescent="0.25">
      <c r="A340" s="8" t="s">
        <v>84</v>
      </c>
    </row>
    <row r="341" spans="1:9" x14ac:dyDescent="0.25">
      <c r="B341" t="s">
        <v>85</v>
      </c>
      <c r="C341" s="1">
        <v>0</v>
      </c>
      <c r="E341" s="2">
        <f t="shared" ref="E341:E344" si="24">ROUNDUP(C341/$J$1,0)</f>
        <v>0</v>
      </c>
      <c r="I341" t="s">
        <v>89</v>
      </c>
    </row>
    <row r="342" spans="1:9" x14ac:dyDescent="0.25">
      <c r="B342" t="s">
        <v>86</v>
      </c>
      <c r="C342" s="1">
        <v>0</v>
      </c>
      <c r="E342" s="2">
        <f t="shared" si="24"/>
        <v>0</v>
      </c>
      <c r="I342" t="s">
        <v>89</v>
      </c>
    </row>
    <row r="343" spans="1:9" x14ac:dyDescent="0.25">
      <c r="B343" t="s">
        <v>87</v>
      </c>
      <c r="C343" s="1">
        <v>0</v>
      </c>
      <c r="E343" s="2">
        <f t="shared" si="24"/>
        <v>0</v>
      </c>
      <c r="I343" t="s">
        <v>89</v>
      </c>
    </row>
    <row r="344" spans="1:9" x14ac:dyDescent="0.25">
      <c r="B344" t="s">
        <v>88</v>
      </c>
      <c r="C344" s="1">
        <v>0</v>
      </c>
      <c r="E344" s="2">
        <f t="shared" si="24"/>
        <v>0</v>
      </c>
      <c r="I344" t="s">
        <v>89</v>
      </c>
    </row>
    <row r="346" spans="1:9" x14ac:dyDescent="0.25">
      <c r="A346" s="8" t="s">
        <v>90</v>
      </c>
    </row>
    <row r="347" spans="1:9" x14ac:dyDescent="0.25">
      <c r="B347" t="s">
        <v>85</v>
      </c>
      <c r="C347" s="1">
        <v>0</v>
      </c>
      <c r="E347" s="2">
        <f t="shared" ref="E347:E350" si="25">ROUNDUP(C347/$J$1,0)</f>
        <v>0</v>
      </c>
      <c r="I347" t="s">
        <v>89</v>
      </c>
    </row>
    <row r="348" spans="1:9" x14ac:dyDescent="0.25">
      <c r="B348" t="s">
        <v>86</v>
      </c>
      <c r="C348" s="1">
        <v>0</v>
      </c>
      <c r="E348" s="2">
        <f t="shared" si="25"/>
        <v>0</v>
      </c>
      <c r="I348" t="s">
        <v>89</v>
      </c>
    </row>
    <row r="349" spans="1:9" x14ac:dyDescent="0.25">
      <c r="B349" t="s">
        <v>87</v>
      </c>
      <c r="C349" s="1">
        <v>0</v>
      </c>
      <c r="E349" s="2">
        <f t="shared" si="25"/>
        <v>0</v>
      </c>
      <c r="I349" t="s">
        <v>89</v>
      </c>
    </row>
    <row r="350" spans="1:9" x14ac:dyDescent="0.25">
      <c r="B350" t="s">
        <v>88</v>
      </c>
      <c r="C350" s="1">
        <v>0</v>
      </c>
      <c r="E350" s="2">
        <f t="shared" si="25"/>
        <v>0</v>
      </c>
      <c r="I350" t="s">
        <v>89</v>
      </c>
    </row>
    <row r="352" spans="1:9" x14ac:dyDescent="0.25">
      <c r="A352" s="8" t="s">
        <v>91</v>
      </c>
    </row>
    <row r="353" spans="1:9" x14ac:dyDescent="0.25">
      <c r="B353" t="s">
        <v>85</v>
      </c>
      <c r="C353" s="1">
        <v>0</v>
      </c>
      <c r="E353" s="2">
        <f t="shared" ref="E353:E356" si="26">ROUNDUP(C353/$J$1,0)</f>
        <v>0</v>
      </c>
      <c r="I353" t="s">
        <v>89</v>
      </c>
    </row>
    <row r="354" spans="1:9" x14ac:dyDescent="0.25">
      <c r="B354" t="s">
        <v>86</v>
      </c>
      <c r="C354" s="1">
        <v>0</v>
      </c>
      <c r="E354" s="2">
        <f t="shared" si="26"/>
        <v>0</v>
      </c>
      <c r="I354" t="s">
        <v>89</v>
      </c>
    </row>
    <row r="355" spans="1:9" x14ac:dyDescent="0.25">
      <c r="B355" t="s">
        <v>87</v>
      </c>
      <c r="C355" s="1">
        <v>0</v>
      </c>
      <c r="E355" s="2">
        <f t="shared" si="26"/>
        <v>0</v>
      </c>
      <c r="I355" t="s">
        <v>89</v>
      </c>
    </row>
    <row r="356" spans="1:9" x14ac:dyDescent="0.25">
      <c r="B356" t="s">
        <v>88</v>
      </c>
      <c r="C356" s="1">
        <v>0</v>
      </c>
      <c r="E356" s="2">
        <f t="shared" si="26"/>
        <v>0</v>
      </c>
      <c r="I356" t="s">
        <v>89</v>
      </c>
    </row>
    <row r="358" spans="1:9" x14ac:dyDescent="0.25">
      <c r="A358" s="3"/>
      <c r="B358" s="3"/>
      <c r="C358" s="4"/>
      <c r="D358" s="3"/>
      <c r="E358" s="5"/>
    </row>
    <row r="359" spans="1:9" ht="15.75" x14ac:dyDescent="0.25">
      <c r="A359" s="10" t="s">
        <v>92</v>
      </c>
    </row>
    <row r="361" spans="1:9" x14ac:dyDescent="0.25">
      <c r="B361" t="s">
        <v>93</v>
      </c>
      <c r="C361" s="1">
        <v>0</v>
      </c>
      <c r="E361" s="2">
        <f t="shared" ref="E361:E368" si="27">ROUNDUP(C361/$J$1,0)</f>
        <v>0</v>
      </c>
    </row>
    <row r="362" spans="1:9" x14ac:dyDescent="0.25">
      <c r="B362" t="s">
        <v>94</v>
      </c>
      <c r="C362" s="1">
        <v>0</v>
      </c>
      <c r="E362" s="2">
        <f t="shared" si="27"/>
        <v>0</v>
      </c>
    </row>
    <row r="363" spans="1:9" x14ac:dyDescent="0.25">
      <c r="B363" t="s">
        <v>95</v>
      </c>
      <c r="C363" s="1">
        <v>0</v>
      </c>
      <c r="E363" s="2">
        <f t="shared" si="27"/>
        <v>0</v>
      </c>
    </row>
    <row r="364" spans="1:9" x14ac:dyDescent="0.25">
      <c r="B364" t="s">
        <v>96</v>
      </c>
      <c r="C364" s="1">
        <v>0</v>
      </c>
      <c r="E364" s="2">
        <f t="shared" si="27"/>
        <v>0</v>
      </c>
    </row>
    <row r="365" spans="1:9" x14ac:dyDescent="0.25">
      <c r="B365" t="s">
        <v>97</v>
      </c>
      <c r="C365" s="1">
        <v>0</v>
      </c>
      <c r="E365" s="2">
        <f t="shared" si="27"/>
        <v>0</v>
      </c>
    </row>
    <row r="366" spans="1:9" x14ac:dyDescent="0.25">
      <c r="B366" t="s">
        <v>98</v>
      </c>
      <c r="C366" s="1">
        <v>0</v>
      </c>
      <c r="E366" s="2">
        <f t="shared" si="27"/>
        <v>0</v>
      </c>
    </row>
    <row r="367" spans="1:9" x14ac:dyDescent="0.25">
      <c r="B367" t="s">
        <v>98</v>
      </c>
      <c r="C367" s="1">
        <v>0</v>
      </c>
      <c r="E367" s="2">
        <f t="shared" si="27"/>
        <v>0</v>
      </c>
    </row>
    <row r="368" spans="1:9" x14ac:dyDescent="0.25">
      <c r="B368" t="s">
        <v>98</v>
      </c>
      <c r="C368" s="1">
        <v>0</v>
      </c>
      <c r="E368" s="2">
        <f t="shared" si="27"/>
        <v>0</v>
      </c>
    </row>
    <row r="369" spans="1:9" x14ac:dyDescent="0.25">
      <c r="A369" s="8" t="s">
        <v>99</v>
      </c>
    </row>
    <row r="370" spans="1:9" x14ac:dyDescent="0.25">
      <c r="B370" t="s">
        <v>100</v>
      </c>
      <c r="C370" s="1">
        <v>0</v>
      </c>
      <c r="E370" s="2">
        <f t="shared" ref="E370:E372" si="28">ROUNDUP(C370/$J$1,0)</f>
        <v>0</v>
      </c>
    </row>
    <row r="371" spans="1:9" x14ac:dyDescent="0.25">
      <c r="B371" t="s">
        <v>101</v>
      </c>
      <c r="C371" s="1">
        <v>0</v>
      </c>
      <c r="E371" s="2">
        <f t="shared" si="28"/>
        <v>0</v>
      </c>
    </row>
    <row r="372" spans="1:9" x14ac:dyDescent="0.25">
      <c r="B372" t="s">
        <v>102</v>
      </c>
      <c r="C372" s="1">
        <v>0</v>
      </c>
      <c r="E372" s="2">
        <f t="shared" si="28"/>
        <v>0</v>
      </c>
    </row>
    <row r="373" spans="1:9" x14ac:dyDescent="0.25">
      <c r="A373" s="8" t="s">
        <v>103</v>
      </c>
    </row>
    <row r="374" spans="1:9" x14ac:dyDescent="0.25">
      <c r="B374" t="s">
        <v>100</v>
      </c>
      <c r="C374" s="1">
        <v>0</v>
      </c>
      <c r="E374" s="2">
        <f t="shared" ref="E374:E376" si="29">ROUNDUP(C374/$J$1,0)</f>
        <v>0</v>
      </c>
    </row>
    <row r="375" spans="1:9" x14ac:dyDescent="0.25">
      <c r="B375" t="s">
        <v>101</v>
      </c>
      <c r="C375" s="1">
        <v>0</v>
      </c>
      <c r="E375" s="2">
        <f t="shared" si="29"/>
        <v>0</v>
      </c>
    </row>
    <row r="376" spans="1:9" x14ac:dyDescent="0.25">
      <c r="B376" t="s">
        <v>102</v>
      </c>
      <c r="C376" s="1">
        <v>0</v>
      </c>
      <c r="E376" s="2">
        <f t="shared" si="29"/>
        <v>0</v>
      </c>
    </row>
    <row r="377" spans="1:9" x14ac:dyDescent="0.25">
      <c r="A377" s="8" t="s">
        <v>104</v>
      </c>
    </row>
    <row r="378" spans="1:9" x14ac:dyDescent="0.25">
      <c r="B378" t="s">
        <v>106</v>
      </c>
      <c r="C378" s="1">
        <v>0</v>
      </c>
      <c r="E378" s="2">
        <f t="shared" ref="E378" si="30">ROUNDUP(C378/$J$1,0)</f>
        <v>0</v>
      </c>
    </row>
    <row r="379" spans="1:9" x14ac:dyDescent="0.25">
      <c r="B379" t="s">
        <v>105</v>
      </c>
      <c r="C379" s="1">
        <v>0</v>
      </c>
      <c r="E379" s="1">
        <v>0</v>
      </c>
    </row>
    <row r="380" spans="1:9" x14ac:dyDescent="0.25">
      <c r="A380" s="3"/>
      <c r="B380" s="3"/>
      <c r="C380" s="4"/>
      <c r="D380" s="3"/>
      <c r="E380" s="5"/>
    </row>
    <row r="381" spans="1:9" ht="15.75" x14ac:dyDescent="0.25">
      <c r="A381" s="10" t="s">
        <v>107</v>
      </c>
    </row>
    <row r="383" spans="1:9" x14ac:dyDescent="0.25">
      <c r="A383" s="8" t="s">
        <v>108</v>
      </c>
    </row>
    <row r="384" spans="1:9" x14ac:dyDescent="0.25">
      <c r="B384" t="s">
        <v>109</v>
      </c>
      <c r="C384" s="1">
        <v>0</v>
      </c>
      <c r="E384" s="1">
        <v>0</v>
      </c>
      <c r="I384" t="s">
        <v>112</v>
      </c>
    </row>
    <row r="385" spans="1:9" x14ac:dyDescent="0.25">
      <c r="B385" t="s">
        <v>110</v>
      </c>
      <c r="C385" s="1">
        <v>0</v>
      </c>
      <c r="E385" s="1">
        <v>0</v>
      </c>
      <c r="I385" t="s">
        <v>112</v>
      </c>
    </row>
    <row r="386" spans="1:9" x14ac:dyDescent="0.25">
      <c r="B386" t="s">
        <v>111</v>
      </c>
      <c r="C386" s="1">
        <v>0</v>
      </c>
      <c r="E386" s="1">
        <v>0</v>
      </c>
      <c r="I386" t="s">
        <v>112</v>
      </c>
    </row>
    <row r="388" spans="1:9" x14ac:dyDescent="0.25">
      <c r="A388" s="8" t="s">
        <v>114</v>
      </c>
    </row>
    <row r="389" spans="1:9" x14ac:dyDescent="0.25">
      <c r="B389" t="s">
        <v>115</v>
      </c>
      <c r="C389" s="1">
        <v>0</v>
      </c>
      <c r="E389" s="1">
        <v>0</v>
      </c>
    </row>
    <row r="390" spans="1:9" x14ac:dyDescent="0.25">
      <c r="B390" t="s">
        <v>116</v>
      </c>
      <c r="C390" s="1">
        <v>0</v>
      </c>
      <c r="E390" s="1">
        <v>0</v>
      </c>
    </row>
    <row r="391" spans="1:9" x14ac:dyDescent="0.25">
      <c r="B391" t="s">
        <v>117</v>
      </c>
      <c r="C391" s="1">
        <v>0</v>
      </c>
      <c r="E391" s="1">
        <v>0</v>
      </c>
    </row>
    <row r="392" spans="1:9" x14ac:dyDescent="0.25">
      <c r="B392" t="s">
        <v>118</v>
      </c>
      <c r="C392" s="1">
        <v>0</v>
      </c>
      <c r="E392" s="1">
        <v>0</v>
      </c>
    </row>
    <row r="393" spans="1:9" x14ac:dyDescent="0.25">
      <c r="B393" t="s">
        <v>119</v>
      </c>
      <c r="C393" s="1">
        <v>0</v>
      </c>
      <c r="E393" s="1">
        <v>0</v>
      </c>
    </row>
    <row r="394" spans="1:9" x14ac:dyDescent="0.25">
      <c r="B394" t="s">
        <v>121</v>
      </c>
      <c r="C394" s="1">
        <v>0</v>
      </c>
      <c r="E394" s="1">
        <v>0</v>
      </c>
    </row>
    <row r="395" spans="1:9" x14ac:dyDescent="0.25">
      <c r="B395" t="s">
        <v>120</v>
      </c>
      <c r="C395" s="1">
        <v>0</v>
      </c>
      <c r="E395" s="1">
        <v>0</v>
      </c>
    </row>
    <row r="396" spans="1:9" x14ac:dyDescent="0.25">
      <c r="A396" s="3"/>
      <c r="B396" s="3"/>
      <c r="C396" s="4"/>
      <c r="D396" s="3"/>
      <c r="E396" s="5"/>
    </row>
    <row r="397" spans="1:9" ht="15.75" x14ac:dyDescent="0.25">
      <c r="A397" s="10" t="s">
        <v>122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W41"/>
  <sheetViews>
    <sheetView zoomScaleNormal="100" workbookViewId="0">
      <selection activeCell="A3" sqref="A3"/>
    </sheetView>
  </sheetViews>
  <sheetFormatPr baseColWidth="10" defaultRowHeight="11.25" x14ac:dyDescent="0.2"/>
  <cols>
    <col min="1" max="1" width="57.28515625" style="24" customWidth="1"/>
    <col min="2" max="9" width="10.42578125" style="24" customWidth="1"/>
    <col min="10" max="14" width="6.28515625" style="173" customWidth="1"/>
    <col min="15" max="49" width="6.28515625" style="24" customWidth="1"/>
    <col min="50" max="16384" width="11.42578125" style="24"/>
  </cols>
  <sheetData>
    <row r="1" spans="1:49" x14ac:dyDescent="0.2">
      <c r="A1" s="172"/>
      <c r="B1" s="182">
        <v>1</v>
      </c>
      <c r="C1" s="182">
        <v>1</v>
      </c>
      <c r="D1" s="182">
        <v>1</v>
      </c>
      <c r="E1" s="182">
        <v>1</v>
      </c>
      <c r="F1" s="182">
        <v>1</v>
      </c>
      <c r="G1" s="182">
        <v>1</v>
      </c>
      <c r="H1" s="182">
        <v>1</v>
      </c>
      <c r="I1" s="182">
        <v>1</v>
      </c>
      <c r="J1" s="183" t="s">
        <v>411</v>
      </c>
      <c r="O1" s="183" t="s">
        <v>412</v>
      </c>
      <c r="T1" s="183" t="s">
        <v>413</v>
      </c>
      <c r="Y1" s="183" t="s">
        <v>414</v>
      </c>
      <c r="AD1" s="183" t="s">
        <v>415</v>
      </c>
      <c r="AI1" s="183" t="s">
        <v>416</v>
      </c>
      <c r="AN1" s="183" t="s">
        <v>417</v>
      </c>
      <c r="AS1" s="184" t="s">
        <v>418</v>
      </c>
    </row>
    <row r="2" spans="1:49" x14ac:dyDescent="0.2">
      <c r="A2" s="172" t="s">
        <v>189</v>
      </c>
      <c r="B2" s="24" t="s">
        <v>411</v>
      </c>
      <c r="C2" s="24" t="s">
        <v>412</v>
      </c>
      <c r="D2" s="24" t="s">
        <v>413</v>
      </c>
      <c r="E2" s="24" t="s">
        <v>414</v>
      </c>
      <c r="F2" s="24" t="s">
        <v>415</v>
      </c>
      <c r="G2" s="24" t="s">
        <v>416</v>
      </c>
      <c r="H2" s="24" t="s">
        <v>417</v>
      </c>
      <c r="I2" s="24" t="s">
        <v>418</v>
      </c>
      <c r="J2" s="173" t="s">
        <v>419</v>
      </c>
      <c r="K2" s="173" t="s">
        <v>420</v>
      </c>
      <c r="L2" s="173" t="s">
        <v>421</v>
      </c>
      <c r="M2" s="173" t="s">
        <v>422</v>
      </c>
      <c r="N2" s="173" t="s">
        <v>423</v>
      </c>
      <c r="O2" s="173" t="s">
        <v>419</v>
      </c>
      <c r="P2" s="173" t="s">
        <v>420</v>
      </c>
      <c r="Q2" s="173" t="s">
        <v>421</v>
      </c>
      <c r="R2" s="173" t="s">
        <v>422</v>
      </c>
      <c r="S2" s="173" t="s">
        <v>423</v>
      </c>
      <c r="T2" s="173" t="s">
        <v>419</v>
      </c>
      <c r="U2" s="173" t="s">
        <v>420</v>
      </c>
      <c r="V2" s="173" t="s">
        <v>421</v>
      </c>
      <c r="W2" s="173" t="s">
        <v>422</v>
      </c>
      <c r="X2" s="173" t="s">
        <v>423</v>
      </c>
      <c r="Y2" s="173" t="s">
        <v>419</v>
      </c>
      <c r="Z2" s="173" t="s">
        <v>420</v>
      </c>
      <c r="AA2" s="173" t="s">
        <v>421</v>
      </c>
      <c r="AB2" s="173" t="s">
        <v>422</v>
      </c>
      <c r="AC2" s="173" t="s">
        <v>423</v>
      </c>
      <c r="AD2" s="173" t="s">
        <v>419</v>
      </c>
      <c r="AE2" s="173" t="s">
        <v>420</v>
      </c>
      <c r="AF2" s="173" t="s">
        <v>421</v>
      </c>
      <c r="AG2" s="173" t="s">
        <v>422</v>
      </c>
      <c r="AH2" s="173" t="s">
        <v>423</v>
      </c>
      <c r="AI2" s="173" t="s">
        <v>419</v>
      </c>
      <c r="AJ2" s="173" t="s">
        <v>420</v>
      </c>
      <c r="AK2" s="173" t="s">
        <v>421</v>
      </c>
      <c r="AL2" s="173" t="s">
        <v>422</v>
      </c>
      <c r="AM2" s="173" t="s">
        <v>423</v>
      </c>
      <c r="AN2" s="173" t="s">
        <v>419</v>
      </c>
      <c r="AO2" s="173" t="s">
        <v>420</v>
      </c>
      <c r="AP2" s="173" t="s">
        <v>421</v>
      </c>
      <c r="AQ2" s="173" t="s">
        <v>422</v>
      </c>
      <c r="AR2" s="173" t="s">
        <v>423</v>
      </c>
      <c r="AS2" s="173" t="s">
        <v>419</v>
      </c>
      <c r="AT2" s="173" t="s">
        <v>420</v>
      </c>
      <c r="AU2" s="173" t="s">
        <v>421</v>
      </c>
      <c r="AV2" s="173" t="s">
        <v>422</v>
      </c>
      <c r="AW2" s="173" t="s">
        <v>423</v>
      </c>
    </row>
    <row r="3" spans="1:49" x14ac:dyDescent="0.2">
      <c r="A3" s="174" t="s">
        <v>204</v>
      </c>
      <c r="B3" s="24" t="s">
        <v>3</v>
      </c>
      <c r="C3" s="24" t="s">
        <v>403</v>
      </c>
      <c r="D3" s="24" t="s">
        <v>404</v>
      </c>
      <c r="E3" s="24" t="s">
        <v>405</v>
      </c>
      <c r="J3" s="173">
        <v>1</v>
      </c>
      <c r="K3" s="173">
        <f>SUM(J3*Data!$B$3)</f>
        <v>30</v>
      </c>
      <c r="L3" s="173">
        <f>SUM(J3*Data!$B$4)</f>
        <v>40</v>
      </c>
      <c r="M3" s="173">
        <f>SUM(J3*Data!$B$5)</f>
        <v>50</v>
      </c>
      <c r="N3" s="173">
        <f>SUM(J3*Data!$B$6)</f>
        <v>60</v>
      </c>
      <c r="O3" s="24">
        <v>2</v>
      </c>
      <c r="P3" s="24">
        <f>SUM(O3*Data!$B$3)</f>
        <v>60</v>
      </c>
      <c r="Q3" s="24">
        <f>SUM(O3*Data!$B$4)</f>
        <v>80</v>
      </c>
      <c r="R3" s="24">
        <f>SUM(O3*Data!$B$5)</f>
        <v>100</v>
      </c>
      <c r="S3" s="24">
        <f>SUM(O3*Data!$B$6)</f>
        <v>120</v>
      </c>
      <c r="T3" s="24">
        <v>3</v>
      </c>
      <c r="U3" s="24">
        <f>SUM(T3*Data!$B$3)</f>
        <v>90</v>
      </c>
      <c r="V3" s="24">
        <f>SUM(T3*Data!$B$4)</f>
        <v>120</v>
      </c>
      <c r="W3" s="24">
        <f>SUM(T3*Data!$B$5)</f>
        <v>150</v>
      </c>
      <c r="X3" s="24">
        <f>SUM(T3*Data!$B$6)</f>
        <v>180</v>
      </c>
      <c r="Y3" s="24">
        <v>4</v>
      </c>
      <c r="Z3" s="24">
        <f>SUM(Y3*Data!$B$3)</f>
        <v>120</v>
      </c>
      <c r="AA3" s="24">
        <f>SUM(Y3*Data!$B$4)</f>
        <v>160</v>
      </c>
      <c r="AB3" s="24">
        <f>SUM(Y3*Data!$B$5)</f>
        <v>200</v>
      </c>
      <c r="AC3" s="24">
        <f>SUM(Y3*Data!$B$6)</f>
        <v>240</v>
      </c>
      <c r="AD3" s="24">
        <v>5</v>
      </c>
      <c r="AE3" s="24">
        <f>SUM(AD3*Data!$B$3)</f>
        <v>150</v>
      </c>
      <c r="AF3" s="24">
        <f>SUM(AD3*Data!$B$4)</f>
        <v>200</v>
      </c>
      <c r="AG3" s="24">
        <f>SUM(AD3*Data!$B$5)</f>
        <v>250</v>
      </c>
      <c r="AH3" s="24">
        <f>SUM(AD3*Data!$B$6)</f>
        <v>300</v>
      </c>
      <c r="AI3" s="24">
        <v>6</v>
      </c>
      <c r="AJ3" s="24">
        <f>SUM(AI3*Data!$B$3)</f>
        <v>180</v>
      </c>
      <c r="AK3" s="24">
        <f>SUM(AI3*Data!$B$4)</f>
        <v>240</v>
      </c>
      <c r="AL3" s="24">
        <f>SUM(AI3*Data!$B$5)</f>
        <v>300</v>
      </c>
      <c r="AM3" s="24">
        <f>SUM(AI3*Data!$B$6)</f>
        <v>360</v>
      </c>
      <c r="AN3" s="24">
        <v>7</v>
      </c>
      <c r="AO3" s="24">
        <f>SUM(AN3*Data!$B$3)</f>
        <v>210</v>
      </c>
      <c r="AP3" s="24">
        <f>SUM(AN3*Data!$B$4)</f>
        <v>280</v>
      </c>
      <c r="AQ3" s="24">
        <f>SUM(AN3*Data!$B$5)</f>
        <v>350</v>
      </c>
      <c r="AR3" s="24">
        <f>SUM(AN3*Data!$B$6)</f>
        <v>420</v>
      </c>
      <c r="AS3" s="24">
        <v>8</v>
      </c>
      <c r="AT3" s="24">
        <f>SUM(AS3*Data!$B$3)</f>
        <v>240</v>
      </c>
      <c r="AU3" s="24">
        <f>SUM(AS3*Data!$B$4)</f>
        <v>320</v>
      </c>
      <c r="AV3" s="24">
        <f>SUM(AS3*Data!$B$5)</f>
        <v>400</v>
      </c>
      <c r="AW3" s="24">
        <f>SUM(AS3*Data!$B$6)</f>
        <v>480</v>
      </c>
    </row>
    <row r="4" spans="1:49" x14ac:dyDescent="0.2">
      <c r="A4" s="174" t="s">
        <v>205</v>
      </c>
    </row>
    <row r="5" spans="1:49" x14ac:dyDescent="0.2">
      <c r="A5" s="174" t="s">
        <v>206</v>
      </c>
    </row>
    <row r="6" spans="1:49" x14ac:dyDescent="0.2">
      <c r="A6" s="174" t="s">
        <v>424</v>
      </c>
    </row>
    <row r="7" spans="1:49" x14ac:dyDescent="0.2">
      <c r="A7" s="174" t="s">
        <v>211</v>
      </c>
    </row>
    <row r="8" spans="1:49" x14ac:dyDescent="0.2">
      <c r="A8" s="174" t="s">
        <v>212</v>
      </c>
    </row>
    <row r="9" spans="1:49" x14ac:dyDescent="0.2">
      <c r="A9" s="174" t="s">
        <v>214</v>
      </c>
    </row>
    <row r="10" spans="1:49" x14ac:dyDescent="0.2">
      <c r="A10" s="175" t="s">
        <v>215</v>
      </c>
    </row>
    <row r="11" spans="1:49" x14ac:dyDescent="0.2">
      <c r="A11" s="174" t="s">
        <v>216</v>
      </c>
    </row>
    <row r="12" spans="1:49" x14ac:dyDescent="0.2">
      <c r="A12" s="174" t="s">
        <v>213</v>
      </c>
    </row>
    <row r="13" spans="1:49" x14ac:dyDescent="0.2">
      <c r="A13" s="174" t="s">
        <v>219</v>
      </c>
    </row>
    <row r="14" spans="1:49" x14ac:dyDescent="0.2">
      <c r="A14" s="174" t="s">
        <v>220</v>
      </c>
    </row>
    <row r="15" spans="1:49" x14ac:dyDescent="0.2">
      <c r="A15" s="174" t="s">
        <v>221</v>
      </c>
    </row>
    <row r="16" spans="1:49" x14ac:dyDescent="0.2">
      <c r="A16" s="174" t="s">
        <v>217</v>
      </c>
    </row>
    <row r="17" spans="1:1" x14ac:dyDescent="0.2">
      <c r="A17" s="174" t="s">
        <v>218</v>
      </c>
    </row>
    <row r="18" spans="1:1" x14ac:dyDescent="0.2">
      <c r="A18" s="174" t="s">
        <v>222</v>
      </c>
    </row>
    <row r="19" spans="1:1" x14ac:dyDescent="0.2">
      <c r="A19" s="174" t="s">
        <v>223</v>
      </c>
    </row>
    <row r="20" spans="1:1" x14ac:dyDescent="0.2">
      <c r="A20" s="174" t="s">
        <v>224</v>
      </c>
    </row>
    <row r="21" spans="1:1" x14ac:dyDescent="0.2">
      <c r="A21" s="174" t="s">
        <v>225</v>
      </c>
    </row>
    <row r="22" spans="1:1" x14ac:dyDescent="0.2">
      <c r="A22" s="174" t="s">
        <v>226</v>
      </c>
    </row>
    <row r="23" spans="1:1" x14ac:dyDescent="0.2">
      <c r="A23" s="174" t="s">
        <v>227</v>
      </c>
    </row>
    <row r="24" spans="1:1" x14ac:dyDescent="0.2">
      <c r="A24" s="174" t="s">
        <v>228</v>
      </c>
    </row>
    <row r="25" spans="1:1" x14ac:dyDescent="0.2">
      <c r="A25" s="174" t="s">
        <v>174</v>
      </c>
    </row>
    <row r="26" spans="1:1" x14ac:dyDescent="0.2">
      <c r="A26" s="174" t="s">
        <v>229</v>
      </c>
    </row>
    <row r="27" spans="1:1" x14ac:dyDescent="0.2">
      <c r="A27" s="174" t="s">
        <v>230</v>
      </c>
    </row>
    <row r="28" spans="1:1" x14ac:dyDescent="0.2">
      <c r="A28" s="174" t="s">
        <v>231</v>
      </c>
    </row>
    <row r="29" spans="1:1" x14ac:dyDescent="0.2">
      <c r="A29" s="174" t="s">
        <v>232</v>
      </c>
    </row>
    <row r="30" spans="1:1" x14ac:dyDescent="0.2">
      <c r="A30" s="174" t="s">
        <v>233</v>
      </c>
    </row>
    <row r="31" spans="1:1" x14ac:dyDescent="0.2">
      <c r="A31" s="174" t="s">
        <v>234</v>
      </c>
    </row>
    <row r="32" spans="1:1" x14ac:dyDescent="0.2">
      <c r="A32" s="174" t="s">
        <v>235</v>
      </c>
    </row>
    <row r="33" spans="1:1" x14ac:dyDescent="0.2">
      <c r="A33" s="174" t="s">
        <v>236</v>
      </c>
    </row>
    <row r="34" spans="1:1" x14ac:dyDescent="0.2">
      <c r="A34" s="174" t="s">
        <v>237</v>
      </c>
    </row>
    <row r="35" spans="1:1" x14ac:dyDescent="0.2">
      <c r="A35" s="174" t="s">
        <v>238</v>
      </c>
    </row>
    <row r="36" spans="1:1" x14ac:dyDescent="0.2">
      <c r="A36" s="174" t="s">
        <v>239</v>
      </c>
    </row>
    <row r="37" spans="1:1" x14ac:dyDescent="0.2">
      <c r="A37" s="174" t="s">
        <v>240</v>
      </c>
    </row>
    <row r="38" spans="1:1" x14ac:dyDescent="0.2">
      <c r="A38" s="174" t="s">
        <v>241</v>
      </c>
    </row>
    <row r="39" spans="1:1" x14ac:dyDescent="0.2">
      <c r="A39" s="174" t="s">
        <v>242</v>
      </c>
    </row>
    <row r="40" spans="1:1" x14ac:dyDescent="0.2">
      <c r="A40" s="176" t="s">
        <v>382</v>
      </c>
    </row>
    <row r="41" spans="1:1" x14ac:dyDescent="0.2">
      <c r="A41" s="177" t="s">
        <v>290</v>
      </c>
    </row>
  </sheetData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AE01340-FABB-41CE-82A0-400A378A1297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2" iconId="0"/>
              <x14:cfIcon iconSet="3Symbols2" iconId="2"/>
            </x14:iconSet>
          </x14:cfRule>
          <xm:sqref>B1:I1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S6"/>
  <sheetViews>
    <sheetView workbookViewId="0">
      <selection activeCell="R15" sqref="R15"/>
    </sheetView>
  </sheetViews>
  <sheetFormatPr baseColWidth="10" defaultRowHeight="15" x14ac:dyDescent="0.25"/>
  <cols>
    <col min="1" max="1" width="8.28515625" customWidth="1"/>
    <col min="2" max="15" width="2.85546875" customWidth="1"/>
    <col min="16" max="16" width="6.28515625" customWidth="1"/>
    <col min="17" max="21" width="13.7109375" customWidth="1"/>
  </cols>
  <sheetData>
    <row r="1" spans="1:227" x14ac:dyDescent="0.25">
      <c r="A1" t="s">
        <v>319</v>
      </c>
      <c r="C1" t="s">
        <v>387</v>
      </c>
      <c r="D1" t="s">
        <v>388</v>
      </c>
      <c r="E1" t="s">
        <v>389</v>
      </c>
      <c r="H1" t="s">
        <v>390</v>
      </c>
      <c r="I1" t="s">
        <v>320</v>
      </c>
      <c r="J1" t="s">
        <v>321</v>
      </c>
      <c r="K1" t="s">
        <v>322</v>
      </c>
      <c r="L1" t="s">
        <v>346</v>
      </c>
      <c r="M1" t="s">
        <v>323</v>
      </c>
      <c r="N1" t="s">
        <v>393</v>
      </c>
      <c r="O1" t="s">
        <v>394</v>
      </c>
      <c r="P1" t="s">
        <v>401</v>
      </c>
      <c r="Q1" t="s">
        <v>209</v>
      </c>
      <c r="R1" t="s">
        <v>189</v>
      </c>
      <c r="S1" t="s">
        <v>396</v>
      </c>
      <c r="T1" t="s">
        <v>397</v>
      </c>
      <c r="U1" t="s">
        <v>398</v>
      </c>
      <c r="V1">
        <v>2</v>
      </c>
      <c r="W1" t="s">
        <v>209</v>
      </c>
      <c r="X1" t="s">
        <v>189</v>
      </c>
      <c r="Y1" t="s">
        <v>396</v>
      </c>
      <c r="Z1" t="s">
        <v>397</v>
      </c>
      <c r="AA1" t="s">
        <v>398</v>
      </c>
      <c r="AB1">
        <v>3</v>
      </c>
      <c r="AC1" t="s">
        <v>209</v>
      </c>
      <c r="AD1" t="s">
        <v>189</v>
      </c>
      <c r="AE1" t="s">
        <v>396</v>
      </c>
      <c r="AF1" t="s">
        <v>397</v>
      </c>
      <c r="AG1" t="s">
        <v>398</v>
      </c>
      <c r="AH1">
        <v>4</v>
      </c>
      <c r="AI1" t="s">
        <v>209</v>
      </c>
      <c r="AJ1" t="s">
        <v>189</v>
      </c>
      <c r="AK1" t="s">
        <v>396</v>
      </c>
      <c r="AL1" t="s">
        <v>397</v>
      </c>
      <c r="AM1" t="s">
        <v>398</v>
      </c>
      <c r="AN1">
        <v>5</v>
      </c>
      <c r="AO1" t="s">
        <v>209</v>
      </c>
      <c r="AP1" t="s">
        <v>189</v>
      </c>
      <c r="AQ1" t="s">
        <v>396</v>
      </c>
      <c r="AR1" t="s">
        <v>397</v>
      </c>
      <c r="AS1" t="s">
        <v>398</v>
      </c>
      <c r="AT1">
        <v>6</v>
      </c>
      <c r="AU1" t="s">
        <v>209</v>
      </c>
      <c r="AV1" t="s">
        <v>189</v>
      </c>
      <c r="AW1" t="s">
        <v>396</v>
      </c>
      <c r="AX1" t="s">
        <v>397</v>
      </c>
      <c r="AY1" t="s">
        <v>398</v>
      </c>
      <c r="AZ1">
        <v>7</v>
      </c>
      <c r="BA1" t="s">
        <v>209</v>
      </c>
      <c r="BB1" t="s">
        <v>189</v>
      </c>
      <c r="BC1" t="s">
        <v>396</v>
      </c>
      <c r="BD1" t="s">
        <v>397</v>
      </c>
      <c r="BE1" t="s">
        <v>398</v>
      </c>
      <c r="BF1">
        <v>8</v>
      </c>
      <c r="BG1" t="s">
        <v>209</v>
      </c>
      <c r="BH1" t="s">
        <v>189</v>
      </c>
      <c r="BI1" t="s">
        <v>396</v>
      </c>
      <c r="BJ1" t="s">
        <v>397</v>
      </c>
      <c r="BK1" t="s">
        <v>398</v>
      </c>
      <c r="BL1">
        <v>9</v>
      </c>
      <c r="BM1" t="s">
        <v>209</v>
      </c>
      <c r="BN1" t="s">
        <v>189</v>
      </c>
      <c r="BO1" t="s">
        <v>396</v>
      </c>
      <c r="BP1" t="s">
        <v>397</v>
      </c>
      <c r="BQ1" t="s">
        <v>398</v>
      </c>
      <c r="BR1">
        <v>10</v>
      </c>
      <c r="BS1" t="s">
        <v>209</v>
      </c>
      <c r="BT1" t="s">
        <v>189</v>
      </c>
      <c r="BU1" t="s">
        <v>396</v>
      </c>
      <c r="BV1" t="s">
        <v>397</v>
      </c>
      <c r="BW1" t="s">
        <v>398</v>
      </c>
      <c r="BX1">
        <v>11</v>
      </c>
      <c r="BY1" t="s">
        <v>209</v>
      </c>
      <c r="BZ1" t="s">
        <v>189</v>
      </c>
      <c r="CA1" t="s">
        <v>396</v>
      </c>
      <c r="CB1" t="s">
        <v>397</v>
      </c>
      <c r="CC1" t="s">
        <v>398</v>
      </c>
      <c r="CD1">
        <v>12</v>
      </c>
      <c r="CE1" t="s">
        <v>209</v>
      </c>
      <c r="CF1" t="s">
        <v>189</v>
      </c>
      <c r="CG1" t="s">
        <v>396</v>
      </c>
      <c r="CH1" t="s">
        <v>397</v>
      </c>
      <c r="CI1" t="s">
        <v>398</v>
      </c>
      <c r="CJ1">
        <v>13</v>
      </c>
      <c r="CK1" t="s">
        <v>209</v>
      </c>
      <c r="CL1" t="s">
        <v>189</v>
      </c>
      <c r="CM1" t="s">
        <v>396</v>
      </c>
      <c r="CN1" t="s">
        <v>397</v>
      </c>
      <c r="CO1" t="s">
        <v>398</v>
      </c>
      <c r="CP1">
        <v>14</v>
      </c>
      <c r="CQ1" t="s">
        <v>209</v>
      </c>
      <c r="CR1" t="s">
        <v>189</v>
      </c>
      <c r="CS1" t="s">
        <v>396</v>
      </c>
      <c r="CT1" t="s">
        <v>397</v>
      </c>
      <c r="CU1" t="s">
        <v>398</v>
      </c>
      <c r="CV1">
        <v>15</v>
      </c>
      <c r="CW1" t="s">
        <v>209</v>
      </c>
      <c r="CX1" t="s">
        <v>189</v>
      </c>
      <c r="CY1" t="s">
        <v>396</v>
      </c>
      <c r="CZ1" t="s">
        <v>397</v>
      </c>
      <c r="DA1" t="s">
        <v>398</v>
      </c>
      <c r="DB1">
        <v>16</v>
      </c>
      <c r="DC1" t="s">
        <v>209</v>
      </c>
      <c r="DD1" t="s">
        <v>189</v>
      </c>
      <c r="DE1" t="s">
        <v>396</v>
      </c>
      <c r="DF1" t="s">
        <v>397</v>
      </c>
      <c r="DG1" t="s">
        <v>398</v>
      </c>
      <c r="DH1">
        <v>17</v>
      </c>
      <c r="DI1" t="s">
        <v>209</v>
      </c>
      <c r="DJ1" t="s">
        <v>189</v>
      </c>
      <c r="DK1" t="s">
        <v>396</v>
      </c>
      <c r="DL1" t="s">
        <v>397</v>
      </c>
      <c r="DM1" t="s">
        <v>398</v>
      </c>
      <c r="DN1">
        <v>18</v>
      </c>
      <c r="DO1" t="s">
        <v>209</v>
      </c>
      <c r="DP1" t="s">
        <v>189</v>
      </c>
      <c r="DQ1" t="s">
        <v>396</v>
      </c>
      <c r="DR1" t="s">
        <v>397</v>
      </c>
      <c r="DS1" t="s">
        <v>398</v>
      </c>
      <c r="DT1" t="s">
        <v>399</v>
      </c>
      <c r="DU1" t="s">
        <v>209</v>
      </c>
      <c r="DV1" t="s">
        <v>189</v>
      </c>
      <c r="DW1" t="s">
        <v>396</v>
      </c>
      <c r="DX1" t="s">
        <v>397</v>
      </c>
      <c r="DY1" t="s">
        <v>398</v>
      </c>
      <c r="DZ1">
        <v>2</v>
      </c>
      <c r="EA1" t="s">
        <v>209</v>
      </c>
      <c r="EB1" t="s">
        <v>189</v>
      </c>
      <c r="EC1" t="s">
        <v>396</v>
      </c>
      <c r="ED1" t="s">
        <v>397</v>
      </c>
      <c r="EE1" t="s">
        <v>398</v>
      </c>
      <c r="EF1">
        <v>3</v>
      </c>
      <c r="EG1" t="s">
        <v>209</v>
      </c>
      <c r="EH1" t="s">
        <v>189</v>
      </c>
      <c r="EI1" t="s">
        <v>396</v>
      </c>
      <c r="EJ1" t="s">
        <v>397</v>
      </c>
      <c r="EK1" t="s">
        <v>398</v>
      </c>
      <c r="EL1">
        <v>4</v>
      </c>
      <c r="EM1" t="s">
        <v>209</v>
      </c>
      <c r="EN1" t="s">
        <v>189</v>
      </c>
      <c r="EO1" t="s">
        <v>396</v>
      </c>
      <c r="EP1" t="s">
        <v>397</v>
      </c>
      <c r="EQ1" t="s">
        <v>398</v>
      </c>
      <c r="ER1">
        <v>5</v>
      </c>
      <c r="ES1" t="s">
        <v>209</v>
      </c>
      <c r="ET1" t="s">
        <v>189</v>
      </c>
      <c r="EU1" t="s">
        <v>396</v>
      </c>
      <c r="EV1" t="s">
        <v>397</v>
      </c>
      <c r="EW1" t="s">
        <v>398</v>
      </c>
      <c r="EX1">
        <v>6</v>
      </c>
      <c r="EY1" t="s">
        <v>209</v>
      </c>
      <c r="EZ1" t="s">
        <v>189</v>
      </c>
      <c r="FA1" t="s">
        <v>396</v>
      </c>
      <c r="FB1" t="s">
        <v>397</v>
      </c>
      <c r="FC1" t="s">
        <v>398</v>
      </c>
      <c r="FD1">
        <v>7</v>
      </c>
      <c r="FE1" t="s">
        <v>209</v>
      </c>
      <c r="FF1" t="s">
        <v>189</v>
      </c>
      <c r="FG1" t="s">
        <v>396</v>
      </c>
      <c r="FH1" t="s">
        <v>397</v>
      </c>
      <c r="FI1" t="s">
        <v>398</v>
      </c>
      <c r="FJ1">
        <v>8</v>
      </c>
      <c r="FK1" t="s">
        <v>209</v>
      </c>
      <c r="FL1" t="s">
        <v>189</v>
      </c>
      <c r="FM1" t="s">
        <v>396</v>
      </c>
      <c r="FN1" t="s">
        <v>397</v>
      </c>
      <c r="FO1" t="s">
        <v>398</v>
      </c>
      <c r="FP1">
        <v>9</v>
      </c>
      <c r="FQ1" t="s">
        <v>209</v>
      </c>
      <c r="FR1" t="s">
        <v>189</v>
      </c>
      <c r="FS1" t="s">
        <v>396</v>
      </c>
      <c r="FT1" t="s">
        <v>397</v>
      </c>
      <c r="FU1" t="s">
        <v>398</v>
      </c>
      <c r="FV1">
        <v>10</v>
      </c>
      <c r="FW1" t="s">
        <v>209</v>
      </c>
      <c r="FX1" t="s">
        <v>189</v>
      </c>
      <c r="FY1" t="s">
        <v>396</v>
      </c>
      <c r="FZ1" t="s">
        <v>397</v>
      </c>
      <c r="GA1" t="s">
        <v>398</v>
      </c>
      <c r="GB1">
        <v>11</v>
      </c>
      <c r="GC1" t="s">
        <v>209</v>
      </c>
      <c r="GD1" t="s">
        <v>189</v>
      </c>
      <c r="GE1" t="s">
        <v>396</v>
      </c>
      <c r="GF1" t="s">
        <v>397</v>
      </c>
      <c r="GG1" t="s">
        <v>398</v>
      </c>
      <c r="GH1">
        <v>12</v>
      </c>
      <c r="GI1" t="s">
        <v>209</v>
      </c>
      <c r="GJ1" t="s">
        <v>189</v>
      </c>
      <c r="GK1" t="s">
        <v>396</v>
      </c>
      <c r="GL1" t="s">
        <v>397</v>
      </c>
      <c r="GM1" t="s">
        <v>398</v>
      </c>
      <c r="GN1">
        <v>13</v>
      </c>
      <c r="GO1" t="s">
        <v>209</v>
      </c>
      <c r="GP1" t="s">
        <v>189</v>
      </c>
      <c r="GQ1" t="s">
        <v>396</v>
      </c>
      <c r="GR1" t="s">
        <v>397</v>
      </c>
      <c r="GS1" t="s">
        <v>398</v>
      </c>
      <c r="GT1">
        <v>14</v>
      </c>
      <c r="GU1" t="s">
        <v>209</v>
      </c>
      <c r="GV1" t="s">
        <v>189</v>
      </c>
      <c r="GW1" t="s">
        <v>396</v>
      </c>
      <c r="GX1" t="s">
        <v>397</v>
      </c>
      <c r="GY1" t="s">
        <v>398</v>
      </c>
      <c r="GZ1">
        <v>15</v>
      </c>
      <c r="HA1" t="s">
        <v>209</v>
      </c>
      <c r="HB1" t="s">
        <v>189</v>
      </c>
      <c r="HC1" t="s">
        <v>396</v>
      </c>
      <c r="HD1" t="s">
        <v>397</v>
      </c>
      <c r="HE1" t="s">
        <v>398</v>
      </c>
      <c r="HF1">
        <v>16</v>
      </c>
      <c r="HG1" t="s">
        <v>209</v>
      </c>
      <c r="HH1" t="s">
        <v>189</v>
      </c>
      <c r="HI1" t="s">
        <v>396</v>
      </c>
      <c r="HJ1" t="s">
        <v>397</v>
      </c>
      <c r="HK1" t="s">
        <v>398</v>
      </c>
      <c r="HL1">
        <v>17</v>
      </c>
      <c r="HM1" t="s">
        <v>209</v>
      </c>
      <c r="HN1" t="s">
        <v>189</v>
      </c>
      <c r="HO1" t="s">
        <v>396</v>
      </c>
      <c r="HP1" t="s">
        <v>397</v>
      </c>
      <c r="HQ1" t="s">
        <v>398</v>
      </c>
      <c r="HS1" t="s">
        <v>428</v>
      </c>
    </row>
    <row r="2" spans="1:227" x14ac:dyDescent="0.25">
      <c r="A2" t="s">
        <v>426</v>
      </c>
      <c r="B2" t="s">
        <v>348</v>
      </c>
      <c r="D2" t="s">
        <v>325</v>
      </c>
      <c r="E2" t="s">
        <v>326</v>
      </c>
      <c r="H2" t="s">
        <v>391</v>
      </c>
      <c r="I2" t="s">
        <v>327</v>
      </c>
      <c r="J2" s="80" t="s">
        <v>328</v>
      </c>
      <c r="K2" s="80" t="s">
        <v>329</v>
      </c>
      <c r="L2" s="80"/>
      <c r="M2" s="81" t="s">
        <v>330</v>
      </c>
      <c r="N2" t="s">
        <v>331</v>
      </c>
      <c r="O2" t="s">
        <v>332</v>
      </c>
      <c r="P2" t="s">
        <v>402</v>
      </c>
      <c r="Q2" s="168">
        <v>41699</v>
      </c>
      <c r="R2" s="174" t="s">
        <v>204</v>
      </c>
      <c r="S2">
        <v>3</v>
      </c>
      <c r="T2" t="s">
        <v>400</v>
      </c>
      <c r="U2">
        <v>545</v>
      </c>
      <c r="HS2" t="s">
        <v>429</v>
      </c>
    </row>
    <row r="3" spans="1:227" x14ac:dyDescent="0.25">
      <c r="A3" t="s">
        <v>427</v>
      </c>
      <c r="B3" t="s">
        <v>348</v>
      </c>
      <c r="C3" t="s">
        <v>324</v>
      </c>
      <c r="D3" t="s">
        <v>333</v>
      </c>
      <c r="E3" t="s">
        <v>334</v>
      </c>
      <c r="H3" t="s">
        <v>187</v>
      </c>
      <c r="J3" s="80" t="s">
        <v>335</v>
      </c>
      <c r="K3" s="80" t="s">
        <v>336</v>
      </c>
      <c r="L3" s="80">
        <v>656565</v>
      </c>
      <c r="M3" s="81" t="s">
        <v>337</v>
      </c>
      <c r="N3" t="s">
        <v>338</v>
      </c>
      <c r="O3" t="s">
        <v>339</v>
      </c>
      <c r="HS3" t="s">
        <v>430</v>
      </c>
    </row>
    <row r="4" spans="1:227" x14ac:dyDescent="0.25">
      <c r="A4" t="s">
        <v>351</v>
      </c>
      <c r="B4" t="s">
        <v>350</v>
      </c>
      <c r="C4" t="s">
        <v>352</v>
      </c>
      <c r="E4" t="s">
        <v>353</v>
      </c>
      <c r="H4" t="s">
        <v>392</v>
      </c>
      <c r="I4" t="s">
        <v>354</v>
      </c>
      <c r="J4" s="80" t="s">
        <v>355</v>
      </c>
      <c r="K4">
        <v>7878</v>
      </c>
      <c r="L4" s="80" t="s">
        <v>356</v>
      </c>
      <c r="M4" s="81" t="s">
        <v>357</v>
      </c>
      <c r="N4">
        <v>20185337</v>
      </c>
      <c r="O4" t="s">
        <v>395</v>
      </c>
    </row>
    <row r="5" spans="1:227" x14ac:dyDescent="0.25">
      <c r="A5" t="s">
        <v>358</v>
      </c>
      <c r="B5" t="s">
        <v>348</v>
      </c>
    </row>
    <row r="6" spans="1:227" x14ac:dyDescent="0.25">
      <c r="A6" t="s">
        <v>359</v>
      </c>
      <c r="B6" t="s">
        <v>350</v>
      </c>
    </row>
  </sheetData>
  <hyperlinks>
    <hyperlink ref="M2" r:id="rId1"/>
    <hyperlink ref="M3" r:id="rId2"/>
    <hyperlink ref="M4" r:id="rId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90"/>
  <sheetViews>
    <sheetView workbookViewId="0">
      <selection activeCell="B288" sqref="B288"/>
    </sheetView>
  </sheetViews>
  <sheetFormatPr baseColWidth="10" defaultRowHeight="15" x14ac:dyDescent="0.25"/>
  <cols>
    <col min="1" max="1" width="3.85546875" customWidth="1"/>
    <col min="2" max="2" width="12.5703125" customWidth="1"/>
    <col min="3" max="3" width="27.5703125" customWidth="1"/>
  </cols>
  <sheetData>
    <row r="1" spans="1:13" ht="15.75" x14ac:dyDescent="0.25">
      <c r="A1" s="10" t="s">
        <v>126</v>
      </c>
    </row>
    <row r="2" spans="1:13" x14ac:dyDescent="0.25">
      <c r="L2" s="14" t="s">
        <v>19</v>
      </c>
      <c r="M2" s="15" t="s">
        <v>136</v>
      </c>
    </row>
    <row r="3" spans="1:13" x14ac:dyDescent="0.25">
      <c r="A3" s="8" t="s">
        <v>131</v>
      </c>
      <c r="L3" s="16" t="s">
        <v>133</v>
      </c>
      <c r="M3" s="17" t="s">
        <v>136</v>
      </c>
    </row>
    <row r="4" spans="1:13" x14ac:dyDescent="0.25">
      <c r="A4" s="13" t="s">
        <v>125</v>
      </c>
      <c r="L4" s="16" t="s">
        <v>134</v>
      </c>
      <c r="M4" s="17" t="s">
        <v>136</v>
      </c>
    </row>
    <row r="5" spans="1:13" x14ac:dyDescent="0.25">
      <c r="B5" t="s">
        <v>127</v>
      </c>
      <c r="C5" s="20" t="s">
        <v>142</v>
      </c>
      <c r="L5" s="18" t="s">
        <v>135</v>
      </c>
      <c r="M5" s="19" t="s">
        <v>136</v>
      </c>
    </row>
    <row r="6" spans="1:13" x14ac:dyDescent="0.25">
      <c r="B6" t="s">
        <v>128</v>
      </c>
      <c r="C6" s="20" t="s">
        <v>142</v>
      </c>
    </row>
    <row r="7" spans="1:13" x14ac:dyDescent="0.25">
      <c r="B7" t="s">
        <v>129</v>
      </c>
      <c r="C7" s="20" t="s">
        <v>142</v>
      </c>
    </row>
    <row r="8" spans="1:13" x14ac:dyDescent="0.25">
      <c r="B8" t="s">
        <v>130</v>
      </c>
      <c r="C8" s="20" t="s">
        <v>142</v>
      </c>
    </row>
    <row r="10" spans="1:13" x14ac:dyDescent="0.25">
      <c r="A10" s="8" t="s">
        <v>144</v>
      </c>
    </row>
    <row r="11" spans="1:13" ht="23.25" x14ac:dyDescent="0.25">
      <c r="A11" s="21" t="s">
        <v>132</v>
      </c>
      <c r="D11" s="22" t="s">
        <v>143</v>
      </c>
      <c r="E11" s="22" t="s">
        <v>145</v>
      </c>
    </row>
    <row r="12" spans="1:13" x14ac:dyDescent="0.25">
      <c r="B12" t="s">
        <v>127</v>
      </c>
      <c r="C12" s="20" t="s">
        <v>142</v>
      </c>
      <c r="D12" s="20" t="s">
        <v>146</v>
      </c>
      <c r="E12" s="20" t="s">
        <v>147</v>
      </c>
    </row>
    <row r="13" spans="1:13" x14ac:dyDescent="0.25">
      <c r="B13" t="s">
        <v>128</v>
      </c>
      <c r="C13" s="20" t="s">
        <v>142</v>
      </c>
      <c r="D13" s="20" t="s">
        <v>146</v>
      </c>
      <c r="E13" s="20" t="s">
        <v>147</v>
      </c>
    </row>
    <row r="14" spans="1:13" x14ac:dyDescent="0.25">
      <c r="B14" t="s">
        <v>129</v>
      </c>
      <c r="C14" s="20" t="s">
        <v>142</v>
      </c>
      <c r="D14" s="20" t="s">
        <v>146</v>
      </c>
      <c r="E14" s="20" t="s">
        <v>147</v>
      </c>
    </row>
    <row r="15" spans="1:13" x14ac:dyDescent="0.25">
      <c r="B15" t="s">
        <v>130</v>
      </c>
      <c r="C15" s="20" t="s">
        <v>142</v>
      </c>
      <c r="D15" s="20" t="s">
        <v>146</v>
      </c>
      <c r="E15" s="20" t="s">
        <v>147</v>
      </c>
    </row>
    <row r="17" spans="1:5" ht="23.25" x14ac:dyDescent="0.25">
      <c r="A17" s="21" t="s">
        <v>137</v>
      </c>
      <c r="D17" s="22" t="s">
        <v>143</v>
      </c>
      <c r="E17" s="22" t="s">
        <v>145</v>
      </c>
    </row>
    <row r="18" spans="1:5" x14ac:dyDescent="0.25">
      <c r="B18" t="s">
        <v>127</v>
      </c>
      <c r="C18" s="20" t="s">
        <v>142</v>
      </c>
      <c r="D18" s="20" t="s">
        <v>146</v>
      </c>
      <c r="E18" s="20" t="s">
        <v>147</v>
      </c>
    </row>
    <row r="19" spans="1:5" x14ac:dyDescent="0.25">
      <c r="B19" t="s">
        <v>128</v>
      </c>
      <c r="C19" s="20" t="s">
        <v>142</v>
      </c>
      <c r="D19" s="20" t="s">
        <v>146</v>
      </c>
      <c r="E19" s="20" t="s">
        <v>147</v>
      </c>
    </row>
    <row r="20" spans="1:5" x14ac:dyDescent="0.25">
      <c r="B20" t="s">
        <v>129</v>
      </c>
      <c r="C20" s="20" t="s">
        <v>142</v>
      </c>
      <c r="D20" s="20" t="s">
        <v>146</v>
      </c>
      <c r="E20" s="20" t="s">
        <v>147</v>
      </c>
    </row>
    <row r="21" spans="1:5" x14ac:dyDescent="0.25">
      <c r="B21" t="s">
        <v>130</v>
      </c>
      <c r="C21" s="20" t="s">
        <v>142</v>
      </c>
      <c r="D21" s="20" t="s">
        <v>146</v>
      </c>
      <c r="E21" s="20" t="s">
        <v>147</v>
      </c>
    </row>
    <row r="23" spans="1:5" ht="23.25" x14ac:dyDescent="0.25">
      <c r="A23" s="21" t="s">
        <v>141</v>
      </c>
      <c r="D23" s="22" t="s">
        <v>143</v>
      </c>
      <c r="E23" s="22" t="s">
        <v>145</v>
      </c>
    </row>
    <row r="24" spans="1:5" x14ac:dyDescent="0.25">
      <c r="B24" t="s">
        <v>127</v>
      </c>
      <c r="C24" s="20" t="s">
        <v>142</v>
      </c>
      <c r="D24" s="20" t="s">
        <v>146</v>
      </c>
      <c r="E24" s="20" t="s">
        <v>147</v>
      </c>
    </row>
    <row r="25" spans="1:5" x14ac:dyDescent="0.25">
      <c r="B25" t="s">
        <v>128</v>
      </c>
      <c r="C25" s="20" t="s">
        <v>142</v>
      </c>
      <c r="D25" s="20" t="s">
        <v>146</v>
      </c>
      <c r="E25" s="20" t="s">
        <v>147</v>
      </c>
    </row>
    <row r="26" spans="1:5" x14ac:dyDescent="0.25">
      <c r="B26" t="s">
        <v>129</v>
      </c>
      <c r="C26" s="20" t="s">
        <v>142</v>
      </c>
      <c r="D26" s="20" t="s">
        <v>146</v>
      </c>
      <c r="E26" s="20" t="s">
        <v>147</v>
      </c>
    </row>
    <row r="27" spans="1:5" x14ac:dyDescent="0.25">
      <c r="B27" t="s">
        <v>130</v>
      </c>
      <c r="C27" s="20" t="s">
        <v>142</v>
      </c>
      <c r="D27" s="20" t="s">
        <v>146</v>
      </c>
      <c r="E27" s="20" t="s">
        <v>147</v>
      </c>
    </row>
    <row r="29" spans="1:5" ht="23.25" x14ac:dyDescent="0.25">
      <c r="A29" s="21" t="s">
        <v>138</v>
      </c>
      <c r="D29" s="22" t="s">
        <v>143</v>
      </c>
      <c r="E29" s="22" t="s">
        <v>145</v>
      </c>
    </row>
    <row r="30" spans="1:5" x14ac:dyDescent="0.25">
      <c r="B30" t="s">
        <v>127</v>
      </c>
      <c r="C30" s="20" t="s">
        <v>142</v>
      </c>
      <c r="D30" s="20" t="s">
        <v>146</v>
      </c>
      <c r="E30" s="20" t="s">
        <v>147</v>
      </c>
    </row>
    <row r="31" spans="1:5" x14ac:dyDescent="0.25">
      <c r="B31" t="s">
        <v>128</v>
      </c>
      <c r="C31" s="20" t="s">
        <v>142</v>
      </c>
      <c r="D31" s="20" t="s">
        <v>146</v>
      </c>
      <c r="E31" s="20" t="s">
        <v>147</v>
      </c>
    </row>
    <row r="32" spans="1:5" x14ac:dyDescent="0.25">
      <c r="B32" t="s">
        <v>129</v>
      </c>
      <c r="C32" s="20" t="s">
        <v>142</v>
      </c>
      <c r="D32" s="20" t="s">
        <v>146</v>
      </c>
      <c r="E32" s="20" t="s">
        <v>147</v>
      </c>
    </row>
    <row r="33" spans="1:5" x14ac:dyDescent="0.25">
      <c r="B33" t="s">
        <v>130</v>
      </c>
      <c r="C33" s="20" t="s">
        <v>142</v>
      </c>
      <c r="D33" s="20" t="s">
        <v>146</v>
      </c>
      <c r="E33" s="20" t="s">
        <v>147</v>
      </c>
    </row>
    <row r="35" spans="1:5" ht="23.25" x14ac:dyDescent="0.25">
      <c r="A35" s="21" t="s">
        <v>139</v>
      </c>
      <c r="D35" s="22" t="s">
        <v>143</v>
      </c>
      <c r="E35" s="22" t="s">
        <v>145</v>
      </c>
    </row>
    <row r="36" spans="1:5" x14ac:dyDescent="0.25">
      <c r="B36" t="s">
        <v>127</v>
      </c>
      <c r="C36" s="20" t="s">
        <v>142</v>
      </c>
      <c r="D36" s="20" t="s">
        <v>146</v>
      </c>
      <c r="E36" s="20" t="s">
        <v>147</v>
      </c>
    </row>
    <row r="37" spans="1:5" x14ac:dyDescent="0.25">
      <c r="B37" t="s">
        <v>128</v>
      </c>
      <c r="C37" s="20" t="s">
        <v>142</v>
      </c>
      <c r="D37" s="20" t="s">
        <v>146</v>
      </c>
      <c r="E37" s="20" t="s">
        <v>147</v>
      </c>
    </row>
    <row r="38" spans="1:5" x14ac:dyDescent="0.25">
      <c r="B38" t="s">
        <v>129</v>
      </c>
      <c r="C38" s="20" t="s">
        <v>142</v>
      </c>
      <c r="D38" s="20" t="s">
        <v>146</v>
      </c>
      <c r="E38" s="20" t="s">
        <v>147</v>
      </c>
    </row>
    <row r="39" spans="1:5" x14ac:dyDescent="0.25">
      <c r="B39" t="s">
        <v>130</v>
      </c>
      <c r="C39" s="20" t="s">
        <v>142</v>
      </c>
      <c r="D39" s="20" t="s">
        <v>146</v>
      </c>
      <c r="E39" s="20" t="s">
        <v>147</v>
      </c>
    </row>
    <row r="41" spans="1:5" ht="23.25" x14ac:dyDescent="0.25">
      <c r="A41" s="21" t="s">
        <v>27</v>
      </c>
      <c r="D41" s="22" t="s">
        <v>143</v>
      </c>
      <c r="E41" s="22" t="s">
        <v>145</v>
      </c>
    </row>
    <row r="42" spans="1:5" x14ac:dyDescent="0.25">
      <c r="B42" t="s">
        <v>127</v>
      </c>
      <c r="C42" s="20" t="s">
        <v>142</v>
      </c>
      <c r="D42" s="20" t="s">
        <v>146</v>
      </c>
      <c r="E42" s="20" t="s">
        <v>147</v>
      </c>
    </row>
    <row r="43" spans="1:5" x14ac:dyDescent="0.25">
      <c r="B43" t="s">
        <v>128</v>
      </c>
      <c r="C43" s="20" t="s">
        <v>142</v>
      </c>
      <c r="D43" s="20" t="s">
        <v>146</v>
      </c>
      <c r="E43" s="20" t="s">
        <v>147</v>
      </c>
    </row>
    <row r="44" spans="1:5" x14ac:dyDescent="0.25">
      <c r="B44" t="s">
        <v>129</v>
      </c>
      <c r="C44" s="20" t="s">
        <v>142</v>
      </c>
      <c r="D44" s="20" t="s">
        <v>146</v>
      </c>
      <c r="E44" s="20" t="s">
        <v>147</v>
      </c>
    </row>
    <row r="45" spans="1:5" x14ac:dyDescent="0.25">
      <c r="B45" t="s">
        <v>130</v>
      </c>
      <c r="C45" s="20" t="s">
        <v>142</v>
      </c>
      <c r="D45" s="20" t="s">
        <v>146</v>
      </c>
      <c r="E45" s="20" t="s">
        <v>147</v>
      </c>
    </row>
    <row r="47" spans="1:5" ht="23.25" x14ac:dyDescent="0.25">
      <c r="A47" s="21" t="s">
        <v>140</v>
      </c>
      <c r="D47" s="22" t="s">
        <v>143</v>
      </c>
      <c r="E47" s="22" t="s">
        <v>145</v>
      </c>
    </row>
    <row r="48" spans="1:5" x14ac:dyDescent="0.25">
      <c r="B48" t="s">
        <v>127</v>
      </c>
      <c r="C48" s="20" t="s">
        <v>142</v>
      </c>
      <c r="D48" s="20" t="s">
        <v>146</v>
      </c>
      <c r="E48" s="20" t="s">
        <v>147</v>
      </c>
    </row>
    <row r="49" spans="1:6" x14ac:dyDescent="0.25">
      <c r="B49" t="s">
        <v>128</v>
      </c>
      <c r="C49" s="20" t="s">
        <v>142</v>
      </c>
      <c r="D49" s="20" t="s">
        <v>146</v>
      </c>
      <c r="E49" s="20" t="s">
        <v>147</v>
      </c>
    </row>
    <row r="50" spans="1:6" x14ac:dyDescent="0.25">
      <c r="B50" t="s">
        <v>129</v>
      </c>
      <c r="C50" s="20" t="s">
        <v>142</v>
      </c>
      <c r="D50" s="20" t="s">
        <v>146</v>
      </c>
      <c r="E50" s="20" t="s">
        <v>147</v>
      </c>
    </row>
    <row r="51" spans="1:6" x14ac:dyDescent="0.25">
      <c r="B51" t="s">
        <v>130</v>
      </c>
      <c r="C51" s="20" t="s">
        <v>142</v>
      </c>
      <c r="D51" s="20" t="s">
        <v>146</v>
      </c>
      <c r="E51" s="20" t="s">
        <v>147</v>
      </c>
    </row>
    <row r="53" spans="1:6" ht="23.25" x14ac:dyDescent="0.25">
      <c r="A53" s="21" t="s">
        <v>28</v>
      </c>
      <c r="D53" s="22" t="s">
        <v>143</v>
      </c>
      <c r="E53" s="22" t="s">
        <v>145</v>
      </c>
    </row>
    <row r="54" spans="1:6" x14ac:dyDescent="0.25">
      <c r="B54" t="s">
        <v>127</v>
      </c>
      <c r="C54" s="20" t="s">
        <v>142</v>
      </c>
      <c r="D54" s="20" t="s">
        <v>146</v>
      </c>
      <c r="E54" s="20" t="s">
        <v>147</v>
      </c>
    </row>
    <row r="55" spans="1:6" x14ac:dyDescent="0.25">
      <c r="B55" t="s">
        <v>128</v>
      </c>
      <c r="C55" s="20" t="s">
        <v>142</v>
      </c>
      <c r="D55" s="20" t="s">
        <v>146</v>
      </c>
      <c r="E55" s="20" t="s">
        <v>147</v>
      </c>
    </row>
    <row r="56" spans="1:6" x14ac:dyDescent="0.25">
      <c r="B56" t="s">
        <v>129</v>
      </c>
      <c r="C56" s="20" t="s">
        <v>142</v>
      </c>
      <c r="D56" s="20" t="s">
        <v>146</v>
      </c>
      <c r="E56" s="20" t="s">
        <v>147</v>
      </c>
    </row>
    <row r="57" spans="1:6" x14ac:dyDescent="0.25">
      <c r="B57" t="s">
        <v>130</v>
      </c>
      <c r="C57" s="20" t="s">
        <v>142</v>
      </c>
      <c r="D57" s="20" t="s">
        <v>146</v>
      </c>
      <c r="E57" s="20" t="s">
        <v>147</v>
      </c>
    </row>
    <row r="58" spans="1:6" x14ac:dyDescent="0.25">
      <c r="A58" s="23"/>
      <c r="B58" s="23"/>
      <c r="C58" s="23"/>
      <c r="D58" s="23"/>
      <c r="E58" s="23"/>
      <c r="F58" s="12"/>
    </row>
    <row r="59" spans="1:6" ht="15.75" x14ac:dyDescent="0.25">
      <c r="A59" s="10" t="s">
        <v>148</v>
      </c>
    </row>
    <row r="61" spans="1:6" x14ac:dyDescent="0.25">
      <c r="A61" s="8" t="s">
        <v>131</v>
      </c>
    </row>
    <row r="62" spans="1:6" x14ac:dyDescent="0.25">
      <c r="A62" s="13" t="s">
        <v>149</v>
      </c>
    </row>
    <row r="63" spans="1:6" x14ac:dyDescent="0.25">
      <c r="B63" t="s">
        <v>127</v>
      </c>
      <c r="C63" s="20" t="s">
        <v>142</v>
      </c>
    </row>
    <row r="64" spans="1:6" x14ac:dyDescent="0.25">
      <c r="B64" t="s">
        <v>128</v>
      </c>
      <c r="C64" s="20" t="s">
        <v>142</v>
      </c>
    </row>
    <row r="65" spans="1:5" x14ac:dyDescent="0.25">
      <c r="B65" t="s">
        <v>129</v>
      </c>
      <c r="C65" s="20" t="s">
        <v>142</v>
      </c>
    </row>
    <row r="66" spans="1:5" x14ac:dyDescent="0.25">
      <c r="B66" t="s">
        <v>130</v>
      </c>
      <c r="C66" s="20" t="s">
        <v>142</v>
      </c>
    </row>
    <row r="68" spans="1:5" x14ac:dyDescent="0.25">
      <c r="A68" s="8" t="s">
        <v>144</v>
      </c>
    </row>
    <row r="69" spans="1:5" ht="23.25" x14ac:dyDescent="0.25">
      <c r="A69" s="21" t="s">
        <v>150</v>
      </c>
      <c r="D69" s="22" t="s">
        <v>143</v>
      </c>
      <c r="E69" s="22" t="s">
        <v>145</v>
      </c>
    </row>
    <row r="70" spans="1:5" x14ac:dyDescent="0.25">
      <c r="B70" t="s">
        <v>127</v>
      </c>
      <c r="C70" s="20" t="s">
        <v>142</v>
      </c>
      <c r="D70" s="20" t="s">
        <v>146</v>
      </c>
      <c r="E70" s="20" t="s">
        <v>147</v>
      </c>
    </row>
    <row r="71" spans="1:5" x14ac:dyDescent="0.25">
      <c r="B71" t="s">
        <v>128</v>
      </c>
      <c r="C71" s="20" t="s">
        <v>142</v>
      </c>
      <c r="D71" s="20" t="s">
        <v>146</v>
      </c>
      <c r="E71" s="20" t="s">
        <v>147</v>
      </c>
    </row>
    <row r="72" spans="1:5" x14ac:dyDescent="0.25">
      <c r="B72" t="s">
        <v>129</v>
      </c>
      <c r="C72" s="20" t="s">
        <v>142</v>
      </c>
      <c r="D72" s="20" t="s">
        <v>146</v>
      </c>
      <c r="E72" s="20" t="s">
        <v>147</v>
      </c>
    </row>
    <row r="73" spans="1:5" x14ac:dyDescent="0.25">
      <c r="B73" t="s">
        <v>130</v>
      </c>
      <c r="C73" s="20" t="s">
        <v>142</v>
      </c>
      <c r="D73" s="20" t="s">
        <v>146</v>
      </c>
      <c r="E73" s="20" t="s">
        <v>147</v>
      </c>
    </row>
    <row r="75" spans="1:5" ht="23.25" x14ac:dyDescent="0.25">
      <c r="A75" s="21" t="s">
        <v>151</v>
      </c>
      <c r="D75" s="22" t="s">
        <v>143</v>
      </c>
      <c r="E75" s="22"/>
    </row>
    <row r="76" spans="1:5" x14ac:dyDescent="0.25">
      <c r="B76" t="s">
        <v>127</v>
      </c>
      <c r="C76" s="20" t="s">
        <v>142</v>
      </c>
      <c r="D76" s="20" t="s">
        <v>146</v>
      </c>
      <c r="E76" s="20"/>
    </row>
    <row r="77" spans="1:5" x14ac:dyDescent="0.25">
      <c r="B77" t="s">
        <v>128</v>
      </c>
      <c r="C77" s="20" t="s">
        <v>142</v>
      </c>
      <c r="D77" s="20" t="s">
        <v>146</v>
      </c>
      <c r="E77" s="20"/>
    </row>
    <row r="78" spans="1:5" x14ac:dyDescent="0.25">
      <c r="B78" t="s">
        <v>129</v>
      </c>
      <c r="C78" s="20" t="s">
        <v>142</v>
      </c>
      <c r="D78" s="20" t="s">
        <v>146</v>
      </c>
      <c r="E78" s="20"/>
    </row>
    <row r="79" spans="1:5" x14ac:dyDescent="0.25">
      <c r="B79" t="s">
        <v>130</v>
      </c>
      <c r="C79" s="20" t="s">
        <v>142</v>
      </c>
      <c r="D79" s="20" t="s">
        <v>146</v>
      </c>
      <c r="E79" s="20"/>
    </row>
    <row r="81" spans="1:5" ht="23.25" x14ac:dyDescent="0.25">
      <c r="A81" s="21" t="s">
        <v>41</v>
      </c>
      <c r="D81" s="22" t="s">
        <v>143</v>
      </c>
      <c r="E81" s="22" t="s">
        <v>145</v>
      </c>
    </row>
    <row r="82" spans="1:5" x14ac:dyDescent="0.25">
      <c r="B82" t="s">
        <v>127</v>
      </c>
      <c r="C82" s="20" t="s">
        <v>142</v>
      </c>
      <c r="D82" s="20" t="s">
        <v>146</v>
      </c>
      <c r="E82" s="20" t="s">
        <v>147</v>
      </c>
    </row>
    <row r="83" spans="1:5" x14ac:dyDescent="0.25">
      <c r="B83" t="s">
        <v>128</v>
      </c>
      <c r="C83" s="20" t="s">
        <v>142</v>
      </c>
      <c r="D83" s="20" t="s">
        <v>146</v>
      </c>
      <c r="E83" s="20" t="s">
        <v>147</v>
      </c>
    </row>
    <row r="84" spans="1:5" x14ac:dyDescent="0.25">
      <c r="B84" t="s">
        <v>129</v>
      </c>
      <c r="C84" s="20" t="s">
        <v>142</v>
      </c>
      <c r="D84" s="20" t="s">
        <v>146</v>
      </c>
      <c r="E84" s="20" t="s">
        <v>147</v>
      </c>
    </row>
    <row r="85" spans="1:5" x14ac:dyDescent="0.25">
      <c r="B85" t="s">
        <v>130</v>
      </c>
      <c r="C85" s="20" t="s">
        <v>142</v>
      </c>
      <c r="D85" s="20" t="s">
        <v>146</v>
      </c>
      <c r="E85" s="20" t="s">
        <v>147</v>
      </c>
    </row>
    <row r="87" spans="1:5" ht="23.25" x14ac:dyDescent="0.25">
      <c r="A87" s="21" t="s">
        <v>152</v>
      </c>
      <c r="D87" s="22" t="s">
        <v>143</v>
      </c>
      <c r="E87" s="22" t="s">
        <v>145</v>
      </c>
    </row>
    <row r="88" spans="1:5" x14ac:dyDescent="0.25">
      <c r="B88" t="s">
        <v>127</v>
      </c>
      <c r="C88" s="20" t="s">
        <v>142</v>
      </c>
      <c r="D88" s="20" t="s">
        <v>146</v>
      </c>
      <c r="E88" s="20" t="s">
        <v>147</v>
      </c>
    </row>
    <row r="89" spans="1:5" x14ac:dyDescent="0.25">
      <c r="B89" t="s">
        <v>128</v>
      </c>
      <c r="C89" s="20" t="s">
        <v>142</v>
      </c>
      <c r="D89" s="20" t="s">
        <v>146</v>
      </c>
      <c r="E89" s="20" t="s">
        <v>147</v>
      </c>
    </row>
    <row r="90" spans="1:5" x14ac:dyDescent="0.25">
      <c r="B90" t="s">
        <v>129</v>
      </c>
      <c r="C90" s="20" t="s">
        <v>142</v>
      </c>
      <c r="D90" s="20" t="s">
        <v>146</v>
      </c>
      <c r="E90" s="20" t="s">
        <v>147</v>
      </c>
    </row>
    <row r="91" spans="1:5" x14ac:dyDescent="0.25">
      <c r="B91" t="s">
        <v>130</v>
      </c>
      <c r="C91" s="20" t="s">
        <v>142</v>
      </c>
      <c r="D91" s="20" t="s">
        <v>146</v>
      </c>
      <c r="E91" s="20" t="s">
        <v>147</v>
      </c>
    </row>
    <row r="93" spans="1:5" ht="23.25" x14ac:dyDescent="0.25">
      <c r="A93" s="21" t="s">
        <v>153</v>
      </c>
      <c r="D93" s="22" t="s">
        <v>143</v>
      </c>
      <c r="E93" s="22" t="s">
        <v>145</v>
      </c>
    </row>
    <row r="94" spans="1:5" x14ac:dyDescent="0.25">
      <c r="B94" t="s">
        <v>127</v>
      </c>
      <c r="C94" s="20" t="s">
        <v>142</v>
      </c>
      <c r="D94" s="20" t="s">
        <v>146</v>
      </c>
      <c r="E94" s="20" t="s">
        <v>147</v>
      </c>
    </row>
    <row r="95" spans="1:5" x14ac:dyDescent="0.25">
      <c r="B95" t="s">
        <v>128</v>
      </c>
      <c r="C95" s="20" t="s">
        <v>142</v>
      </c>
      <c r="D95" s="20" t="s">
        <v>146</v>
      </c>
      <c r="E95" s="20" t="s">
        <v>147</v>
      </c>
    </row>
    <row r="96" spans="1:5" x14ac:dyDescent="0.25">
      <c r="B96" t="s">
        <v>129</v>
      </c>
      <c r="C96" s="20" t="s">
        <v>142</v>
      </c>
      <c r="D96" s="20" t="s">
        <v>146</v>
      </c>
      <c r="E96" s="20" t="s">
        <v>147</v>
      </c>
    </row>
    <row r="97" spans="1:5" x14ac:dyDescent="0.25">
      <c r="B97" t="s">
        <v>130</v>
      </c>
      <c r="C97" s="20" t="s">
        <v>142</v>
      </c>
      <c r="D97" s="20" t="s">
        <v>146</v>
      </c>
      <c r="E97" s="20" t="s">
        <v>147</v>
      </c>
    </row>
    <row r="99" spans="1:5" ht="23.25" x14ac:dyDescent="0.25">
      <c r="A99" s="21" t="s">
        <v>154</v>
      </c>
      <c r="D99" s="22" t="s">
        <v>143</v>
      </c>
      <c r="E99" s="22" t="s">
        <v>145</v>
      </c>
    </row>
    <row r="100" spans="1:5" x14ac:dyDescent="0.25">
      <c r="B100" t="s">
        <v>127</v>
      </c>
      <c r="C100" s="20" t="s">
        <v>142</v>
      </c>
      <c r="D100" s="20" t="s">
        <v>146</v>
      </c>
      <c r="E100" s="20" t="s">
        <v>147</v>
      </c>
    </row>
    <row r="101" spans="1:5" x14ac:dyDescent="0.25">
      <c r="B101" t="s">
        <v>128</v>
      </c>
      <c r="C101" s="20" t="s">
        <v>142</v>
      </c>
      <c r="D101" s="20" t="s">
        <v>146</v>
      </c>
      <c r="E101" s="20" t="s">
        <v>147</v>
      </c>
    </row>
    <row r="102" spans="1:5" x14ac:dyDescent="0.25">
      <c r="B102" t="s">
        <v>129</v>
      </c>
      <c r="C102" s="20" t="s">
        <v>142</v>
      </c>
      <c r="D102" s="20" t="s">
        <v>146</v>
      </c>
      <c r="E102" s="20" t="s">
        <v>147</v>
      </c>
    </row>
    <row r="103" spans="1:5" x14ac:dyDescent="0.25">
      <c r="B103" t="s">
        <v>130</v>
      </c>
      <c r="C103" s="20" t="s">
        <v>142</v>
      </c>
      <c r="D103" s="20" t="s">
        <v>146</v>
      </c>
      <c r="E103" s="20" t="s">
        <v>147</v>
      </c>
    </row>
    <row r="104" spans="1:5" x14ac:dyDescent="0.25">
      <c r="A104" s="3"/>
      <c r="B104" s="3"/>
      <c r="C104" s="3"/>
      <c r="D104" s="3"/>
      <c r="E104" s="3"/>
    </row>
    <row r="105" spans="1:5" ht="15.75" x14ac:dyDescent="0.25">
      <c r="A105" s="10" t="s">
        <v>155</v>
      </c>
    </row>
    <row r="107" spans="1:5" x14ac:dyDescent="0.25">
      <c r="A107" s="8" t="s">
        <v>131</v>
      </c>
    </row>
    <row r="108" spans="1:5" x14ac:dyDescent="0.25">
      <c r="A108" s="13" t="s">
        <v>156</v>
      </c>
    </row>
    <row r="109" spans="1:5" x14ac:dyDescent="0.25">
      <c r="B109" t="s">
        <v>127</v>
      </c>
      <c r="C109" s="20" t="s">
        <v>142</v>
      </c>
    </row>
    <row r="110" spans="1:5" x14ac:dyDescent="0.25">
      <c r="B110" t="s">
        <v>128</v>
      </c>
      <c r="C110" s="20" t="s">
        <v>142</v>
      </c>
    </row>
    <row r="111" spans="1:5" x14ac:dyDescent="0.25">
      <c r="B111" t="s">
        <v>129</v>
      </c>
      <c r="C111" s="20" t="s">
        <v>142</v>
      </c>
    </row>
    <row r="112" spans="1:5" x14ac:dyDescent="0.25">
      <c r="B112" t="s">
        <v>130</v>
      </c>
      <c r="C112" s="20" t="s">
        <v>142</v>
      </c>
    </row>
    <row r="114" spans="1:5" x14ac:dyDescent="0.25">
      <c r="A114" s="8" t="s">
        <v>144</v>
      </c>
    </row>
    <row r="115" spans="1:5" ht="23.25" x14ac:dyDescent="0.25">
      <c r="A115" s="21" t="s">
        <v>157</v>
      </c>
      <c r="D115" s="22" t="s">
        <v>143</v>
      </c>
      <c r="E115" s="22" t="s">
        <v>145</v>
      </c>
    </row>
    <row r="116" spans="1:5" x14ac:dyDescent="0.25">
      <c r="B116" t="s">
        <v>127</v>
      </c>
      <c r="C116" s="20" t="s">
        <v>142</v>
      </c>
      <c r="D116" s="20" t="s">
        <v>146</v>
      </c>
      <c r="E116" s="20" t="s">
        <v>147</v>
      </c>
    </row>
    <row r="117" spans="1:5" x14ac:dyDescent="0.25">
      <c r="B117" t="s">
        <v>128</v>
      </c>
      <c r="C117" s="20" t="s">
        <v>142</v>
      </c>
      <c r="D117" s="20" t="s">
        <v>146</v>
      </c>
      <c r="E117" s="20" t="s">
        <v>147</v>
      </c>
    </row>
    <row r="118" spans="1:5" x14ac:dyDescent="0.25">
      <c r="B118" t="s">
        <v>129</v>
      </c>
      <c r="C118" s="20" t="s">
        <v>142</v>
      </c>
      <c r="D118" s="20" t="s">
        <v>146</v>
      </c>
      <c r="E118" s="20" t="s">
        <v>147</v>
      </c>
    </row>
    <row r="119" spans="1:5" x14ac:dyDescent="0.25">
      <c r="B119" t="s">
        <v>130</v>
      </c>
      <c r="C119" s="20" t="s">
        <v>142</v>
      </c>
      <c r="D119" s="20" t="s">
        <v>146</v>
      </c>
      <c r="E119" s="20" t="s">
        <v>147</v>
      </c>
    </row>
    <row r="120" spans="1:5" x14ac:dyDescent="0.25">
      <c r="A120" s="3"/>
      <c r="B120" s="3"/>
      <c r="C120" s="3"/>
      <c r="D120" s="3"/>
      <c r="E120" s="3"/>
    </row>
    <row r="121" spans="1:5" ht="15.75" x14ac:dyDescent="0.25">
      <c r="A121" s="10" t="s">
        <v>158</v>
      </c>
    </row>
    <row r="123" spans="1:5" x14ac:dyDescent="0.25">
      <c r="A123" s="8" t="s">
        <v>131</v>
      </c>
    </row>
    <row r="124" spans="1:5" x14ac:dyDescent="0.25">
      <c r="A124" s="13" t="s">
        <v>159</v>
      </c>
    </row>
    <row r="125" spans="1:5" x14ac:dyDescent="0.25">
      <c r="B125" t="s">
        <v>127</v>
      </c>
      <c r="C125" s="20" t="s">
        <v>142</v>
      </c>
    </row>
    <row r="126" spans="1:5" x14ac:dyDescent="0.25">
      <c r="B126" t="s">
        <v>128</v>
      </c>
      <c r="C126" s="20" t="s">
        <v>142</v>
      </c>
    </row>
    <row r="127" spans="1:5" x14ac:dyDescent="0.25">
      <c r="B127" t="s">
        <v>129</v>
      </c>
      <c r="C127" s="20" t="s">
        <v>142</v>
      </c>
    </row>
    <row r="128" spans="1:5" x14ac:dyDescent="0.25">
      <c r="B128" t="s">
        <v>130</v>
      </c>
      <c r="C128" s="20" t="s">
        <v>142</v>
      </c>
    </row>
    <row r="130" spans="1:5" x14ac:dyDescent="0.25">
      <c r="A130" s="8" t="s">
        <v>144</v>
      </c>
    </row>
    <row r="131" spans="1:5" ht="23.25" x14ac:dyDescent="0.25">
      <c r="A131" s="21" t="s">
        <v>160</v>
      </c>
      <c r="D131" s="22" t="s">
        <v>143</v>
      </c>
      <c r="E131" s="22" t="s">
        <v>145</v>
      </c>
    </row>
    <row r="132" spans="1:5" x14ac:dyDescent="0.25">
      <c r="B132" t="s">
        <v>127</v>
      </c>
      <c r="C132" s="20" t="s">
        <v>142</v>
      </c>
      <c r="D132" s="20" t="s">
        <v>146</v>
      </c>
      <c r="E132" s="20" t="s">
        <v>147</v>
      </c>
    </row>
    <row r="133" spans="1:5" x14ac:dyDescent="0.25">
      <c r="B133" t="s">
        <v>128</v>
      </c>
      <c r="C133" s="20" t="s">
        <v>142</v>
      </c>
      <c r="D133" s="20" t="s">
        <v>146</v>
      </c>
      <c r="E133" s="20" t="s">
        <v>147</v>
      </c>
    </row>
    <row r="134" spans="1:5" x14ac:dyDescent="0.25">
      <c r="B134" t="s">
        <v>129</v>
      </c>
      <c r="C134" s="20" t="s">
        <v>142</v>
      </c>
      <c r="D134" s="20" t="s">
        <v>146</v>
      </c>
      <c r="E134" s="20" t="s">
        <v>147</v>
      </c>
    </row>
    <row r="135" spans="1:5" x14ac:dyDescent="0.25">
      <c r="B135" t="s">
        <v>130</v>
      </c>
      <c r="C135" s="20" t="s">
        <v>142</v>
      </c>
      <c r="D135" s="20" t="s">
        <v>146</v>
      </c>
      <c r="E135" s="20" t="s">
        <v>147</v>
      </c>
    </row>
    <row r="137" spans="1:5" ht="23.25" x14ac:dyDescent="0.25">
      <c r="A137" s="21" t="s">
        <v>161</v>
      </c>
      <c r="D137" s="22" t="s">
        <v>143</v>
      </c>
      <c r="E137" s="22" t="s">
        <v>145</v>
      </c>
    </row>
    <row r="138" spans="1:5" x14ac:dyDescent="0.25">
      <c r="B138" t="s">
        <v>127</v>
      </c>
      <c r="C138" s="20" t="s">
        <v>142</v>
      </c>
      <c r="D138" s="20" t="s">
        <v>146</v>
      </c>
      <c r="E138" s="20" t="s">
        <v>147</v>
      </c>
    </row>
    <row r="139" spans="1:5" x14ac:dyDescent="0.25">
      <c r="B139" t="s">
        <v>128</v>
      </c>
      <c r="C139" s="20" t="s">
        <v>142</v>
      </c>
      <c r="D139" s="20" t="s">
        <v>146</v>
      </c>
      <c r="E139" s="20" t="s">
        <v>147</v>
      </c>
    </row>
    <row r="140" spans="1:5" x14ac:dyDescent="0.25">
      <c r="B140" t="s">
        <v>129</v>
      </c>
      <c r="C140" s="20" t="s">
        <v>142</v>
      </c>
      <c r="D140" s="20" t="s">
        <v>146</v>
      </c>
      <c r="E140" s="20" t="s">
        <v>147</v>
      </c>
    </row>
    <row r="141" spans="1:5" x14ac:dyDescent="0.25">
      <c r="B141" t="s">
        <v>130</v>
      </c>
      <c r="C141" s="20" t="s">
        <v>142</v>
      </c>
      <c r="D141" s="20" t="s">
        <v>146</v>
      </c>
      <c r="E141" s="20" t="s">
        <v>147</v>
      </c>
    </row>
    <row r="143" spans="1:5" ht="23.25" x14ac:dyDescent="0.25">
      <c r="A143" s="21" t="s">
        <v>185</v>
      </c>
      <c r="D143" s="22" t="s">
        <v>143</v>
      </c>
      <c r="E143" s="22" t="s">
        <v>145</v>
      </c>
    </row>
    <row r="144" spans="1:5" x14ac:dyDescent="0.25">
      <c r="B144" t="s">
        <v>127</v>
      </c>
      <c r="C144" s="20" t="s">
        <v>142</v>
      </c>
      <c r="D144" s="20" t="s">
        <v>146</v>
      </c>
      <c r="E144" s="20" t="s">
        <v>147</v>
      </c>
    </row>
    <row r="145" spans="1:5" x14ac:dyDescent="0.25">
      <c r="B145" t="s">
        <v>128</v>
      </c>
      <c r="C145" s="20" t="s">
        <v>142</v>
      </c>
      <c r="D145" s="20" t="s">
        <v>146</v>
      </c>
      <c r="E145" s="20" t="s">
        <v>147</v>
      </c>
    </row>
    <row r="146" spans="1:5" x14ac:dyDescent="0.25">
      <c r="B146" t="s">
        <v>129</v>
      </c>
      <c r="C146" s="20" t="s">
        <v>142</v>
      </c>
      <c r="D146" s="20" t="s">
        <v>146</v>
      </c>
      <c r="E146" s="20" t="s">
        <v>147</v>
      </c>
    </row>
    <row r="147" spans="1:5" x14ac:dyDescent="0.25">
      <c r="B147" t="s">
        <v>130</v>
      </c>
      <c r="C147" s="20" t="s">
        <v>142</v>
      </c>
      <c r="D147" s="20" t="s">
        <v>146</v>
      </c>
      <c r="E147" s="20" t="s">
        <v>147</v>
      </c>
    </row>
    <row r="149" spans="1:5" ht="23.25" x14ac:dyDescent="0.25">
      <c r="A149" s="21" t="s">
        <v>162</v>
      </c>
      <c r="D149" s="22" t="s">
        <v>143</v>
      </c>
      <c r="E149" s="22" t="s">
        <v>145</v>
      </c>
    </row>
    <row r="150" spans="1:5" x14ac:dyDescent="0.25">
      <c r="B150" t="s">
        <v>127</v>
      </c>
      <c r="C150" s="20" t="s">
        <v>142</v>
      </c>
      <c r="D150" s="20" t="s">
        <v>146</v>
      </c>
      <c r="E150" s="20" t="s">
        <v>147</v>
      </c>
    </row>
    <row r="151" spans="1:5" x14ac:dyDescent="0.25">
      <c r="B151" t="s">
        <v>128</v>
      </c>
      <c r="C151" s="20" t="s">
        <v>142</v>
      </c>
      <c r="D151" s="20" t="s">
        <v>146</v>
      </c>
      <c r="E151" s="20" t="s">
        <v>147</v>
      </c>
    </row>
    <row r="152" spans="1:5" x14ac:dyDescent="0.25">
      <c r="B152" t="s">
        <v>129</v>
      </c>
      <c r="C152" s="20" t="s">
        <v>142</v>
      </c>
      <c r="D152" s="20" t="s">
        <v>146</v>
      </c>
      <c r="E152" s="20" t="s">
        <v>147</v>
      </c>
    </row>
    <row r="153" spans="1:5" x14ac:dyDescent="0.25">
      <c r="B153" t="s">
        <v>130</v>
      </c>
      <c r="C153" s="20" t="s">
        <v>142</v>
      </c>
      <c r="D153" s="20" t="s">
        <v>146</v>
      </c>
      <c r="E153" s="20" t="s">
        <v>147</v>
      </c>
    </row>
    <row r="155" spans="1:5" ht="23.25" x14ac:dyDescent="0.25">
      <c r="A155" s="21" t="s">
        <v>163</v>
      </c>
      <c r="D155" s="22" t="s">
        <v>143</v>
      </c>
      <c r="E155" s="22" t="s">
        <v>145</v>
      </c>
    </row>
    <row r="156" spans="1:5" x14ac:dyDescent="0.25">
      <c r="B156" t="s">
        <v>127</v>
      </c>
      <c r="C156" s="20" t="s">
        <v>142</v>
      </c>
      <c r="D156" s="20" t="s">
        <v>146</v>
      </c>
      <c r="E156" s="20" t="s">
        <v>147</v>
      </c>
    </row>
    <row r="157" spans="1:5" x14ac:dyDescent="0.25">
      <c r="B157" t="s">
        <v>128</v>
      </c>
      <c r="C157" s="20" t="s">
        <v>142</v>
      </c>
      <c r="D157" s="20" t="s">
        <v>146</v>
      </c>
      <c r="E157" s="20" t="s">
        <v>147</v>
      </c>
    </row>
    <row r="158" spans="1:5" x14ac:dyDescent="0.25">
      <c r="B158" t="s">
        <v>129</v>
      </c>
      <c r="C158" s="20" t="s">
        <v>142</v>
      </c>
      <c r="D158" s="20" t="s">
        <v>146</v>
      </c>
      <c r="E158" s="20" t="s">
        <v>147</v>
      </c>
    </row>
    <row r="159" spans="1:5" x14ac:dyDescent="0.25">
      <c r="B159" t="s">
        <v>130</v>
      </c>
      <c r="C159" s="20" t="s">
        <v>142</v>
      </c>
      <c r="D159" s="20" t="s">
        <v>146</v>
      </c>
      <c r="E159" s="20" t="s">
        <v>147</v>
      </c>
    </row>
    <row r="161" spans="1:5" ht="23.25" x14ac:dyDescent="0.25">
      <c r="A161" s="21" t="s">
        <v>164</v>
      </c>
      <c r="D161" s="22" t="s">
        <v>143</v>
      </c>
      <c r="E161" s="22" t="s">
        <v>145</v>
      </c>
    </row>
    <row r="162" spans="1:5" x14ac:dyDescent="0.25">
      <c r="B162" t="s">
        <v>127</v>
      </c>
      <c r="C162" s="20" t="s">
        <v>142</v>
      </c>
      <c r="D162" s="20" t="s">
        <v>146</v>
      </c>
      <c r="E162" s="20" t="s">
        <v>147</v>
      </c>
    </row>
    <row r="163" spans="1:5" x14ac:dyDescent="0.25">
      <c r="B163" t="s">
        <v>128</v>
      </c>
      <c r="C163" s="20" t="s">
        <v>142</v>
      </c>
      <c r="D163" s="20" t="s">
        <v>146</v>
      </c>
      <c r="E163" s="20" t="s">
        <v>147</v>
      </c>
    </row>
    <row r="164" spans="1:5" x14ac:dyDescent="0.25">
      <c r="B164" t="s">
        <v>129</v>
      </c>
      <c r="C164" s="20" t="s">
        <v>142</v>
      </c>
      <c r="D164" s="20" t="s">
        <v>146</v>
      </c>
      <c r="E164" s="20" t="s">
        <v>147</v>
      </c>
    </row>
    <row r="165" spans="1:5" x14ac:dyDescent="0.25">
      <c r="B165" t="s">
        <v>130</v>
      </c>
      <c r="C165" s="20" t="s">
        <v>142</v>
      </c>
      <c r="D165" s="20" t="s">
        <v>146</v>
      </c>
      <c r="E165" s="20" t="s">
        <v>147</v>
      </c>
    </row>
    <row r="167" spans="1:5" x14ac:dyDescent="0.25">
      <c r="A167" s="21" t="s">
        <v>165</v>
      </c>
      <c r="D167" s="22"/>
      <c r="E167" s="22"/>
    </row>
    <row r="168" spans="1:5" x14ac:dyDescent="0.25">
      <c r="B168" t="s">
        <v>127</v>
      </c>
      <c r="C168" s="20" t="s">
        <v>142</v>
      </c>
      <c r="D168" s="20"/>
      <c r="E168" s="20"/>
    </row>
    <row r="169" spans="1:5" x14ac:dyDescent="0.25">
      <c r="B169" t="s">
        <v>128</v>
      </c>
      <c r="C169" s="20" t="s">
        <v>142</v>
      </c>
      <c r="D169" s="20"/>
      <c r="E169" s="20"/>
    </row>
    <row r="170" spans="1:5" x14ac:dyDescent="0.25">
      <c r="B170" t="s">
        <v>129</v>
      </c>
      <c r="C170" s="20" t="s">
        <v>142</v>
      </c>
      <c r="D170" s="20"/>
      <c r="E170" s="20"/>
    </row>
    <row r="171" spans="1:5" x14ac:dyDescent="0.25">
      <c r="B171" t="s">
        <v>130</v>
      </c>
      <c r="C171" s="20" t="s">
        <v>142</v>
      </c>
      <c r="D171" s="20"/>
      <c r="E171" s="20"/>
    </row>
    <row r="173" spans="1:5" x14ac:dyDescent="0.25">
      <c r="A173" s="21" t="s">
        <v>166</v>
      </c>
    </row>
    <row r="174" spans="1:5" x14ac:dyDescent="0.25">
      <c r="B174" t="s">
        <v>127</v>
      </c>
      <c r="C174" s="20" t="s">
        <v>142</v>
      </c>
    </row>
    <row r="175" spans="1:5" x14ac:dyDescent="0.25">
      <c r="B175" t="s">
        <v>128</v>
      </c>
      <c r="C175" s="20" t="s">
        <v>142</v>
      </c>
    </row>
    <row r="176" spans="1:5" x14ac:dyDescent="0.25">
      <c r="B176" t="s">
        <v>129</v>
      </c>
      <c r="C176" s="20" t="s">
        <v>142</v>
      </c>
    </row>
    <row r="177" spans="1:5" x14ac:dyDescent="0.25">
      <c r="B177" t="s">
        <v>130</v>
      </c>
      <c r="C177" s="20" t="s">
        <v>142</v>
      </c>
    </row>
    <row r="178" spans="1:5" x14ac:dyDescent="0.25">
      <c r="A178" s="3"/>
      <c r="B178" s="3"/>
      <c r="C178" s="3"/>
      <c r="D178" s="3"/>
      <c r="E178" s="3"/>
    </row>
    <row r="179" spans="1:5" ht="15.75" x14ac:dyDescent="0.25">
      <c r="A179" s="10" t="s">
        <v>167</v>
      </c>
    </row>
    <row r="181" spans="1:5" x14ac:dyDescent="0.25">
      <c r="A181" s="8" t="s">
        <v>131</v>
      </c>
    </row>
    <row r="182" spans="1:5" x14ac:dyDescent="0.25">
      <c r="A182" s="13" t="s">
        <v>168</v>
      </c>
    </row>
    <row r="183" spans="1:5" x14ac:dyDescent="0.25">
      <c r="B183" t="s">
        <v>127</v>
      </c>
      <c r="C183" s="20" t="s">
        <v>142</v>
      </c>
    </row>
    <row r="184" spans="1:5" x14ac:dyDescent="0.25">
      <c r="B184" t="s">
        <v>128</v>
      </c>
      <c r="C184" s="20" t="s">
        <v>142</v>
      </c>
    </row>
    <row r="185" spans="1:5" x14ac:dyDescent="0.25">
      <c r="B185" t="s">
        <v>129</v>
      </c>
      <c r="C185" s="20" t="s">
        <v>142</v>
      </c>
    </row>
    <row r="186" spans="1:5" x14ac:dyDescent="0.25">
      <c r="B186" t="s">
        <v>130</v>
      </c>
      <c r="C186" s="20" t="s">
        <v>142</v>
      </c>
    </row>
    <row r="188" spans="1:5" x14ac:dyDescent="0.25">
      <c r="A188" s="8" t="s">
        <v>144</v>
      </c>
    </row>
    <row r="189" spans="1:5" ht="23.25" x14ac:dyDescent="0.25">
      <c r="A189" s="21" t="s">
        <v>169</v>
      </c>
      <c r="D189" s="22" t="s">
        <v>143</v>
      </c>
      <c r="E189" s="22" t="s">
        <v>145</v>
      </c>
    </row>
    <row r="190" spans="1:5" x14ac:dyDescent="0.25">
      <c r="B190" t="s">
        <v>127</v>
      </c>
      <c r="C190" s="20" t="s">
        <v>142</v>
      </c>
      <c r="D190" s="20" t="s">
        <v>146</v>
      </c>
      <c r="E190" s="20" t="s">
        <v>147</v>
      </c>
    </row>
    <row r="191" spans="1:5" x14ac:dyDescent="0.25">
      <c r="B191" t="s">
        <v>128</v>
      </c>
      <c r="C191" s="20" t="s">
        <v>142</v>
      </c>
      <c r="D191" s="20" t="s">
        <v>146</v>
      </c>
      <c r="E191" s="20" t="s">
        <v>147</v>
      </c>
    </row>
    <row r="192" spans="1:5" x14ac:dyDescent="0.25">
      <c r="B192" t="s">
        <v>129</v>
      </c>
      <c r="C192" s="20" t="s">
        <v>142</v>
      </c>
      <c r="D192" s="20" t="s">
        <v>146</v>
      </c>
      <c r="E192" s="20" t="s">
        <v>147</v>
      </c>
    </row>
    <row r="193" spans="1:5" x14ac:dyDescent="0.25">
      <c r="B193" t="s">
        <v>130</v>
      </c>
      <c r="C193" s="20" t="s">
        <v>142</v>
      </c>
      <c r="D193" s="20" t="s">
        <v>146</v>
      </c>
      <c r="E193" s="20" t="s">
        <v>147</v>
      </c>
    </row>
    <row r="195" spans="1:5" ht="23.25" x14ac:dyDescent="0.25">
      <c r="A195" s="21" t="s">
        <v>170</v>
      </c>
      <c r="D195" s="22" t="s">
        <v>143</v>
      </c>
      <c r="E195" s="22" t="s">
        <v>145</v>
      </c>
    </row>
    <row r="196" spans="1:5" x14ac:dyDescent="0.25">
      <c r="B196" t="s">
        <v>127</v>
      </c>
      <c r="C196" s="20" t="s">
        <v>142</v>
      </c>
      <c r="D196" s="20" t="s">
        <v>146</v>
      </c>
      <c r="E196" s="20" t="s">
        <v>147</v>
      </c>
    </row>
    <row r="197" spans="1:5" x14ac:dyDescent="0.25">
      <c r="B197" t="s">
        <v>128</v>
      </c>
      <c r="C197" s="20" t="s">
        <v>142</v>
      </c>
      <c r="D197" s="20" t="s">
        <v>146</v>
      </c>
      <c r="E197" s="20" t="s">
        <v>147</v>
      </c>
    </row>
    <row r="198" spans="1:5" x14ac:dyDescent="0.25">
      <c r="B198" t="s">
        <v>129</v>
      </c>
      <c r="C198" s="20" t="s">
        <v>142</v>
      </c>
      <c r="D198" s="20" t="s">
        <v>146</v>
      </c>
      <c r="E198" s="20" t="s">
        <v>147</v>
      </c>
    </row>
    <row r="199" spans="1:5" x14ac:dyDescent="0.25">
      <c r="B199" t="s">
        <v>130</v>
      </c>
      <c r="C199" s="20" t="s">
        <v>142</v>
      </c>
      <c r="D199" s="20" t="s">
        <v>146</v>
      </c>
      <c r="E199" s="20" t="s">
        <v>147</v>
      </c>
    </row>
    <row r="201" spans="1:5" ht="23.25" x14ac:dyDescent="0.25">
      <c r="A201" s="21" t="s">
        <v>171</v>
      </c>
      <c r="D201" s="22" t="s">
        <v>143</v>
      </c>
      <c r="E201" s="22" t="s">
        <v>145</v>
      </c>
    </row>
    <row r="202" spans="1:5" x14ac:dyDescent="0.25">
      <c r="B202" t="s">
        <v>127</v>
      </c>
      <c r="C202" s="20" t="s">
        <v>142</v>
      </c>
      <c r="D202" s="20" t="s">
        <v>146</v>
      </c>
      <c r="E202" s="20" t="s">
        <v>147</v>
      </c>
    </row>
    <row r="203" spans="1:5" x14ac:dyDescent="0.25">
      <c r="B203" t="s">
        <v>128</v>
      </c>
      <c r="C203" s="20" t="s">
        <v>142</v>
      </c>
      <c r="D203" s="20" t="s">
        <v>146</v>
      </c>
      <c r="E203" s="20" t="s">
        <v>147</v>
      </c>
    </row>
    <row r="204" spans="1:5" x14ac:dyDescent="0.25">
      <c r="B204" t="s">
        <v>129</v>
      </c>
      <c r="C204" s="20" t="s">
        <v>142</v>
      </c>
      <c r="D204" s="20" t="s">
        <v>146</v>
      </c>
      <c r="E204" s="20" t="s">
        <v>147</v>
      </c>
    </row>
    <row r="205" spans="1:5" x14ac:dyDescent="0.25">
      <c r="B205" t="s">
        <v>130</v>
      </c>
      <c r="C205" s="20" t="s">
        <v>142</v>
      </c>
      <c r="D205" s="20" t="s">
        <v>146</v>
      </c>
      <c r="E205" s="20" t="s">
        <v>147</v>
      </c>
    </row>
    <row r="207" spans="1:5" ht="23.25" x14ac:dyDescent="0.25">
      <c r="A207" s="21" t="s">
        <v>172</v>
      </c>
      <c r="D207" s="22" t="s">
        <v>143</v>
      </c>
      <c r="E207" s="22" t="s">
        <v>145</v>
      </c>
    </row>
    <row r="208" spans="1:5" x14ac:dyDescent="0.25">
      <c r="B208" t="s">
        <v>127</v>
      </c>
      <c r="C208" s="20" t="s">
        <v>142</v>
      </c>
      <c r="D208" s="20" t="s">
        <v>146</v>
      </c>
      <c r="E208" s="20" t="s">
        <v>147</v>
      </c>
    </row>
    <row r="209" spans="1:5" x14ac:dyDescent="0.25">
      <c r="B209" t="s">
        <v>128</v>
      </c>
      <c r="C209" s="20" t="s">
        <v>142</v>
      </c>
      <c r="D209" s="20" t="s">
        <v>146</v>
      </c>
      <c r="E209" s="20" t="s">
        <v>147</v>
      </c>
    </row>
    <row r="210" spans="1:5" x14ac:dyDescent="0.25">
      <c r="B210" t="s">
        <v>129</v>
      </c>
      <c r="C210" s="20" t="s">
        <v>142</v>
      </c>
      <c r="D210" s="20" t="s">
        <v>146</v>
      </c>
      <c r="E210" s="20" t="s">
        <v>147</v>
      </c>
    </row>
    <row r="211" spans="1:5" x14ac:dyDescent="0.25">
      <c r="B211" t="s">
        <v>130</v>
      </c>
      <c r="C211" s="20" t="s">
        <v>142</v>
      </c>
      <c r="D211" s="20" t="s">
        <v>146</v>
      </c>
      <c r="E211" s="20" t="s">
        <v>147</v>
      </c>
    </row>
    <row r="213" spans="1:5" ht="23.25" x14ac:dyDescent="0.25">
      <c r="A213" s="21" t="s">
        <v>173</v>
      </c>
      <c r="D213" s="22" t="s">
        <v>143</v>
      </c>
      <c r="E213" s="22" t="s">
        <v>145</v>
      </c>
    </row>
    <row r="214" spans="1:5" x14ac:dyDescent="0.25">
      <c r="B214" t="s">
        <v>127</v>
      </c>
      <c r="C214" s="20" t="s">
        <v>142</v>
      </c>
      <c r="D214" s="20" t="s">
        <v>146</v>
      </c>
      <c r="E214" s="20" t="s">
        <v>147</v>
      </c>
    </row>
    <row r="215" spans="1:5" x14ac:dyDescent="0.25">
      <c r="B215" t="s">
        <v>128</v>
      </c>
      <c r="C215" s="20" t="s">
        <v>142</v>
      </c>
      <c r="D215" s="20" t="s">
        <v>146</v>
      </c>
      <c r="E215" s="20" t="s">
        <v>147</v>
      </c>
    </row>
    <row r="216" spans="1:5" x14ac:dyDescent="0.25">
      <c r="B216" t="s">
        <v>129</v>
      </c>
      <c r="C216" s="20" t="s">
        <v>142</v>
      </c>
      <c r="D216" s="20" t="s">
        <v>146</v>
      </c>
      <c r="E216" s="20" t="s">
        <v>147</v>
      </c>
    </row>
    <row r="217" spans="1:5" x14ac:dyDescent="0.25">
      <c r="B217" t="s">
        <v>130</v>
      </c>
      <c r="C217" s="20" t="s">
        <v>142</v>
      </c>
      <c r="D217" s="20" t="s">
        <v>146</v>
      </c>
      <c r="E217" s="20" t="s">
        <v>147</v>
      </c>
    </row>
    <row r="219" spans="1:5" ht="23.25" x14ac:dyDescent="0.25">
      <c r="A219" s="21" t="s">
        <v>174</v>
      </c>
      <c r="D219" s="22" t="s">
        <v>143</v>
      </c>
      <c r="E219" s="22" t="s">
        <v>145</v>
      </c>
    </row>
    <row r="220" spans="1:5" x14ac:dyDescent="0.25">
      <c r="B220" t="s">
        <v>127</v>
      </c>
      <c r="C220" s="20" t="s">
        <v>142</v>
      </c>
      <c r="D220" s="20" t="s">
        <v>146</v>
      </c>
      <c r="E220" s="20" t="s">
        <v>147</v>
      </c>
    </row>
    <row r="221" spans="1:5" x14ac:dyDescent="0.25">
      <c r="B221" t="s">
        <v>128</v>
      </c>
      <c r="C221" s="20" t="s">
        <v>142</v>
      </c>
      <c r="D221" s="20" t="s">
        <v>146</v>
      </c>
      <c r="E221" s="20" t="s">
        <v>147</v>
      </c>
    </row>
    <row r="222" spans="1:5" x14ac:dyDescent="0.25">
      <c r="B222" t="s">
        <v>129</v>
      </c>
      <c r="C222" s="20" t="s">
        <v>142</v>
      </c>
      <c r="D222" s="20" t="s">
        <v>146</v>
      </c>
      <c r="E222" s="20" t="s">
        <v>147</v>
      </c>
    </row>
    <row r="223" spans="1:5" x14ac:dyDescent="0.25">
      <c r="B223" t="s">
        <v>130</v>
      </c>
      <c r="C223" s="20" t="s">
        <v>142</v>
      </c>
      <c r="D223" s="20" t="s">
        <v>146</v>
      </c>
      <c r="E223" s="20" t="s">
        <v>147</v>
      </c>
    </row>
    <row r="224" spans="1:5" x14ac:dyDescent="0.25">
      <c r="A224" s="3"/>
      <c r="B224" s="3"/>
      <c r="C224" s="3"/>
      <c r="D224" s="3"/>
      <c r="E224" s="3"/>
    </row>
    <row r="225" spans="1:5" ht="15.75" x14ac:dyDescent="0.25">
      <c r="A225" s="10" t="s">
        <v>177</v>
      </c>
    </row>
    <row r="227" spans="1:5" x14ac:dyDescent="0.25">
      <c r="A227" s="8" t="s">
        <v>175</v>
      </c>
    </row>
    <row r="228" spans="1:5" x14ac:dyDescent="0.25">
      <c r="B228" t="s">
        <v>127</v>
      </c>
      <c r="C228" s="20" t="s">
        <v>142</v>
      </c>
      <c r="D228" s="20"/>
      <c r="E228" s="20"/>
    </row>
    <row r="229" spans="1:5" x14ac:dyDescent="0.25">
      <c r="B229" t="s">
        <v>128</v>
      </c>
      <c r="C229" s="20" t="s">
        <v>142</v>
      </c>
      <c r="D229" s="20"/>
      <c r="E229" s="20"/>
    </row>
    <row r="230" spans="1:5" x14ac:dyDescent="0.25">
      <c r="B230" t="s">
        <v>129</v>
      </c>
      <c r="C230" s="20" t="s">
        <v>142</v>
      </c>
      <c r="D230" s="20"/>
      <c r="E230" s="20"/>
    </row>
    <row r="231" spans="1:5" x14ac:dyDescent="0.25">
      <c r="B231" t="s">
        <v>130</v>
      </c>
      <c r="C231" s="20" t="s">
        <v>142</v>
      </c>
      <c r="D231" s="20"/>
      <c r="E231" s="20"/>
    </row>
    <row r="233" spans="1:5" x14ac:dyDescent="0.25">
      <c r="A233" s="8" t="s">
        <v>176</v>
      </c>
    </row>
    <row r="234" spans="1:5" x14ac:dyDescent="0.25">
      <c r="B234" t="s">
        <v>127</v>
      </c>
      <c r="C234" s="20" t="s">
        <v>142</v>
      </c>
      <c r="D234" s="20"/>
      <c r="E234" s="20"/>
    </row>
    <row r="235" spans="1:5" x14ac:dyDescent="0.25">
      <c r="B235" t="s">
        <v>128</v>
      </c>
      <c r="C235" s="20" t="s">
        <v>142</v>
      </c>
      <c r="D235" s="20"/>
      <c r="E235" s="20"/>
    </row>
    <row r="236" spans="1:5" x14ac:dyDescent="0.25">
      <c r="B236" t="s">
        <v>129</v>
      </c>
      <c r="C236" s="20" t="s">
        <v>142</v>
      </c>
      <c r="D236" s="20"/>
      <c r="E236" s="20"/>
    </row>
    <row r="237" spans="1:5" x14ac:dyDescent="0.25">
      <c r="B237" t="s">
        <v>130</v>
      </c>
      <c r="C237" s="20" t="s">
        <v>142</v>
      </c>
      <c r="D237" s="20"/>
      <c r="E237" s="20"/>
    </row>
    <row r="239" spans="1:5" x14ac:dyDescent="0.25">
      <c r="A239" s="8" t="s">
        <v>178</v>
      </c>
    </row>
    <row r="240" spans="1:5" x14ac:dyDescent="0.25">
      <c r="B240" t="s">
        <v>127</v>
      </c>
      <c r="C240" s="20" t="s">
        <v>142</v>
      </c>
    </row>
    <row r="241" spans="1:5" x14ac:dyDescent="0.25">
      <c r="B241" t="s">
        <v>128</v>
      </c>
      <c r="C241" s="20" t="s">
        <v>142</v>
      </c>
    </row>
    <row r="242" spans="1:5" x14ac:dyDescent="0.25">
      <c r="B242" t="s">
        <v>129</v>
      </c>
      <c r="C242" s="20" t="s">
        <v>142</v>
      </c>
    </row>
    <row r="243" spans="1:5" x14ac:dyDescent="0.25">
      <c r="B243" t="s">
        <v>130</v>
      </c>
      <c r="C243" s="20" t="s">
        <v>142</v>
      </c>
    </row>
    <row r="244" spans="1:5" x14ac:dyDescent="0.25">
      <c r="A244" s="3"/>
      <c r="B244" s="3"/>
      <c r="C244" s="3"/>
      <c r="D244" s="3"/>
      <c r="E244" s="3"/>
    </row>
    <row r="245" spans="1:5" ht="15.75" x14ac:dyDescent="0.25">
      <c r="A245" s="10" t="s">
        <v>179</v>
      </c>
    </row>
    <row r="247" spans="1:5" x14ac:dyDescent="0.25">
      <c r="A247" s="8" t="s">
        <v>180</v>
      </c>
    </row>
    <row r="248" spans="1:5" x14ac:dyDescent="0.25">
      <c r="B248" t="s">
        <v>127</v>
      </c>
      <c r="C248" s="20" t="s">
        <v>142</v>
      </c>
    </row>
    <row r="249" spans="1:5" x14ac:dyDescent="0.25">
      <c r="B249" t="s">
        <v>128</v>
      </c>
      <c r="C249" s="20" t="s">
        <v>142</v>
      </c>
    </row>
    <row r="250" spans="1:5" x14ac:dyDescent="0.25">
      <c r="B250" t="s">
        <v>129</v>
      </c>
      <c r="C250" s="20" t="s">
        <v>142</v>
      </c>
    </row>
    <row r="251" spans="1:5" x14ac:dyDescent="0.25">
      <c r="B251" t="s">
        <v>130</v>
      </c>
      <c r="C251" s="20" t="s">
        <v>142</v>
      </c>
    </row>
    <row r="253" spans="1:5" x14ac:dyDescent="0.25">
      <c r="A253" s="8" t="s">
        <v>181</v>
      </c>
    </row>
    <row r="254" spans="1:5" x14ac:dyDescent="0.25">
      <c r="B254" t="s">
        <v>127</v>
      </c>
      <c r="C254" s="20" t="s">
        <v>142</v>
      </c>
    </row>
    <row r="255" spans="1:5" x14ac:dyDescent="0.25">
      <c r="B255" t="s">
        <v>128</v>
      </c>
      <c r="C255" s="20" t="s">
        <v>142</v>
      </c>
    </row>
    <row r="256" spans="1:5" x14ac:dyDescent="0.25">
      <c r="B256" t="s">
        <v>129</v>
      </c>
      <c r="C256" s="20" t="s">
        <v>142</v>
      </c>
    </row>
    <row r="257" spans="1:3" x14ac:dyDescent="0.25">
      <c r="B257" t="s">
        <v>130</v>
      </c>
      <c r="C257" s="20" t="s">
        <v>142</v>
      </c>
    </row>
    <row r="259" spans="1:3" x14ac:dyDescent="0.25">
      <c r="A259" s="8" t="s">
        <v>113</v>
      </c>
    </row>
    <row r="260" spans="1:3" x14ac:dyDescent="0.25">
      <c r="B260" t="s">
        <v>127</v>
      </c>
      <c r="C260" s="20" t="s">
        <v>142</v>
      </c>
    </row>
    <row r="261" spans="1:3" x14ac:dyDescent="0.25">
      <c r="B261" t="s">
        <v>128</v>
      </c>
      <c r="C261" s="20" t="s">
        <v>142</v>
      </c>
    </row>
    <row r="262" spans="1:3" x14ac:dyDescent="0.25">
      <c r="B262" t="s">
        <v>129</v>
      </c>
      <c r="C262" s="20" t="s">
        <v>142</v>
      </c>
    </row>
    <row r="263" spans="1:3" x14ac:dyDescent="0.25">
      <c r="B263" t="s">
        <v>130</v>
      </c>
      <c r="C263" s="20" t="s">
        <v>142</v>
      </c>
    </row>
    <row r="265" spans="1:3" x14ac:dyDescent="0.25">
      <c r="A265" s="8" t="s">
        <v>182</v>
      </c>
    </row>
    <row r="266" spans="1:3" x14ac:dyDescent="0.25">
      <c r="B266" t="s">
        <v>127</v>
      </c>
      <c r="C266" s="20" t="s">
        <v>142</v>
      </c>
    </row>
    <row r="267" spans="1:3" x14ac:dyDescent="0.25">
      <c r="B267" t="s">
        <v>128</v>
      </c>
      <c r="C267" s="20" t="s">
        <v>142</v>
      </c>
    </row>
    <row r="268" spans="1:3" x14ac:dyDescent="0.25">
      <c r="B268" t="s">
        <v>129</v>
      </c>
      <c r="C268" s="20" t="s">
        <v>142</v>
      </c>
    </row>
    <row r="269" spans="1:3" x14ac:dyDescent="0.25">
      <c r="B269" t="s">
        <v>130</v>
      </c>
      <c r="C269" s="20" t="s">
        <v>142</v>
      </c>
    </row>
    <row r="271" spans="1:3" x14ac:dyDescent="0.25">
      <c r="A271" s="8" t="s">
        <v>183</v>
      </c>
    </row>
    <row r="272" spans="1:3" x14ac:dyDescent="0.25">
      <c r="B272" t="s">
        <v>127</v>
      </c>
      <c r="C272" s="20" t="s">
        <v>142</v>
      </c>
    </row>
    <row r="273" spans="1:5" x14ac:dyDescent="0.25">
      <c r="B273" t="s">
        <v>128</v>
      </c>
      <c r="C273" s="20" t="s">
        <v>142</v>
      </c>
    </row>
    <row r="274" spans="1:5" x14ac:dyDescent="0.25">
      <c r="B274" t="s">
        <v>129</v>
      </c>
      <c r="C274" s="20" t="s">
        <v>142</v>
      </c>
    </row>
    <row r="275" spans="1:5" x14ac:dyDescent="0.25">
      <c r="B275" t="s">
        <v>130</v>
      </c>
      <c r="C275" s="20" t="s">
        <v>142</v>
      </c>
    </row>
    <row r="277" spans="1:5" x14ac:dyDescent="0.25">
      <c r="A277" s="8" t="s">
        <v>184</v>
      </c>
    </row>
    <row r="278" spans="1:5" x14ac:dyDescent="0.25">
      <c r="B278" t="s">
        <v>127</v>
      </c>
      <c r="C278" s="20" t="s">
        <v>142</v>
      </c>
    </row>
    <row r="279" spans="1:5" x14ac:dyDescent="0.25">
      <c r="B279" t="s">
        <v>128</v>
      </c>
      <c r="C279" s="20" t="s">
        <v>142</v>
      </c>
    </row>
    <row r="280" spans="1:5" x14ac:dyDescent="0.25">
      <c r="B280" t="s">
        <v>129</v>
      </c>
      <c r="C280" s="20" t="s">
        <v>142</v>
      </c>
    </row>
    <row r="281" spans="1:5" x14ac:dyDescent="0.25">
      <c r="B281" t="s">
        <v>130</v>
      </c>
      <c r="C281" s="20" t="s">
        <v>142</v>
      </c>
    </row>
    <row r="282" spans="1:5" x14ac:dyDescent="0.25">
      <c r="A282" s="3"/>
      <c r="B282" s="3"/>
      <c r="C282" s="3"/>
      <c r="D282" s="3"/>
      <c r="E282" s="3"/>
    </row>
    <row r="283" spans="1:5" ht="15.75" x14ac:dyDescent="0.25">
      <c r="A283" s="10" t="s">
        <v>186</v>
      </c>
    </row>
    <row r="284" spans="1:5" x14ac:dyDescent="0.25">
      <c r="B284" t="s">
        <v>19</v>
      </c>
    </row>
    <row r="285" spans="1:5" x14ac:dyDescent="0.25">
      <c r="B285" t="s">
        <v>133</v>
      </c>
    </row>
    <row r="286" spans="1:5" x14ac:dyDescent="0.25">
      <c r="B286" t="s">
        <v>134</v>
      </c>
    </row>
    <row r="287" spans="1:5" x14ac:dyDescent="0.25">
      <c r="B287" t="s">
        <v>135</v>
      </c>
    </row>
    <row r="288" spans="1:5" x14ac:dyDescent="0.25">
      <c r="B288" t="s">
        <v>187</v>
      </c>
    </row>
    <row r="289" spans="2:2" x14ac:dyDescent="0.25">
      <c r="B289" t="s">
        <v>108</v>
      </c>
    </row>
    <row r="290" spans="2:2" x14ac:dyDescent="0.25">
      <c r="B290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90"/>
  <sheetViews>
    <sheetView workbookViewId="0">
      <selection activeCell="B288" sqref="B288"/>
    </sheetView>
  </sheetViews>
  <sheetFormatPr baseColWidth="10" defaultRowHeight="15" x14ac:dyDescent="0.25"/>
  <cols>
    <col min="1" max="1" width="3.85546875" customWidth="1"/>
    <col min="2" max="2" width="12.5703125" customWidth="1"/>
    <col min="3" max="3" width="27.5703125" customWidth="1"/>
  </cols>
  <sheetData>
    <row r="1" spans="1:13" ht="15.75" x14ac:dyDescent="0.25">
      <c r="A1" s="10" t="s">
        <v>126</v>
      </c>
    </row>
    <row r="2" spans="1:13" x14ac:dyDescent="0.25">
      <c r="L2" s="14" t="s">
        <v>19</v>
      </c>
      <c r="M2" s="15" t="s">
        <v>136</v>
      </c>
    </row>
    <row r="3" spans="1:13" x14ac:dyDescent="0.25">
      <c r="A3" s="8" t="s">
        <v>131</v>
      </c>
      <c r="L3" s="16" t="s">
        <v>133</v>
      </c>
      <c r="M3" s="17" t="s">
        <v>136</v>
      </c>
    </row>
    <row r="4" spans="1:13" x14ac:dyDescent="0.25">
      <c r="A4" s="13" t="s">
        <v>125</v>
      </c>
      <c r="L4" s="16" t="s">
        <v>134</v>
      </c>
      <c r="M4" s="17" t="s">
        <v>136</v>
      </c>
    </row>
    <row r="5" spans="1:13" x14ac:dyDescent="0.25">
      <c r="B5" t="s">
        <v>127</v>
      </c>
      <c r="C5" s="20" t="s">
        <v>142</v>
      </c>
      <c r="L5" s="18" t="s">
        <v>135</v>
      </c>
      <c r="M5" s="19" t="s">
        <v>136</v>
      </c>
    </row>
    <row r="6" spans="1:13" x14ac:dyDescent="0.25">
      <c r="B6" t="s">
        <v>128</v>
      </c>
      <c r="C6" s="20" t="s">
        <v>142</v>
      </c>
    </row>
    <row r="7" spans="1:13" x14ac:dyDescent="0.25">
      <c r="B7" t="s">
        <v>129</v>
      </c>
      <c r="C7" s="20" t="s">
        <v>142</v>
      </c>
    </row>
    <row r="8" spans="1:13" x14ac:dyDescent="0.25">
      <c r="B8" t="s">
        <v>130</v>
      </c>
      <c r="C8" s="20" t="s">
        <v>142</v>
      </c>
    </row>
    <row r="10" spans="1:13" x14ac:dyDescent="0.25">
      <c r="A10" s="8" t="s">
        <v>144</v>
      </c>
    </row>
    <row r="11" spans="1:13" ht="23.25" x14ac:dyDescent="0.25">
      <c r="A11" s="21" t="s">
        <v>132</v>
      </c>
      <c r="D11" s="22" t="s">
        <v>143</v>
      </c>
      <c r="E11" s="22" t="s">
        <v>145</v>
      </c>
    </row>
    <row r="12" spans="1:13" x14ac:dyDescent="0.25">
      <c r="B12" t="s">
        <v>127</v>
      </c>
      <c r="C12" s="20" t="s">
        <v>142</v>
      </c>
      <c r="D12" s="20" t="s">
        <v>146</v>
      </c>
      <c r="E12" s="20" t="s">
        <v>147</v>
      </c>
    </row>
    <row r="13" spans="1:13" x14ac:dyDescent="0.25">
      <c r="B13" t="s">
        <v>128</v>
      </c>
      <c r="C13" s="20" t="s">
        <v>142</v>
      </c>
      <c r="D13" s="20" t="s">
        <v>146</v>
      </c>
      <c r="E13" s="20" t="s">
        <v>147</v>
      </c>
    </row>
    <row r="14" spans="1:13" x14ac:dyDescent="0.25">
      <c r="B14" t="s">
        <v>129</v>
      </c>
      <c r="C14" s="20" t="s">
        <v>142</v>
      </c>
      <c r="D14" s="20" t="s">
        <v>146</v>
      </c>
      <c r="E14" s="20" t="s">
        <v>147</v>
      </c>
    </row>
    <row r="15" spans="1:13" x14ac:dyDescent="0.25">
      <c r="B15" t="s">
        <v>130</v>
      </c>
      <c r="C15" s="20" t="s">
        <v>142</v>
      </c>
      <c r="D15" s="20" t="s">
        <v>146</v>
      </c>
      <c r="E15" s="20" t="s">
        <v>147</v>
      </c>
    </row>
    <row r="17" spans="1:5" ht="23.25" x14ac:dyDescent="0.25">
      <c r="A17" s="21" t="s">
        <v>137</v>
      </c>
      <c r="D17" s="22" t="s">
        <v>143</v>
      </c>
      <c r="E17" s="22" t="s">
        <v>145</v>
      </c>
    </row>
    <row r="18" spans="1:5" x14ac:dyDescent="0.25">
      <c r="B18" t="s">
        <v>127</v>
      </c>
      <c r="C18" s="20" t="s">
        <v>142</v>
      </c>
      <c r="D18" s="20" t="s">
        <v>146</v>
      </c>
      <c r="E18" s="20" t="s">
        <v>147</v>
      </c>
    </row>
    <row r="19" spans="1:5" x14ac:dyDescent="0.25">
      <c r="B19" t="s">
        <v>128</v>
      </c>
      <c r="C19" s="20" t="s">
        <v>142</v>
      </c>
      <c r="D19" s="20" t="s">
        <v>146</v>
      </c>
      <c r="E19" s="20" t="s">
        <v>147</v>
      </c>
    </row>
    <row r="20" spans="1:5" x14ac:dyDescent="0.25">
      <c r="B20" t="s">
        <v>129</v>
      </c>
      <c r="C20" s="20" t="s">
        <v>142</v>
      </c>
      <c r="D20" s="20" t="s">
        <v>146</v>
      </c>
      <c r="E20" s="20" t="s">
        <v>147</v>
      </c>
    </row>
    <row r="21" spans="1:5" x14ac:dyDescent="0.25">
      <c r="B21" t="s">
        <v>130</v>
      </c>
      <c r="C21" s="20" t="s">
        <v>142</v>
      </c>
      <c r="D21" s="20" t="s">
        <v>146</v>
      </c>
      <c r="E21" s="20" t="s">
        <v>147</v>
      </c>
    </row>
    <row r="23" spans="1:5" ht="23.25" x14ac:dyDescent="0.25">
      <c r="A23" s="21" t="s">
        <v>141</v>
      </c>
      <c r="D23" s="22" t="s">
        <v>143</v>
      </c>
      <c r="E23" s="22" t="s">
        <v>145</v>
      </c>
    </row>
    <row r="24" spans="1:5" x14ac:dyDescent="0.25">
      <c r="B24" t="s">
        <v>127</v>
      </c>
      <c r="C24" s="20" t="s">
        <v>142</v>
      </c>
      <c r="D24" s="20" t="s">
        <v>146</v>
      </c>
      <c r="E24" s="20" t="s">
        <v>147</v>
      </c>
    </row>
    <row r="25" spans="1:5" x14ac:dyDescent="0.25">
      <c r="B25" t="s">
        <v>128</v>
      </c>
      <c r="C25" s="20" t="s">
        <v>142</v>
      </c>
      <c r="D25" s="20" t="s">
        <v>146</v>
      </c>
      <c r="E25" s="20" t="s">
        <v>147</v>
      </c>
    </row>
    <row r="26" spans="1:5" x14ac:dyDescent="0.25">
      <c r="B26" t="s">
        <v>129</v>
      </c>
      <c r="C26" s="20" t="s">
        <v>142</v>
      </c>
      <c r="D26" s="20" t="s">
        <v>146</v>
      </c>
      <c r="E26" s="20" t="s">
        <v>147</v>
      </c>
    </row>
    <row r="27" spans="1:5" x14ac:dyDescent="0.25">
      <c r="B27" t="s">
        <v>130</v>
      </c>
      <c r="C27" s="20" t="s">
        <v>142</v>
      </c>
      <c r="D27" s="20" t="s">
        <v>146</v>
      </c>
      <c r="E27" s="20" t="s">
        <v>147</v>
      </c>
    </row>
    <row r="29" spans="1:5" ht="23.25" x14ac:dyDescent="0.25">
      <c r="A29" s="21" t="s">
        <v>138</v>
      </c>
      <c r="D29" s="22" t="s">
        <v>143</v>
      </c>
      <c r="E29" s="22" t="s">
        <v>145</v>
      </c>
    </row>
    <row r="30" spans="1:5" x14ac:dyDescent="0.25">
      <c r="B30" t="s">
        <v>127</v>
      </c>
      <c r="C30" s="20" t="s">
        <v>142</v>
      </c>
      <c r="D30" s="20" t="s">
        <v>146</v>
      </c>
      <c r="E30" s="20" t="s">
        <v>147</v>
      </c>
    </row>
    <row r="31" spans="1:5" x14ac:dyDescent="0.25">
      <c r="B31" t="s">
        <v>128</v>
      </c>
      <c r="C31" s="20" t="s">
        <v>142</v>
      </c>
      <c r="D31" s="20" t="s">
        <v>146</v>
      </c>
      <c r="E31" s="20" t="s">
        <v>147</v>
      </c>
    </row>
    <row r="32" spans="1:5" x14ac:dyDescent="0.25">
      <c r="B32" t="s">
        <v>129</v>
      </c>
      <c r="C32" s="20" t="s">
        <v>142</v>
      </c>
      <c r="D32" s="20" t="s">
        <v>146</v>
      </c>
      <c r="E32" s="20" t="s">
        <v>147</v>
      </c>
    </row>
    <row r="33" spans="1:5" x14ac:dyDescent="0.25">
      <c r="B33" t="s">
        <v>130</v>
      </c>
      <c r="C33" s="20" t="s">
        <v>142</v>
      </c>
      <c r="D33" s="20" t="s">
        <v>146</v>
      </c>
      <c r="E33" s="20" t="s">
        <v>147</v>
      </c>
    </row>
    <row r="35" spans="1:5" ht="23.25" x14ac:dyDescent="0.25">
      <c r="A35" s="21" t="s">
        <v>139</v>
      </c>
      <c r="D35" s="22" t="s">
        <v>143</v>
      </c>
      <c r="E35" s="22" t="s">
        <v>145</v>
      </c>
    </row>
    <row r="36" spans="1:5" x14ac:dyDescent="0.25">
      <c r="B36" t="s">
        <v>127</v>
      </c>
      <c r="C36" s="20" t="s">
        <v>142</v>
      </c>
      <c r="D36" s="20" t="s">
        <v>146</v>
      </c>
      <c r="E36" s="20" t="s">
        <v>147</v>
      </c>
    </row>
    <row r="37" spans="1:5" x14ac:dyDescent="0.25">
      <c r="B37" t="s">
        <v>128</v>
      </c>
      <c r="C37" s="20" t="s">
        <v>142</v>
      </c>
      <c r="D37" s="20" t="s">
        <v>146</v>
      </c>
      <c r="E37" s="20" t="s">
        <v>147</v>
      </c>
    </row>
    <row r="38" spans="1:5" x14ac:dyDescent="0.25">
      <c r="B38" t="s">
        <v>129</v>
      </c>
      <c r="C38" s="20" t="s">
        <v>142</v>
      </c>
      <c r="D38" s="20" t="s">
        <v>146</v>
      </c>
      <c r="E38" s="20" t="s">
        <v>147</v>
      </c>
    </row>
    <row r="39" spans="1:5" x14ac:dyDescent="0.25">
      <c r="B39" t="s">
        <v>130</v>
      </c>
      <c r="C39" s="20" t="s">
        <v>142</v>
      </c>
      <c r="D39" s="20" t="s">
        <v>146</v>
      </c>
      <c r="E39" s="20" t="s">
        <v>147</v>
      </c>
    </row>
    <row r="41" spans="1:5" ht="23.25" x14ac:dyDescent="0.25">
      <c r="A41" s="21" t="s">
        <v>27</v>
      </c>
      <c r="D41" s="22" t="s">
        <v>143</v>
      </c>
      <c r="E41" s="22" t="s">
        <v>145</v>
      </c>
    </row>
    <row r="42" spans="1:5" x14ac:dyDescent="0.25">
      <c r="B42" t="s">
        <v>127</v>
      </c>
      <c r="C42" s="20" t="s">
        <v>142</v>
      </c>
      <c r="D42" s="20" t="s">
        <v>146</v>
      </c>
      <c r="E42" s="20" t="s">
        <v>147</v>
      </c>
    </row>
    <row r="43" spans="1:5" x14ac:dyDescent="0.25">
      <c r="B43" t="s">
        <v>128</v>
      </c>
      <c r="C43" s="20" t="s">
        <v>142</v>
      </c>
      <c r="D43" s="20" t="s">
        <v>146</v>
      </c>
      <c r="E43" s="20" t="s">
        <v>147</v>
      </c>
    </row>
    <row r="44" spans="1:5" x14ac:dyDescent="0.25">
      <c r="B44" t="s">
        <v>129</v>
      </c>
      <c r="C44" s="20" t="s">
        <v>142</v>
      </c>
      <c r="D44" s="20" t="s">
        <v>146</v>
      </c>
      <c r="E44" s="20" t="s">
        <v>147</v>
      </c>
    </row>
    <row r="45" spans="1:5" x14ac:dyDescent="0.25">
      <c r="B45" t="s">
        <v>130</v>
      </c>
      <c r="C45" s="20" t="s">
        <v>142</v>
      </c>
      <c r="D45" s="20" t="s">
        <v>146</v>
      </c>
      <c r="E45" s="20" t="s">
        <v>147</v>
      </c>
    </row>
    <row r="47" spans="1:5" ht="23.25" x14ac:dyDescent="0.25">
      <c r="A47" s="21" t="s">
        <v>140</v>
      </c>
      <c r="D47" s="22" t="s">
        <v>143</v>
      </c>
      <c r="E47" s="22" t="s">
        <v>145</v>
      </c>
    </row>
    <row r="48" spans="1:5" x14ac:dyDescent="0.25">
      <c r="B48" t="s">
        <v>127</v>
      </c>
      <c r="C48" s="20" t="s">
        <v>142</v>
      </c>
      <c r="D48" s="20" t="s">
        <v>146</v>
      </c>
      <c r="E48" s="20" t="s">
        <v>147</v>
      </c>
    </row>
    <row r="49" spans="1:6" x14ac:dyDescent="0.25">
      <c r="B49" t="s">
        <v>128</v>
      </c>
      <c r="C49" s="20" t="s">
        <v>142</v>
      </c>
      <c r="D49" s="20" t="s">
        <v>146</v>
      </c>
      <c r="E49" s="20" t="s">
        <v>147</v>
      </c>
    </row>
    <row r="50" spans="1:6" x14ac:dyDescent="0.25">
      <c r="B50" t="s">
        <v>129</v>
      </c>
      <c r="C50" s="20" t="s">
        <v>142</v>
      </c>
      <c r="D50" s="20" t="s">
        <v>146</v>
      </c>
      <c r="E50" s="20" t="s">
        <v>147</v>
      </c>
    </row>
    <row r="51" spans="1:6" x14ac:dyDescent="0.25">
      <c r="B51" t="s">
        <v>130</v>
      </c>
      <c r="C51" s="20" t="s">
        <v>142</v>
      </c>
      <c r="D51" s="20" t="s">
        <v>146</v>
      </c>
      <c r="E51" s="20" t="s">
        <v>147</v>
      </c>
    </row>
    <row r="53" spans="1:6" ht="23.25" x14ac:dyDescent="0.25">
      <c r="A53" s="21" t="s">
        <v>28</v>
      </c>
      <c r="D53" s="22" t="s">
        <v>143</v>
      </c>
      <c r="E53" s="22" t="s">
        <v>145</v>
      </c>
    </row>
    <row r="54" spans="1:6" x14ac:dyDescent="0.25">
      <c r="B54" t="s">
        <v>127</v>
      </c>
      <c r="C54" s="20" t="s">
        <v>142</v>
      </c>
      <c r="D54" s="20" t="s">
        <v>146</v>
      </c>
      <c r="E54" s="20" t="s">
        <v>147</v>
      </c>
    </row>
    <row r="55" spans="1:6" x14ac:dyDescent="0.25">
      <c r="B55" t="s">
        <v>128</v>
      </c>
      <c r="C55" s="20" t="s">
        <v>142</v>
      </c>
      <c r="D55" s="20" t="s">
        <v>146</v>
      </c>
      <c r="E55" s="20" t="s">
        <v>147</v>
      </c>
    </row>
    <row r="56" spans="1:6" x14ac:dyDescent="0.25">
      <c r="B56" t="s">
        <v>129</v>
      </c>
      <c r="C56" s="20" t="s">
        <v>142</v>
      </c>
      <c r="D56" s="20" t="s">
        <v>146</v>
      </c>
      <c r="E56" s="20" t="s">
        <v>147</v>
      </c>
    </row>
    <row r="57" spans="1:6" x14ac:dyDescent="0.25">
      <c r="B57" t="s">
        <v>130</v>
      </c>
      <c r="C57" s="20" t="s">
        <v>142</v>
      </c>
      <c r="D57" s="20" t="s">
        <v>146</v>
      </c>
      <c r="E57" s="20" t="s">
        <v>147</v>
      </c>
    </row>
    <row r="58" spans="1:6" x14ac:dyDescent="0.25">
      <c r="A58" s="23"/>
      <c r="B58" s="23"/>
      <c r="C58" s="23"/>
      <c r="D58" s="23"/>
      <c r="E58" s="23"/>
      <c r="F58" s="12"/>
    </row>
    <row r="59" spans="1:6" ht="15.75" x14ac:dyDescent="0.25">
      <c r="A59" s="10" t="s">
        <v>148</v>
      </c>
    </row>
    <row r="61" spans="1:6" x14ac:dyDescent="0.25">
      <c r="A61" s="8" t="s">
        <v>131</v>
      </c>
    </row>
    <row r="62" spans="1:6" x14ac:dyDescent="0.25">
      <c r="A62" s="13" t="s">
        <v>149</v>
      </c>
    </row>
    <row r="63" spans="1:6" x14ac:dyDescent="0.25">
      <c r="B63" t="s">
        <v>127</v>
      </c>
      <c r="C63" s="20" t="s">
        <v>142</v>
      </c>
    </row>
    <row r="64" spans="1:6" x14ac:dyDescent="0.25">
      <c r="B64" t="s">
        <v>128</v>
      </c>
      <c r="C64" s="20" t="s">
        <v>142</v>
      </c>
    </row>
    <row r="65" spans="1:5" x14ac:dyDescent="0.25">
      <c r="B65" t="s">
        <v>129</v>
      </c>
      <c r="C65" s="20" t="s">
        <v>142</v>
      </c>
    </row>
    <row r="66" spans="1:5" x14ac:dyDescent="0.25">
      <c r="B66" t="s">
        <v>130</v>
      </c>
      <c r="C66" s="20" t="s">
        <v>142</v>
      </c>
    </row>
    <row r="68" spans="1:5" x14ac:dyDescent="0.25">
      <c r="A68" s="8" t="s">
        <v>144</v>
      </c>
    </row>
    <row r="69" spans="1:5" ht="23.25" x14ac:dyDescent="0.25">
      <c r="A69" s="21" t="s">
        <v>150</v>
      </c>
      <c r="D69" s="22" t="s">
        <v>143</v>
      </c>
      <c r="E69" s="22" t="s">
        <v>145</v>
      </c>
    </row>
    <row r="70" spans="1:5" x14ac:dyDescent="0.25">
      <c r="B70" t="s">
        <v>127</v>
      </c>
      <c r="C70" s="20" t="s">
        <v>142</v>
      </c>
      <c r="D70" s="20" t="s">
        <v>146</v>
      </c>
      <c r="E70" s="20" t="s">
        <v>147</v>
      </c>
    </row>
    <row r="71" spans="1:5" x14ac:dyDescent="0.25">
      <c r="B71" t="s">
        <v>128</v>
      </c>
      <c r="C71" s="20" t="s">
        <v>142</v>
      </c>
      <c r="D71" s="20" t="s">
        <v>146</v>
      </c>
      <c r="E71" s="20" t="s">
        <v>147</v>
      </c>
    </row>
    <row r="72" spans="1:5" x14ac:dyDescent="0.25">
      <c r="B72" t="s">
        <v>129</v>
      </c>
      <c r="C72" s="20" t="s">
        <v>142</v>
      </c>
      <c r="D72" s="20" t="s">
        <v>146</v>
      </c>
      <c r="E72" s="20" t="s">
        <v>147</v>
      </c>
    </row>
    <row r="73" spans="1:5" x14ac:dyDescent="0.25">
      <c r="B73" t="s">
        <v>130</v>
      </c>
      <c r="C73" s="20" t="s">
        <v>142</v>
      </c>
      <c r="D73" s="20" t="s">
        <v>146</v>
      </c>
      <c r="E73" s="20" t="s">
        <v>147</v>
      </c>
    </row>
    <row r="75" spans="1:5" ht="23.25" x14ac:dyDescent="0.25">
      <c r="A75" s="21" t="s">
        <v>151</v>
      </c>
      <c r="D75" s="22" t="s">
        <v>143</v>
      </c>
      <c r="E75" s="22"/>
    </row>
    <row r="76" spans="1:5" x14ac:dyDescent="0.25">
      <c r="B76" t="s">
        <v>127</v>
      </c>
      <c r="C76" s="20" t="s">
        <v>142</v>
      </c>
      <c r="D76" s="20" t="s">
        <v>146</v>
      </c>
      <c r="E76" s="20"/>
    </row>
    <row r="77" spans="1:5" x14ac:dyDescent="0.25">
      <c r="B77" t="s">
        <v>128</v>
      </c>
      <c r="C77" s="20" t="s">
        <v>142</v>
      </c>
      <c r="D77" s="20" t="s">
        <v>146</v>
      </c>
      <c r="E77" s="20"/>
    </row>
    <row r="78" spans="1:5" x14ac:dyDescent="0.25">
      <c r="B78" t="s">
        <v>129</v>
      </c>
      <c r="C78" s="20" t="s">
        <v>142</v>
      </c>
      <c r="D78" s="20" t="s">
        <v>146</v>
      </c>
      <c r="E78" s="20"/>
    </row>
    <row r="79" spans="1:5" x14ac:dyDescent="0.25">
      <c r="B79" t="s">
        <v>130</v>
      </c>
      <c r="C79" s="20" t="s">
        <v>142</v>
      </c>
      <c r="D79" s="20" t="s">
        <v>146</v>
      </c>
      <c r="E79" s="20"/>
    </row>
    <row r="81" spans="1:5" ht="23.25" x14ac:dyDescent="0.25">
      <c r="A81" s="21" t="s">
        <v>41</v>
      </c>
      <c r="D81" s="22" t="s">
        <v>143</v>
      </c>
      <c r="E81" s="22" t="s">
        <v>145</v>
      </c>
    </row>
    <row r="82" spans="1:5" x14ac:dyDescent="0.25">
      <c r="B82" t="s">
        <v>127</v>
      </c>
      <c r="C82" s="20" t="s">
        <v>142</v>
      </c>
      <c r="D82" s="20" t="s">
        <v>146</v>
      </c>
      <c r="E82" s="20" t="s">
        <v>147</v>
      </c>
    </row>
    <row r="83" spans="1:5" x14ac:dyDescent="0.25">
      <c r="B83" t="s">
        <v>128</v>
      </c>
      <c r="C83" s="20" t="s">
        <v>142</v>
      </c>
      <c r="D83" s="20" t="s">
        <v>146</v>
      </c>
      <c r="E83" s="20" t="s">
        <v>147</v>
      </c>
    </row>
    <row r="84" spans="1:5" x14ac:dyDescent="0.25">
      <c r="B84" t="s">
        <v>129</v>
      </c>
      <c r="C84" s="20" t="s">
        <v>142</v>
      </c>
      <c r="D84" s="20" t="s">
        <v>146</v>
      </c>
      <c r="E84" s="20" t="s">
        <v>147</v>
      </c>
    </row>
    <row r="85" spans="1:5" x14ac:dyDescent="0.25">
      <c r="B85" t="s">
        <v>130</v>
      </c>
      <c r="C85" s="20" t="s">
        <v>142</v>
      </c>
      <c r="D85" s="20" t="s">
        <v>146</v>
      </c>
      <c r="E85" s="20" t="s">
        <v>147</v>
      </c>
    </row>
    <row r="87" spans="1:5" ht="23.25" x14ac:dyDescent="0.25">
      <c r="A87" s="21" t="s">
        <v>152</v>
      </c>
      <c r="D87" s="22" t="s">
        <v>143</v>
      </c>
      <c r="E87" s="22" t="s">
        <v>145</v>
      </c>
    </row>
    <row r="88" spans="1:5" x14ac:dyDescent="0.25">
      <c r="B88" t="s">
        <v>127</v>
      </c>
      <c r="C88" s="20" t="s">
        <v>142</v>
      </c>
      <c r="D88" s="20" t="s">
        <v>146</v>
      </c>
      <c r="E88" s="20" t="s">
        <v>147</v>
      </c>
    </row>
    <row r="89" spans="1:5" x14ac:dyDescent="0.25">
      <c r="B89" t="s">
        <v>128</v>
      </c>
      <c r="C89" s="20" t="s">
        <v>142</v>
      </c>
      <c r="D89" s="20" t="s">
        <v>146</v>
      </c>
      <c r="E89" s="20" t="s">
        <v>147</v>
      </c>
    </row>
    <row r="90" spans="1:5" x14ac:dyDescent="0.25">
      <c r="B90" t="s">
        <v>129</v>
      </c>
      <c r="C90" s="20" t="s">
        <v>142</v>
      </c>
      <c r="D90" s="20" t="s">
        <v>146</v>
      </c>
      <c r="E90" s="20" t="s">
        <v>147</v>
      </c>
    </row>
    <row r="91" spans="1:5" x14ac:dyDescent="0.25">
      <c r="B91" t="s">
        <v>130</v>
      </c>
      <c r="C91" s="20" t="s">
        <v>142</v>
      </c>
      <c r="D91" s="20" t="s">
        <v>146</v>
      </c>
      <c r="E91" s="20" t="s">
        <v>147</v>
      </c>
    </row>
    <row r="93" spans="1:5" ht="23.25" x14ac:dyDescent="0.25">
      <c r="A93" s="21" t="s">
        <v>153</v>
      </c>
      <c r="D93" s="22" t="s">
        <v>143</v>
      </c>
      <c r="E93" s="22" t="s">
        <v>145</v>
      </c>
    </row>
    <row r="94" spans="1:5" x14ac:dyDescent="0.25">
      <c r="B94" t="s">
        <v>127</v>
      </c>
      <c r="C94" s="20" t="s">
        <v>142</v>
      </c>
      <c r="D94" s="20" t="s">
        <v>146</v>
      </c>
      <c r="E94" s="20" t="s">
        <v>147</v>
      </c>
    </row>
    <row r="95" spans="1:5" x14ac:dyDescent="0.25">
      <c r="B95" t="s">
        <v>128</v>
      </c>
      <c r="C95" s="20" t="s">
        <v>142</v>
      </c>
      <c r="D95" s="20" t="s">
        <v>146</v>
      </c>
      <c r="E95" s="20" t="s">
        <v>147</v>
      </c>
    </row>
    <row r="96" spans="1:5" x14ac:dyDescent="0.25">
      <c r="B96" t="s">
        <v>129</v>
      </c>
      <c r="C96" s="20" t="s">
        <v>142</v>
      </c>
      <c r="D96" s="20" t="s">
        <v>146</v>
      </c>
      <c r="E96" s="20" t="s">
        <v>147</v>
      </c>
    </row>
    <row r="97" spans="1:5" x14ac:dyDescent="0.25">
      <c r="B97" t="s">
        <v>130</v>
      </c>
      <c r="C97" s="20" t="s">
        <v>142</v>
      </c>
      <c r="D97" s="20" t="s">
        <v>146</v>
      </c>
      <c r="E97" s="20" t="s">
        <v>147</v>
      </c>
    </row>
    <row r="99" spans="1:5" ht="23.25" x14ac:dyDescent="0.25">
      <c r="A99" s="21" t="s">
        <v>154</v>
      </c>
      <c r="D99" s="22" t="s">
        <v>143</v>
      </c>
      <c r="E99" s="22" t="s">
        <v>145</v>
      </c>
    </row>
    <row r="100" spans="1:5" x14ac:dyDescent="0.25">
      <c r="B100" t="s">
        <v>127</v>
      </c>
      <c r="C100" s="20" t="s">
        <v>142</v>
      </c>
      <c r="D100" s="20" t="s">
        <v>146</v>
      </c>
      <c r="E100" s="20" t="s">
        <v>147</v>
      </c>
    </row>
    <row r="101" spans="1:5" x14ac:dyDescent="0.25">
      <c r="B101" t="s">
        <v>128</v>
      </c>
      <c r="C101" s="20" t="s">
        <v>142</v>
      </c>
      <c r="D101" s="20" t="s">
        <v>146</v>
      </c>
      <c r="E101" s="20" t="s">
        <v>147</v>
      </c>
    </row>
    <row r="102" spans="1:5" x14ac:dyDescent="0.25">
      <c r="B102" t="s">
        <v>129</v>
      </c>
      <c r="C102" s="20" t="s">
        <v>142</v>
      </c>
      <c r="D102" s="20" t="s">
        <v>146</v>
      </c>
      <c r="E102" s="20" t="s">
        <v>147</v>
      </c>
    </row>
    <row r="103" spans="1:5" x14ac:dyDescent="0.25">
      <c r="B103" t="s">
        <v>130</v>
      </c>
      <c r="C103" s="20" t="s">
        <v>142</v>
      </c>
      <c r="D103" s="20" t="s">
        <v>146</v>
      </c>
      <c r="E103" s="20" t="s">
        <v>147</v>
      </c>
    </row>
    <row r="104" spans="1:5" x14ac:dyDescent="0.25">
      <c r="A104" s="3"/>
      <c r="B104" s="3"/>
      <c r="C104" s="3"/>
      <c r="D104" s="3"/>
      <c r="E104" s="3"/>
    </row>
    <row r="105" spans="1:5" ht="15.75" x14ac:dyDescent="0.25">
      <c r="A105" s="10" t="s">
        <v>155</v>
      </c>
    </row>
    <row r="107" spans="1:5" x14ac:dyDescent="0.25">
      <c r="A107" s="8" t="s">
        <v>131</v>
      </c>
    </row>
    <row r="108" spans="1:5" x14ac:dyDescent="0.25">
      <c r="A108" s="13" t="s">
        <v>156</v>
      </c>
    </row>
    <row r="109" spans="1:5" x14ac:dyDescent="0.25">
      <c r="B109" t="s">
        <v>127</v>
      </c>
      <c r="C109" s="20" t="s">
        <v>142</v>
      </c>
    </row>
    <row r="110" spans="1:5" x14ac:dyDescent="0.25">
      <c r="B110" t="s">
        <v>128</v>
      </c>
      <c r="C110" s="20" t="s">
        <v>142</v>
      </c>
    </row>
    <row r="111" spans="1:5" x14ac:dyDescent="0.25">
      <c r="B111" t="s">
        <v>129</v>
      </c>
      <c r="C111" s="20" t="s">
        <v>142</v>
      </c>
    </row>
    <row r="112" spans="1:5" x14ac:dyDescent="0.25">
      <c r="B112" t="s">
        <v>130</v>
      </c>
      <c r="C112" s="20" t="s">
        <v>142</v>
      </c>
    </row>
    <row r="114" spans="1:5" x14ac:dyDescent="0.25">
      <c r="A114" s="8" t="s">
        <v>144</v>
      </c>
    </row>
    <row r="115" spans="1:5" ht="23.25" x14ac:dyDescent="0.25">
      <c r="A115" s="21" t="s">
        <v>157</v>
      </c>
      <c r="D115" s="22" t="s">
        <v>143</v>
      </c>
      <c r="E115" s="22" t="s">
        <v>145</v>
      </c>
    </row>
    <row r="116" spans="1:5" x14ac:dyDescent="0.25">
      <c r="B116" t="s">
        <v>127</v>
      </c>
      <c r="C116" s="20" t="s">
        <v>142</v>
      </c>
      <c r="D116" s="20" t="s">
        <v>146</v>
      </c>
      <c r="E116" s="20" t="s">
        <v>147</v>
      </c>
    </row>
    <row r="117" spans="1:5" x14ac:dyDescent="0.25">
      <c r="B117" t="s">
        <v>128</v>
      </c>
      <c r="C117" s="20" t="s">
        <v>142</v>
      </c>
      <c r="D117" s="20" t="s">
        <v>146</v>
      </c>
      <c r="E117" s="20" t="s">
        <v>147</v>
      </c>
    </row>
    <row r="118" spans="1:5" x14ac:dyDescent="0.25">
      <c r="B118" t="s">
        <v>129</v>
      </c>
      <c r="C118" s="20" t="s">
        <v>142</v>
      </c>
      <c r="D118" s="20" t="s">
        <v>146</v>
      </c>
      <c r="E118" s="20" t="s">
        <v>147</v>
      </c>
    </row>
    <row r="119" spans="1:5" x14ac:dyDescent="0.25">
      <c r="B119" t="s">
        <v>130</v>
      </c>
      <c r="C119" s="20" t="s">
        <v>142</v>
      </c>
      <c r="D119" s="20" t="s">
        <v>146</v>
      </c>
      <c r="E119" s="20" t="s">
        <v>147</v>
      </c>
    </row>
    <row r="120" spans="1:5" x14ac:dyDescent="0.25">
      <c r="A120" s="3"/>
      <c r="B120" s="3"/>
      <c r="C120" s="3"/>
      <c r="D120" s="3"/>
      <c r="E120" s="3"/>
    </row>
    <row r="121" spans="1:5" ht="15.75" x14ac:dyDescent="0.25">
      <c r="A121" s="10" t="s">
        <v>158</v>
      </c>
    </row>
    <row r="123" spans="1:5" x14ac:dyDescent="0.25">
      <c r="A123" s="8" t="s">
        <v>131</v>
      </c>
    </row>
    <row r="124" spans="1:5" x14ac:dyDescent="0.25">
      <c r="A124" s="13" t="s">
        <v>159</v>
      </c>
    </row>
    <row r="125" spans="1:5" x14ac:dyDescent="0.25">
      <c r="B125" t="s">
        <v>127</v>
      </c>
      <c r="C125" s="20" t="s">
        <v>142</v>
      </c>
    </row>
    <row r="126" spans="1:5" x14ac:dyDescent="0.25">
      <c r="B126" t="s">
        <v>128</v>
      </c>
      <c r="C126" s="20" t="s">
        <v>142</v>
      </c>
    </row>
    <row r="127" spans="1:5" x14ac:dyDescent="0.25">
      <c r="B127" t="s">
        <v>129</v>
      </c>
      <c r="C127" s="20" t="s">
        <v>142</v>
      </c>
    </row>
    <row r="128" spans="1:5" x14ac:dyDescent="0.25">
      <c r="B128" t="s">
        <v>130</v>
      </c>
      <c r="C128" s="20" t="s">
        <v>142</v>
      </c>
    </row>
    <row r="130" spans="1:5" x14ac:dyDescent="0.25">
      <c r="A130" s="8" t="s">
        <v>144</v>
      </c>
    </row>
    <row r="131" spans="1:5" ht="23.25" x14ac:dyDescent="0.25">
      <c r="A131" s="21" t="s">
        <v>160</v>
      </c>
      <c r="D131" s="22" t="s">
        <v>143</v>
      </c>
      <c r="E131" s="22" t="s">
        <v>145</v>
      </c>
    </row>
    <row r="132" spans="1:5" x14ac:dyDescent="0.25">
      <c r="B132" t="s">
        <v>127</v>
      </c>
      <c r="C132" s="20" t="s">
        <v>142</v>
      </c>
      <c r="D132" s="20" t="s">
        <v>146</v>
      </c>
      <c r="E132" s="20" t="s">
        <v>147</v>
      </c>
    </row>
    <row r="133" spans="1:5" x14ac:dyDescent="0.25">
      <c r="B133" t="s">
        <v>128</v>
      </c>
      <c r="C133" s="20" t="s">
        <v>142</v>
      </c>
      <c r="D133" s="20" t="s">
        <v>146</v>
      </c>
      <c r="E133" s="20" t="s">
        <v>147</v>
      </c>
    </row>
    <row r="134" spans="1:5" x14ac:dyDescent="0.25">
      <c r="B134" t="s">
        <v>129</v>
      </c>
      <c r="C134" s="20" t="s">
        <v>142</v>
      </c>
      <c r="D134" s="20" t="s">
        <v>146</v>
      </c>
      <c r="E134" s="20" t="s">
        <v>147</v>
      </c>
    </row>
    <row r="135" spans="1:5" x14ac:dyDescent="0.25">
      <c r="B135" t="s">
        <v>130</v>
      </c>
      <c r="C135" s="20" t="s">
        <v>142</v>
      </c>
      <c r="D135" s="20" t="s">
        <v>146</v>
      </c>
      <c r="E135" s="20" t="s">
        <v>147</v>
      </c>
    </row>
    <row r="137" spans="1:5" ht="23.25" x14ac:dyDescent="0.25">
      <c r="A137" s="21" t="s">
        <v>161</v>
      </c>
      <c r="D137" s="22" t="s">
        <v>143</v>
      </c>
      <c r="E137" s="22" t="s">
        <v>145</v>
      </c>
    </row>
    <row r="138" spans="1:5" x14ac:dyDescent="0.25">
      <c r="B138" t="s">
        <v>127</v>
      </c>
      <c r="C138" s="20" t="s">
        <v>142</v>
      </c>
      <c r="D138" s="20" t="s">
        <v>146</v>
      </c>
      <c r="E138" s="20" t="s">
        <v>147</v>
      </c>
    </row>
    <row r="139" spans="1:5" x14ac:dyDescent="0.25">
      <c r="B139" t="s">
        <v>128</v>
      </c>
      <c r="C139" s="20" t="s">
        <v>142</v>
      </c>
      <c r="D139" s="20" t="s">
        <v>146</v>
      </c>
      <c r="E139" s="20" t="s">
        <v>147</v>
      </c>
    </row>
    <row r="140" spans="1:5" x14ac:dyDescent="0.25">
      <c r="B140" t="s">
        <v>129</v>
      </c>
      <c r="C140" s="20" t="s">
        <v>142</v>
      </c>
      <c r="D140" s="20" t="s">
        <v>146</v>
      </c>
      <c r="E140" s="20" t="s">
        <v>147</v>
      </c>
    </row>
    <row r="141" spans="1:5" x14ac:dyDescent="0.25">
      <c r="B141" t="s">
        <v>130</v>
      </c>
      <c r="C141" s="20" t="s">
        <v>142</v>
      </c>
      <c r="D141" s="20" t="s">
        <v>146</v>
      </c>
      <c r="E141" s="20" t="s">
        <v>147</v>
      </c>
    </row>
    <row r="143" spans="1:5" ht="23.25" x14ac:dyDescent="0.25">
      <c r="A143" s="21" t="s">
        <v>185</v>
      </c>
      <c r="D143" s="22" t="s">
        <v>143</v>
      </c>
      <c r="E143" s="22" t="s">
        <v>145</v>
      </c>
    </row>
    <row r="144" spans="1:5" x14ac:dyDescent="0.25">
      <c r="B144" t="s">
        <v>127</v>
      </c>
      <c r="C144" s="20" t="s">
        <v>142</v>
      </c>
      <c r="D144" s="20" t="s">
        <v>146</v>
      </c>
      <c r="E144" s="20" t="s">
        <v>147</v>
      </c>
    </row>
    <row r="145" spans="1:5" x14ac:dyDescent="0.25">
      <c r="B145" t="s">
        <v>128</v>
      </c>
      <c r="C145" s="20" t="s">
        <v>142</v>
      </c>
      <c r="D145" s="20" t="s">
        <v>146</v>
      </c>
      <c r="E145" s="20" t="s">
        <v>147</v>
      </c>
    </row>
    <row r="146" spans="1:5" x14ac:dyDescent="0.25">
      <c r="B146" t="s">
        <v>129</v>
      </c>
      <c r="C146" s="20" t="s">
        <v>142</v>
      </c>
      <c r="D146" s="20" t="s">
        <v>146</v>
      </c>
      <c r="E146" s="20" t="s">
        <v>147</v>
      </c>
    </row>
    <row r="147" spans="1:5" x14ac:dyDescent="0.25">
      <c r="B147" t="s">
        <v>130</v>
      </c>
      <c r="C147" s="20" t="s">
        <v>142</v>
      </c>
      <c r="D147" s="20" t="s">
        <v>146</v>
      </c>
      <c r="E147" s="20" t="s">
        <v>147</v>
      </c>
    </row>
    <row r="149" spans="1:5" ht="23.25" x14ac:dyDescent="0.25">
      <c r="A149" s="21" t="s">
        <v>162</v>
      </c>
      <c r="D149" s="22" t="s">
        <v>143</v>
      </c>
      <c r="E149" s="22" t="s">
        <v>145</v>
      </c>
    </row>
    <row r="150" spans="1:5" x14ac:dyDescent="0.25">
      <c r="B150" t="s">
        <v>127</v>
      </c>
      <c r="C150" s="20" t="s">
        <v>142</v>
      </c>
      <c r="D150" s="20" t="s">
        <v>146</v>
      </c>
      <c r="E150" s="20" t="s">
        <v>147</v>
      </c>
    </row>
    <row r="151" spans="1:5" x14ac:dyDescent="0.25">
      <c r="B151" t="s">
        <v>128</v>
      </c>
      <c r="C151" s="20" t="s">
        <v>142</v>
      </c>
      <c r="D151" s="20" t="s">
        <v>146</v>
      </c>
      <c r="E151" s="20" t="s">
        <v>147</v>
      </c>
    </row>
    <row r="152" spans="1:5" x14ac:dyDescent="0.25">
      <c r="B152" t="s">
        <v>129</v>
      </c>
      <c r="C152" s="20" t="s">
        <v>142</v>
      </c>
      <c r="D152" s="20" t="s">
        <v>146</v>
      </c>
      <c r="E152" s="20" t="s">
        <v>147</v>
      </c>
    </row>
    <row r="153" spans="1:5" x14ac:dyDescent="0.25">
      <c r="B153" t="s">
        <v>130</v>
      </c>
      <c r="C153" s="20" t="s">
        <v>142</v>
      </c>
      <c r="D153" s="20" t="s">
        <v>146</v>
      </c>
      <c r="E153" s="20" t="s">
        <v>147</v>
      </c>
    </row>
    <row r="155" spans="1:5" ht="23.25" x14ac:dyDescent="0.25">
      <c r="A155" s="21" t="s">
        <v>163</v>
      </c>
      <c r="D155" s="22" t="s">
        <v>143</v>
      </c>
      <c r="E155" s="22" t="s">
        <v>145</v>
      </c>
    </row>
    <row r="156" spans="1:5" x14ac:dyDescent="0.25">
      <c r="B156" t="s">
        <v>127</v>
      </c>
      <c r="C156" s="20" t="s">
        <v>142</v>
      </c>
      <c r="D156" s="20" t="s">
        <v>146</v>
      </c>
      <c r="E156" s="20" t="s">
        <v>147</v>
      </c>
    </row>
    <row r="157" spans="1:5" x14ac:dyDescent="0.25">
      <c r="B157" t="s">
        <v>128</v>
      </c>
      <c r="C157" s="20" t="s">
        <v>142</v>
      </c>
      <c r="D157" s="20" t="s">
        <v>146</v>
      </c>
      <c r="E157" s="20" t="s">
        <v>147</v>
      </c>
    </row>
    <row r="158" spans="1:5" x14ac:dyDescent="0.25">
      <c r="B158" t="s">
        <v>129</v>
      </c>
      <c r="C158" s="20" t="s">
        <v>142</v>
      </c>
      <c r="D158" s="20" t="s">
        <v>146</v>
      </c>
      <c r="E158" s="20" t="s">
        <v>147</v>
      </c>
    </row>
    <row r="159" spans="1:5" x14ac:dyDescent="0.25">
      <c r="B159" t="s">
        <v>130</v>
      </c>
      <c r="C159" s="20" t="s">
        <v>142</v>
      </c>
      <c r="D159" s="20" t="s">
        <v>146</v>
      </c>
      <c r="E159" s="20" t="s">
        <v>147</v>
      </c>
    </row>
    <row r="161" spans="1:5" ht="23.25" x14ac:dyDescent="0.25">
      <c r="A161" s="21" t="s">
        <v>164</v>
      </c>
      <c r="D161" s="22" t="s">
        <v>143</v>
      </c>
      <c r="E161" s="22" t="s">
        <v>145</v>
      </c>
    </row>
    <row r="162" spans="1:5" x14ac:dyDescent="0.25">
      <c r="B162" t="s">
        <v>127</v>
      </c>
      <c r="C162" s="20" t="s">
        <v>142</v>
      </c>
      <c r="D162" s="20" t="s">
        <v>146</v>
      </c>
      <c r="E162" s="20" t="s">
        <v>147</v>
      </c>
    </row>
    <row r="163" spans="1:5" x14ac:dyDescent="0.25">
      <c r="B163" t="s">
        <v>128</v>
      </c>
      <c r="C163" s="20" t="s">
        <v>142</v>
      </c>
      <c r="D163" s="20" t="s">
        <v>146</v>
      </c>
      <c r="E163" s="20" t="s">
        <v>147</v>
      </c>
    </row>
    <row r="164" spans="1:5" x14ac:dyDescent="0.25">
      <c r="B164" t="s">
        <v>129</v>
      </c>
      <c r="C164" s="20" t="s">
        <v>142</v>
      </c>
      <c r="D164" s="20" t="s">
        <v>146</v>
      </c>
      <c r="E164" s="20" t="s">
        <v>147</v>
      </c>
    </row>
    <row r="165" spans="1:5" x14ac:dyDescent="0.25">
      <c r="B165" t="s">
        <v>130</v>
      </c>
      <c r="C165" s="20" t="s">
        <v>142</v>
      </c>
      <c r="D165" s="20" t="s">
        <v>146</v>
      </c>
      <c r="E165" s="20" t="s">
        <v>147</v>
      </c>
    </row>
    <row r="167" spans="1:5" x14ac:dyDescent="0.25">
      <c r="A167" s="21" t="s">
        <v>165</v>
      </c>
      <c r="D167" s="22"/>
      <c r="E167" s="22"/>
    </row>
    <row r="168" spans="1:5" x14ac:dyDescent="0.25">
      <c r="B168" t="s">
        <v>127</v>
      </c>
      <c r="C168" s="20" t="s">
        <v>142</v>
      </c>
      <c r="D168" s="20"/>
      <c r="E168" s="20"/>
    </row>
    <row r="169" spans="1:5" x14ac:dyDescent="0.25">
      <c r="B169" t="s">
        <v>128</v>
      </c>
      <c r="C169" s="20" t="s">
        <v>142</v>
      </c>
      <c r="D169" s="20"/>
      <c r="E169" s="20"/>
    </row>
    <row r="170" spans="1:5" x14ac:dyDescent="0.25">
      <c r="B170" t="s">
        <v>129</v>
      </c>
      <c r="C170" s="20" t="s">
        <v>142</v>
      </c>
      <c r="D170" s="20"/>
      <c r="E170" s="20"/>
    </row>
    <row r="171" spans="1:5" x14ac:dyDescent="0.25">
      <c r="B171" t="s">
        <v>130</v>
      </c>
      <c r="C171" s="20" t="s">
        <v>142</v>
      </c>
      <c r="D171" s="20"/>
      <c r="E171" s="20"/>
    </row>
    <row r="173" spans="1:5" x14ac:dyDescent="0.25">
      <c r="A173" s="21" t="s">
        <v>166</v>
      </c>
    </row>
    <row r="174" spans="1:5" x14ac:dyDescent="0.25">
      <c r="B174" t="s">
        <v>127</v>
      </c>
      <c r="C174" s="20" t="s">
        <v>142</v>
      </c>
    </row>
    <row r="175" spans="1:5" x14ac:dyDescent="0.25">
      <c r="B175" t="s">
        <v>128</v>
      </c>
      <c r="C175" s="20" t="s">
        <v>142</v>
      </c>
    </row>
    <row r="176" spans="1:5" x14ac:dyDescent="0.25">
      <c r="B176" t="s">
        <v>129</v>
      </c>
      <c r="C176" s="20" t="s">
        <v>142</v>
      </c>
    </row>
    <row r="177" spans="1:5" x14ac:dyDescent="0.25">
      <c r="B177" t="s">
        <v>130</v>
      </c>
      <c r="C177" s="20" t="s">
        <v>142</v>
      </c>
    </row>
    <row r="178" spans="1:5" x14ac:dyDescent="0.25">
      <c r="A178" s="3"/>
      <c r="B178" s="3"/>
      <c r="C178" s="3"/>
      <c r="D178" s="3"/>
      <c r="E178" s="3"/>
    </row>
    <row r="179" spans="1:5" ht="15.75" x14ac:dyDescent="0.25">
      <c r="A179" s="10" t="s">
        <v>167</v>
      </c>
    </row>
    <row r="181" spans="1:5" x14ac:dyDescent="0.25">
      <c r="A181" s="8" t="s">
        <v>131</v>
      </c>
    </row>
    <row r="182" spans="1:5" x14ac:dyDescent="0.25">
      <c r="A182" s="13" t="s">
        <v>168</v>
      </c>
    </row>
    <row r="183" spans="1:5" x14ac:dyDescent="0.25">
      <c r="B183" t="s">
        <v>127</v>
      </c>
      <c r="C183" s="20" t="s">
        <v>142</v>
      </c>
    </row>
    <row r="184" spans="1:5" x14ac:dyDescent="0.25">
      <c r="B184" t="s">
        <v>128</v>
      </c>
      <c r="C184" s="20" t="s">
        <v>142</v>
      </c>
    </row>
    <row r="185" spans="1:5" x14ac:dyDescent="0.25">
      <c r="B185" t="s">
        <v>129</v>
      </c>
      <c r="C185" s="20" t="s">
        <v>142</v>
      </c>
    </row>
    <row r="186" spans="1:5" x14ac:dyDescent="0.25">
      <c r="B186" t="s">
        <v>130</v>
      </c>
      <c r="C186" s="20" t="s">
        <v>142</v>
      </c>
    </row>
    <row r="188" spans="1:5" x14ac:dyDescent="0.25">
      <c r="A188" s="8" t="s">
        <v>144</v>
      </c>
    </row>
    <row r="189" spans="1:5" ht="23.25" x14ac:dyDescent="0.25">
      <c r="A189" s="21" t="s">
        <v>169</v>
      </c>
      <c r="D189" s="22" t="s">
        <v>143</v>
      </c>
      <c r="E189" s="22" t="s">
        <v>145</v>
      </c>
    </row>
    <row r="190" spans="1:5" x14ac:dyDescent="0.25">
      <c r="B190" t="s">
        <v>127</v>
      </c>
      <c r="C190" s="20" t="s">
        <v>142</v>
      </c>
      <c r="D190" s="20" t="s">
        <v>146</v>
      </c>
      <c r="E190" s="20" t="s">
        <v>147</v>
      </c>
    </row>
    <row r="191" spans="1:5" x14ac:dyDescent="0.25">
      <c r="B191" t="s">
        <v>128</v>
      </c>
      <c r="C191" s="20" t="s">
        <v>142</v>
      </c>
      <c r="D191" s="20" t="s">
        <v>146</v>
      </c>
      <c r="E191" s="20" t="s">
        <v>147</v>
      </c>
    </row>
    <row r="192" spans="1:5" x14ac:dyDescent="0.25">
      <c r="B192" t="s">
        <v>129</v>
      </c>
      <c r="C192" s="20" t="s">
        <v>142</v>
      </c>
      <c r="D192" s="20" t="s">
        <v>146</v>
      </c>
      <c r="E192" s="20" t="s">
        <v>147</v>
      </c>
    </row>
    <row r="193" spans="1:5" x14ac:dyDescent="0.25">
      <c r="B193" t="s">
        <v>130</v>
      </c>
      <c r="C193" s="20" t="s">
        <v>142</v>
      </c>
      <c r="D193" s="20" t="s">
        <v>146</v>
      </c>
      <c r="E193" s="20" t="s">
        <v>147</v>
      </c>
    </row>
    <row r="195" spans="1:5" ht="23.25" x14ac:dyDescent="0.25">
      <c r="A195" s="21" t="s">
        <v>170</v>
      </c>
      <c r="D195" s="22" t="s">
        <v>143</v>
      </c>
      <c r="E195" s="22" t="s">
        <v>145</v>
      </c>
    </row>
    <row r="196" spans="1:5" x14ac:dyDescent="0.25">
      <c r="B196" t="s">
        <v>127</v>
      </c>
      <c r="C196" s="20" t="s">
        <v>142</v>
      </c>
      <c r="D196" s="20" t="s">
        <v>146</v>
      </c>
      <c r="E196" s="20" t="s">
        <v>147</v>
      </c>
    </row>
    <row r="197" spans="1:5" x14ac:dyDescent="0.25">
      <c r="B197" t="s">
        <v>128</v>
      </c>
      <c r="C197" s="20" t="s">
        <v>142</v>
      </c>
      <c r="D197" s="20" t="s">
        <v>146</v>
      </c>
      <c r="E197" s="20" t="s">
        <v>147</v>
      </c>
    </row>
    <row r="198" spans="1:5" x14ac:dyDescent="0.25">
      <c r="B198" t="s">
        <v>129</v>
      </c>
      <c r="C198" s="20" t="s">
        <v>142</v>
      </c>
      <c r="D198" s="20" t="s">
        <v>146</v>
      </c>
      <c r="E198" s="20" t="s">
        <v>147</v>
      </c>
    </row>
    <row r="199" spans="1:5" x14ac:dyDescent="0.25">
      <c r="B199" t="s">
        <v>130</v>
      </c>
      <c r="C199" s="20" t="s">
        <v>142</v>
      </c>
      <c r="D199" s="20" t="s">
        <v>146</v>
      </c>
      <c r="E199" s="20" t="s">
        <v>147</v>
      </c>
    </row>
    <row r="201" spans="1:5" ht="23.25" x14ac:dyDescent="0.25">
      <c r="A201" s="21" t="s">
        <v>171</v>
      </c>
      <c r="D201" s="22" t="s">
        <v>143</v>
      </c>
      <c r="E201" s="22" t="s">
        <v>145</v>
      </c>
    </row>
    <row r="202" spans="1:5" x14ac:dyDescent="0.25">
      <c r="B202" t="s">
        <v>127</v>
      </c>
      <c r="C202" s="20" t="s">
        <v>142</v>
      </c>
      <c r="D202" s="20" t="s">
        <v>146</v>
      </c>
      <c r="E202" s="20" t="s">
        <v>147</v>
      </c>
    </row>
    <row r="203" spans="1:5" x14ac:dyDescent="0.25">
      <c r="B203" t="s">
        <v>128</v>
      </c>
      <c r="C203" s="20" t="s">
        <v>142</v>
      </c>
      <c r="D203" s="20" t="s">
        <v>146</v>
      </c>
      <c r="E203" s="20" t="s">
        <v>147</v>
      </c>
    </row>
    <row r="204" spans="1:5" x14ac:dyDescent="0.25">
      <c r="B204" t="s">
        <v>129</v>
      </c>
      <c r="C204" s="20" t="s">
        <v>142</v>
      </c>
      <c r="D204" s="20" t="s">
        <v>146</v>
      </c>
      <c r="E204" s="20" t="s">
        <v>147</v>
      </c>
    </row>
    <row r="205" spans="1:5" x14ac:dyDescent="0.25">
      <c r="B205" t="s">
        <v>130</v>
      </c>
      <c r="C205" s="20" t="s">
        <v>142</v>
      </c>
      <c r="D205" s="20" t="s">
        <v>146</v>
      </c>
      <c r="E205" s="20" t="s">
        <v>147</v>
      </c>
    </row>
    <row r="207" spans="1:5" ht="23.25" x14ac:dyDescent="0.25">
      <c r="A207" s="21" t="s">
        <v>172</v>
      </c>
      <c r="D207" s="22" t="s">
        <v>143</v>
      </c>
      <c r="E207" s="22" t="s">
        <v>145</v>
      </c>
    </row>
    <row r="208" spans="1:5" x14ac:dyDescent="0.25">
      <c r="B208" t="s">
        <v>127</v>
      </c>
      <c r="C208" s="20" t="s">
        <v>142</v>
      </c>
      <c r="D208" s="20" t="s">
        <v>146</v>
      </c>
      <c r="E208" s="20" t="s">
        <v>147</v>
      </c>
    </row>
    <row r="209" spans="1:5" x14ac:dyDescent="0.25">
      <c r="B209" t="s">
        <v>128</v>
      </c>
      <c r="C209" s="20" t="s">
        <v>142</v>
      </c>
      <c r="D209" s="20" t="s">
        <v>146</v>
      </c>
      <c r="E209" s="20" t="s">
        <v>147</v>
      </c>
    </row>
    <row r="210" spans="1:5" x14ac:dyDescent="0.25">
      <c r="B210" t="s">
        <v>129</v>
      </c>
      <c r="C210" s="20" t="s">
        <v>142</v>
      </c>
      <c r="D210" s="20" t="s">
        <v>146</v>
      </c>
      <c r="E210" s="20" t="s">
        <v>147</v>
      </c>
    </row>
    <row r="211" spans="1:5" x14ac:dyDescent="0.25">
      <c r="B211" t="s">
        <v>130</v>
      </c>
      <c r="C211" s="20" t="s">
        <v>142</v>
      </c>
      <c r="D211" s="20" t="s">
        <v>146</v>
      </c>
      <c r="E211" s="20" t="s">
        <v>147</v>
      </c>
    </row>
    <row r="213" spans="1:5" ht="23.25" x14ac:dyDescent="0.25">
      <c r="A213" s="21" t="s">
        <v>173</v>
      </c>
      <c r="D213" s="22" t="s">
        <v>143</v>
      </c>
      <c r="E213" s="22" t="s">
        <v>145</v>
      </c>
    </row>
    <row r="214" spans="1:5" x14ac:dyDescent="0.25">
      <c r="B214" t="s">
        <v>127</v>
      </c>
      <c r="C214" s="20" t="s">
        <v>142</v>
      </c>
      <c r="D214" s="20" t="s">
        <v>146</v>
      </c>
      <c r="E214" s="20" t="s">
        <v>147</v>
      </c>
    </row>
    <row r="215" spans="1:5" x14ac:dyDescent="0.25">
      <c r="B215" t="s">
        <v>128</v>
      </c>
      <c r="C215" s="20" t="s">
        <v>142</v>
      </c>
      <c r="D215" s="20" t="s">
        <v>146</v>
      </c>
      <c r="E215" s="20" t="s">
        <v>147</v>
      </c>
    </row>
    <row r="216" spans="1:5" x14ac:dyDescent="0.25">
      <c r="B216" t="s">
        <v>129</v>
      </c>
      <c r="C216" s="20" t="s">
        <v>142</v>
      </c>
      <c r="D216" s="20" t="s">
        <v>146</v>
      </c>
      <c r="E216" s="20" t="s">
        <v>147</v>
      </c>
    </row>
    <row r="217" spans="1:5" x14ac:dyDescent="0.25">
      <c r="B217" t="s">
        <v>130</v>
      </c>
      <c r="C217" s="20" t="s">
        <v>142</v>
      </c>
      <c r="D217" s="20" t="s">
        <v>146</v>
      </c>
      <c r="E217" s="20" t="s">
        <v>147</v>
      </c>
    </row>
    <row r="219" spans="1:5" ht="23.25" x14ac:dyDescent="0.25">
      <c r="A219" s="21" t="s">
        <v>174</v>
      </c>
      <c r="D219" s="22" t="s">
        <v>143</v>
      </c>
      <c r="E219" s="22" t="s">
        <v>145</v>
      </c>
    </row>
    <row r="220" spans="1:5" x14ac:dyDescent="0.25">
      <c r="B220" t="s">
        <v>127</v>
      </c>
      <c r="C220" s="20" t="s">
        <v>142</v>
      </c>
      <c r="D220" s="20" t="s">
        <v>146</v>
      </c>
      <c r="E220" s="20" t="s">
        <v>147</v>
      </c>
    </row>
    <row r="221" spans="1:5" x14ac:dyDescent="0.25">
      <c r="B221" t="s">
        <v>128</v>
      </c>
      <c r="C221" s="20" t="s">
        <v>142</v>
      </c>
      <c r="D221" s="20" t="s">
        <v>146</v>
      </c>
      <c r="E221" s="20" t="s">
        <v>147</v>
      </c>
    </row>
    <row r="222" spans="1:5" x14ac:dyDescent="0.25">
      <c r="B222" t="s">
        <v>129</v>
      </c>
      <c r="C222" s="20" t="s">
        <v>142</v>
      </c>
      <c r="D222" s="20" t="s">
        <v>146</v>
      </c>
      <c r="E222" s="20" t="s">
        <v>147</v>
      </c>
    </row>
    <row r="223" spans="1:5" x14ac:dyDescent="0.25">
      <c r="B223" t="s">
        <v>130</v>
      </c>
      <c r="C223" s="20" t="s">
        <v>142</v>
      </c>
      <c r="D223" s="20" t="s">
        <v>146</v>
      </c>
      <c r="E223" s="20" t="s">
        <v>147</v>
      </c>
    </row>
    <row r="224" spans="1:5" x14ac:dyDescent="0.25">
      <c r="A224" s="3"/>
      <c r="B224" s="3"/>
      <c r="C224" s="3"/>
      <c r="D224" s="3"/>
      <c r="E224" s="3"/>
    </row>
    <row r="225" spans="1:5" ht="15.75" x14ac:dyDescent="0.25">
      <c r="A225" s="10" t="s">
        <v>177</v>
      </c>
    </row>
    <row r="227" spans="1:5" x14ac:dyDescent="0.25">
      <c r="A227" s="8" t="s">
        <v>175</v>
      </c>
    </row>
    <row r="228" spans="1:5" x14ac:dyDescent="0.25">
      <c r="B228" t="s">
        <v>127</v>
      </c>
      <c r="C228" s="20" t="s">
        <v>142</v>
      </c>
      <c r="D228" s="20"/>
      <c r="E228" s="20"/>
    </row>
    <row r="229" spans="1:5" x14ac:dyDescent="0.25">
      <c r="B229" t="s">
        <v>128</v>
      </c>
      <c r="C229" s="20" t="s">
        <v>142</v>
      </c>
      <c r="D229" s="20"/>
      <c r="E229" s="20"/>
    </row>
    <row r="230" spans="1:5" x14ac:dyDescent="0.25">
      <c r="B230" t="s">
        <v>129</v>
      </c>
      <c r="C230" s="20" t="s">
        <v>142</v>
      </c>
      <c r="D230" s="20"/>
      <c r="E230" s="20"/>
    </row>
    <row r="231" spans="1:5" x14ac:dyDescent="0.25">
      <c r="B231" t="s">
        <v>130</v>
      </c>
      <c r="C231" s="20" t="s">
        <v>142</v>
      </c>
      <c r="D231" s="20"/>
      <c r="E231" s="20"/>
    </row>
    <row r="233" spans="1:5" x14ac:dyDescent="0.25">
      <c r="A233" s="8" t="s">
        <v>176</v>
      </c>
    </row>
    <row r="234" spans="1:5" x14ac:dyDescent="0.25">
      <c r="B234" t="s">
        <v>127</v>
      </c>
      <c r="C234" s="20" t="s">
        <v>142</v>
      </c>
      <c r="D234" s="20"/>
      <c r="E234" s="20"/>
    </row>
    <row r="235" spans="1:5" x14ac:dyDescent="0.25">
      <c r="B235" t="s">
        <v>128</v>
      </c>
      <c r="C235" s="20" t="s">
        <v>142</v>
      </c>
      <c r="D235" s="20"/>
      <c r="E235" s="20"/>
    </row>
    <row r="236" spans="1:5" x14ac:dyDescent="0.25">
      <c r="B236" t="s">
        <v>129</v>
      </c>
      <c r="C236" s="20" t="s">
        <v>142</v>
      </c>
      <c r="D236" s="20"/>
      <c r="E236" s="20"/>
    </row>
    <row r="237" spans="1:5" x14ac:dyDescent="0.25">
      <c r="B237" t="s">
        <v>130</v>
      </c>
      <c r="C237" s="20" t="s">
        <v>142</v>
      </c>
      <c r="D237" s="20"/>
      <c r="E237" s="20"/>
    </row>
    <row r="239" spans="1:5" x14ac:dyDescent="0.25">
      <c r="A239" s="8" t="s">
        <v>178</v>
      </c>
    </row>
    <row r="240" spans="1:5" x14ac:dyDescent="0.25">
      <c r="B240" t="s">
        <v>127</v>
      </c>
      <c r="C240" s="20" t="s">
        <v>142</v>
      </c>
    </row>
    <row r="241" spans="1:5" x14ac:dyDescent="0.25">
      <c r="B241" t="s">
        <v>128</v>
      </c>
      <c r="C241" s="20" t="s">
        <v>142</v>
      </c>
    </row>
    <row r="242" spans="1:5" x14ac:dyDescent="0.25">
      <c r="B242" t="s">
        <v>129</v>
      </c>
      <c r="C242" s="20" t="s">
        <v>142</v>
      </c>
    </row>
    <row r="243" spans="1:5" x14ac:dyDescent="0.25">
      <c r="B243" t="s">
        <v>130</v>
      </c>
      <c r="C243" s="20" t="s">
        <v>142</v>
      </c>
    </row>
    <row r="244" spans="1:5" x14ac:dyDescent="0.25">
      <c r="A244" s="3"/>
      <c r="B244" s="3"/>
      <c r="C244" s="3"/>
      <c r="D244" s="3"/>
      <c r="E244" s="3"/>
    </row>
    <row r="245" spans="1:5" ht="15.75" x14ac:dyDescent="0.25">
      <c r="A245" s="10" t="s">
        <v>179</v>
      </c>
    </row>
    <row r="247" spans="1:5" x14ac:dyDescent="0.25">
      <c r="A247" s="8" t="s">
        <v>180</v>
      </c>
    </row>
    <row r="248" spans="1:5" x14ac:dyDescent="0.25">
      <c r="B248" t="s">
        <v>127</v>
      </c>
      <c r="C248" s="20" t="s">
        <v>142</v>
      </c>
    </row>
    <row r="249" spans="1:5" x14ac:dyDescent="0.25">
      <c r="B249" t="s">
        <v>128</v>
      </c>
      <c r="C249" s="20" t="s">
        <v>142</v>
      </c>
    </row>
    <row r="250" spans="1:5" x14ac:dyDescent="0.25">
      <c r="B250" t="s">
        <v>129</v>
      </c>
      <c r="C250" s="20" t="s">
        <v>142</v>
      </c>
    </row>
    <row r="251" spans="1:5" x14ac:dyDescent="0.25">
      <c r="B251" t="s">
        <v>130</v>
      </c>
      <c r="C251" s="20" t="s">
        <v>142</v>
      </c>
    </row>
    <row r="253" spans="1:5" x14ac:dyDescent="0.25">
      <c r="A253" s="8" t="s">
        <v>181</v>
      </c>
    </row>
    <row r="254" spans="1:5" x14ac:dyDescent="0.25">
      <c r="B254" t="s">
        <v>127</v>
      </c>
      <c r="C254" s="20" t="s">
        <v>142</v>
      </c>
    </row>
    <row r="255" spans="1:5" x14ac:dyDescent="0.25">
      <c r="B255" t="s">
        <v>128</v>
      </c>
      <c r="C255" s="20" t="s">
        <v>142</v>
      </c>
    </row>
    <row r="256" spans="1:5" x14ac:dyDescent="0.25">
      <c r="B256" t="s">
        <v>129</v>
      </c>
      <c r="C256" s="20" t="s">
        <v>142</v>
      </c>
    </row>
    <row r="257" spans="1:3" x14ac:dyDescent="0.25">
      <c r="B257" t="s">
        <v>130</v>
      </c>
      <c r="C257" s="20" t="s">
        <v>142</v>
      </c>
    </row>
    <row r="259" spans="1:3" x14ac:dyDescent="0.25">
      <c r="A259" s="8" t="s">
        <v>113</v>
      </c>
    </row>
    <row r="260" spans="1:3" x14ac:dyDescent="0.25">
      <c r="B260" t="s">
        <v>127</v>
      </c>
      <c r="C260" s="20" t="s">
        <v>142</v>
      </c>
    </row>
    <row r="261" spans="1:3" x14ac:dyDescent="0.25">
      <c r="B261" t="s">
        <v>128</v>
      </c>
      <c r="C261" s="20" t="s">
        <v>142</v>
      </c>
    </row>
    <row r="262" spans="1:3" x14ac:dyDescent="0.25">
      <c r="B262" t="s">
        <v>129</v>
      </c>
      <c r="C262" s="20" t="s">
        <v>142</v>
      </c>
    </row>
    <row r="263" spans="1:3" x14ac:dyDescent="0.25">
      <c r="B263" t="s">
        <v>130</v>
      </c>
      <c r="C263" s="20" t="s">
        <v>142</v>
      </c>
    </row>
    <row r="265" spans="1:3" x14ac:dyDescent="0.25">
      <c r="A265" s="8" t="s">
        <v>182</v>
      </c>
    </row>
    <row r="266" spans="1:3" x14ac:dyDescent="0.25">
      <c r="B266" t="s">
        <v>127</v>
      </c>
      <c r="C266" s="20" t="s">
        <v>142</v>
      </c>
    </row>
    <row r="267" spans="1:3" x14ac:dyDescent="0.25">
      <c r="B267" t="s">
        <v>128</v>
      </c>
      <c r="C267" s="20" t="s">
        <v>142</v>
      </c>
    </row>
    <row r="268" spans="1:3" x14ac:dyDescent="0.25">
      <c r="B268" t="s">
        <v>129</v>
      </c>
      <c r="C268" s="20" t="s">
        <v>142</v>
      </c>
    </row>
    <row r="269" spans="1:3" x14ac:dyDescent="0.25">
      <c r="B269" t="s">
        <v>130</v>
      </c>
      <c r="C269" s="20" t="s">
        <v>142</v>
      </c>
    </row>
    <row r="271" spans="1:3" x14ac:dyDescent="0.25">
      <c r="A271" s="8" t="s">
        <v>183</v>
      </c>
    </row>
    <row r="272" spans="1:3" x14ac:dyDescent="0.25">
      <c r="B272" t="s">
        <v>127</v>
      </c>
      <c r="C272" s="20" t="s">
        <v>142</v>
      </c>
    </row>
    <row r="273" spans="1:5" x14ac:dyDescent="0.25">
      <c r="B273" t="s">
        <v>128</v>
      </c>
      <c r="C273" s="20" t="s">
        <v>142</v>
      </c>
    </row>
    <row r="274" spans="1:5" x14ac:dyDescent="0.25">
      <c r="B274" t="s">
        <v>129</v>
      </c>
      <c r="C274" s="20" t="s">
        <v>142</v>
      </c>
    </row>
    <row r="275" spans="1:5" x14ac:dyDescent="0.25">
      <c r="B275" t="s">
        <v>130</v>
      </c>
      <c r="C275" s="20" t="s">
        <v>142</v>
      </c>
    </row>
    <row r="277" spans="1:5" x14ac:dyDescent="0.25">
      <c r="A277" s="8" t="s">
        <v>184</v>
      </c>
    </row>
    <row r="278" spans="1:5" x14ac:dyDescent="0.25">
      <c r="B278" t="s">
        <v>127</v>
      </c>
      <c r="C278" s="20" t="s">
        <v>142</v>
      </c>
    </row>
    <row r="279" spans="1:5" x14ac:dyDescent="0.25">
      <c r="B279" t="s">
        <v>128</v>
      </c>
      <c r="C279" s="20" t="s">
        <v>142</v>
      </c>
    </row>
    <row r="280" spans="1:5" x14ac:dyDescent="0.25">
      <c r="B280" t="s">
        <v>129</v>
      </c>
      <c r="C280" s="20" t="s">
        <v>142</v>
      </c>
    </row>
    <row r="281" spans="1:5" x14ac:dyDescent="0.25">
      <c r="B281" t="s">
        <v>130</v>
      </c>
      <c r="C281" s="20" t="s">
        <v>142</v>
      </c>
    </row>
    <row r="282" spans="1:5" x14ac:dyDescent="0.25">
      <c r="A282" s="3"/>
      <c r="B282" s="3"/>
      <c r="C282" s="3"/>
      <c r="D282" s="3"/>
      <c r="E282" s="3"/>
    </row>
    <row r="283" spans="1:5" ht="15.75" x14ac:dyDescent="0.25">
      <c r="A283" s="10" t="s">
        <v>186</v>
      </c>
    </row>
    <row r="284" spans="1:5" x14ac:dyDescent="0.25">
      <c r="B284" t="s">
        <v>19</v>
      </c>
    </row>
    <row r="285" spans="1:5" x14ac:dyDescent="0.25">
      <c r="B285" t="s">
        <v>133</v>
      </c>
    </row>
    <row r="286" spans="1:5" x14ac:dyDescent="0.25">
      <c r="B286" t="s">
        <v>134</v>
      </c>
    </row>
    <row r="287" spans="1:5" x14ac:dyDescent="0.25">
      <c r="B287" t="s">
        <v>135</v>
      </c>
    </row>
    <row r="288" spans="1:5" x14ac:dyDescent="0.25">
      <c r="B288" t="s">
        <v>187</v>
      </c>
    </row>
    <row r="289" spans="2:2" x14ac:dyDescent="0.25">
      <c r="B289" t="s">
        <v>108</v>
      </c>
    </row>
    <row r="290" spans="2:2" x14ac:dyDescent="0.25">
      <c r="B290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>
      <selection activeCell="B1" sqref="B1"/>
    </sheetView>
  </sheetViews>
  <sheetFormatPr baseColWidth="10" defaultRowHeight="15" x14ac:dyDescent="0.25"/>
  <cols>
    <col min="1" max="1" width="22.5703125" customWidth="1"/>
    <col min="2" max="2" width="20.42578125" customWidth="1"/>
    <col min="4" max="4" width="61.140625" customWidth="1"/>
  </cols>
  <sheetData>
    <row r="1" spans="1:7" x14ac:dyDescent="0.25">
      <c r="A1" t="s">
        <v>372</v>
      </c>
      <c r="B1" t="s">
        <v>364</v>
      </c>
      <c r="E1" t="s">
        <v>365</v>
      </c>
      <c r="F1" t="s">
        <v>366</v>
      </c>
      <c r="G1" t="s">
        <v>377</v>
      </c>
    </row>
    <row r="2" spans="1:7" x14ac:dyDescent="0.25">
      <c r="A2" t="s">
        <v>384</v>
      </c>
      <c r="B2" s="99">
        <v>101</v>
      </c>
      <c r="E2" t="s">
        <v>363</v>
      </c>
      <c r="F2" t="s">
        <v>362</v>
      </c>
      <c r="G2" t="s">
        <v>376</v>
      </c>
    </row>
    <row r="3" spans="1:7" x14ac:dyDescent="0.25">
      <c r="A3" t="s">
        <v>408</v>
      </c>
      <c r="B3">
        <v>30</v>
      </c>
      <c r="E3" t="s">
        <v>364</v>
      </c>
      <c r="F3" t="s">
        <v>379</v>
      </c>
      <c r="G3" t="s">
        <v>380</v>
      </c>
    </row>
    <row r="4" spans="1:7" x14ac:dyDescent="0.25">
      <c r="A4" t="s">
        <v>409</v>
      </c>
      <c r="B4">
        <v>40</v>
      </c>
      <c r="E4" t="s">
        <v>367</v>
      </c>
    </row>
    <row r="5" spans="1:7" x14ac:dyDescent="0.25">
      <c r="A5" t="s">
        <v>406</v>
      </c>
      <c r="B5">
        <v>50</v>
      </c>
      <c r="E5" t="s">
        <v>368</v>
      </c>
    </row>
    <row r="6" spans="1:7" x14ac:dyDescent="0.25">
      <c r="A6" t="s">
        <v>407</v>
      </c>
      <c r="B6" s="99">
        <v>60</v>
      </c>
      <c r="E6" t="s">
        <v>369</v>
      </c>
    </row>
    <row r="7" spans="1:7" x14ac:dyDescent="0.25">
      <c r="A7" t="s">
        <v>373</v>
      </c>
      <c r="B7" t="str">
        <f>VLOOKUP(B1,E2:F8,2,FALSE)</f>
        <v>C:\Users\ambroise\Documents\Documents en ligne\Mauridul Ltée\zData</v>
      </c>
      <c r="E7" t="s">
        <v>370</v>
      </c>
    </row>
    <row r="8" spans="1:7" x14ac:dyDescent="0.25">
      <c r="A8" t="s">
        <v>378</v>
      </c>
      <c r="B8" t="str">
        <f>VLOOKUP(B1,E2:G8,3,FALSE)</f>
        <v>C:\Users\ambroise\Documents\Documents en ligne\Mauridul Ltée\Facture</v>
      </c>
      <c r="E8" t="s">
        <v>371</v>
      </c>
    </row>
  </sheetData>
  <dataValidations count="1">
    <dataValidation type="list" showInputMessage="1" showErrorMessage="1" error="Doit absolument etre dans la liste" sqref="B1">
      <formula1>$E$2:$E$8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6"/>
  <sheetViews>
    <sheetView workbookViewId="0">
      <selection activeCell="A2" sqref="A2"/>
    </sheetView>
  </sheetViews>
  <sheetFormatPr baseColWidth="10" defaultRowHeight="15" x14ac:dyDescent="0.25"/>
  <sheetData>
    <row r="1" spans="1:9" x14ac:dyDescent="0.25">
      <c r="A1" t="s">
        <v>431</v>
      </c>
      <c r="B1" t="s">
        <v>432</v>
      </c>
      <c r="C1" t="s">
        <v>433</v>
      </c>
      <c r="D1" t="s">
        <v>434</v>
      </c>
      <c r="E1" t="s">
        <v>435</v>
      </c>
      <c r="F1" t="s">
        <v>436</v>
      </c>
      <c r="G1" t="s">
        <v>437</v>
      </c>
      <c r="H1" t="s">
        <v>438</v>
      </c>
      <c r="I1" t="s">
        <v>439</v>
      </c>
    </row>
    <row r="2" spans="1:9" x14ac:dyDescent="0.25">
      <c r="A2" t="str">
        <f>Newfacture!D12</f>
        <v/>
      </c>
      <c r="B2" t="e">
        <f>IF(VLOOKUP($A2,BDDprix!A:B,2,FALSE)=0,"",VLOOKUP($A2,BDDprix!A:B,2,FALSE))</f>
        <v>#N/A</v>
      </c>
      <c r="C2" t="e">
        <f>IF(VLOOKUP($A2,BDDprix!A:C,3,FALSE)=0,"",VLOOKUP($A2,BDDprix!A:C,3,FALSE))</f>
        <v>#N/A</v>
      </c>
      <c r="D2" t="e">
        <f>IF(VLOOKUP($A2,BDDprix!A:D,4,FALSE)=0,"",VLOOKUP($A2,BDDprix!A:D,4,FALSE))</f>
        <v>#N/A</v>
      </c>
      <c r="E2" t="e">
        <f>IF(VLOOKUP($A2,BDDprix!A:E,5,FALSE)=0,"",VLOOKUP($A2,BDDprix!A:E,5,FALSE))</f>
        <v>#N/A</v>
      </c>
      <c r="F2" t="e">
        <f>IF(VLOOKUP($A2,BDDprix!A:F,6,FALSE)=0,"",VLOOKUP($A2,BDDprix!A:F,6,FALSE))</f>
        <v>#N/A</v>
      </c>
      <c r="G2" t="e">
        <f>IF(VLOOKUP($A2,BDDprix!A:G,7,FALSE)=0,"",VLOOKUP($A2,BDDprix!A:G,7,FALSE))</f>
        <v>#N/A</v>
      </c>
      <c r="H2" t="e">
        <f>IF(VLOOKUP($A2,BDDprix!A:H,8,FALSE)=0,"",VLOOKUP($A2,BDDprix!A:H,8,FALSE))</f>
        <v>#N/A</v>
      </c>
      <c r="I2" t="e">
        <f>IF(VLOOKUP($A2,BDDprix!A:I,9,FALSE)=0,"",VLOOKUP($A2,BDDprix!A:I,9,FALSE))</f>
        <v>#N/A</v>
      </c>
    </row>
    <row r="3" spans="1:9" x14ac:dyDescent="0.25">
      <c r="A3" t="str">
        <f>Newfacture!D13</f>
        <v/>
      </c>
      <c r="B3" t="e">
        <f>IF(VLOOKUP($A3,BDDprix!A:B,2,FALSE)=0,"",VLOOKUP($A3,BDDprix!A:B,2,FALSE))</f>
        <v>#N/A</v>
      </c>
      <c r="C3" t="e">
        <f>IF(VLOOKUP($A3,BDDprix!A:C,3,FALSE)=0,"",VLOOKUP($A3,BDDprix!A:C,3,FALSE))</f>
        <v>#N/A</v>
      </c>
      <c r="D3" t="e">
        <f>IF(VLOOKUP($A3,BDDprix!A:D,4,FALSE)=0,"",VLOOKUP($A3,BDDprix!A:D,4,FALSE))</f>
        <v>#N/A</v>
      </c>
      <c r="E3" t="e">
        <f>IF(VLOOKUP($A3,BDDprix!A:E,5,FALSE)=0,"",VLOOKUP($A3,BDDprix!A:E,5,FALSE))</f>
        <v>#N/A</v>
      </c>
      <c r="F3" t="e">
        <f>IF(VLOOKUP($A3,BDDprix!A:F,6,FALSE)=0,"",VLOOKUP($A3,BDDprix!A:F,6,FALSE))</f>
        <v>#N/A</v>
      </c>
      <c r="G3" t="e">
        <f>IF(VLOOKUP($A3,BDDprix!A:G,7,FALSE)=0,"",VLOOKUP($A3,BDDprix!A:G,7,FALSE))</f>
        <v>#N/A</v>
      </c>
      <c r="H3" t="e">
        <f>IF(VLOOKUP($A3,BDDprix!A:H,8,FALSE)=0,"",VLOOKUP($A3,BDDprix!A:H,8,FALSE))</f>
        <v>#N/A</v>
      </c>
      <c r="I3" t="e">
        <f>IF(VLOOKUP($A3,BDDprix!A:I,9,FALSE)=0,"",VLOOKUP($A3,BDDprix!A:I,9,FALSE))</f>
        <v>#N/A</v>
      </c>
    </row>
    <row r="4" spans="1:9" x14ac:dyDescent="0.25">
      <c r="A4" t="str">
        <f>Newfacture!D14</f>
        <v/>
      </c>
      <c r="B4" t="e">
        <f>IF(VLOOKUP($A4,BDDprix!A:B,2,FALSE)=0,"",VLOOKUP($A4,BDDprix!A:B,2,FALSE))</f>
        <v>#N/A</v>
      </c>
      <c r="C4" t="e">
        <f>IF(VLOOKUP($A4,BDDprix!A:C,3,FALSE)=0,"",VLOOKUP($A4,BDDprix!A:C,3,FALSE))</f>
        <v>#N/A</v>
      </c>
      <c r="D4" t="e">
        <f>IF(VLOOKUP($A4,BDDprix!A:D,4,FALSE)=0,"",VLOOKUP($A4,BDDprix!A:D,4,FALSE))</f>
        <v>#N/A</v>
      </c>
      <c r="E4" t="e">
        <f>IF(VLOOKUP($A4,BDDprix!A:E,5,FALSE)=0,"",VLOOKUP($A4,BDDprix!A:E,5,FALSE))</f>
        <v>#N/A</v>
      </c>
      <c r="F4" t="e">
        <f>IF(VLOOKUP($A4,BDDprix!A:F,6,FALSE)=0,"",VLOOKUP($A4,BDDprix!A:F,6,FALSE))</f>
        <v>#N/A</v>
      </c>
      <c r="G4" t="e">
        <f>IF(VLOOKUP($A4,BDDprix!A:G,7,FALSE)=0,"",VLOOKUP($A4,BDDprix!A:G,7,FALSE))</f>
        <v>#N/A</v>
      </c>
      <c r="H4" t="e">
        <f>IF(VLOOKUP($A4,BDDprix!A:H,8,FALSE)=0,"",VLOOKUP($A4,BDDprix!A:H,8,FALSE))</f>
        <v>#N/A</v>
      </c>
      <c r="I4" t="e">
        <f>IF(VLOOKUP($A4,BDDprix!A:I,9,FALSE)=0,"",VLOOKUP($A4,BDDprix!A:I,9,FALSE))</f>
        <v>#N/A</v>
      </c>
    </row>
    <row r="5" spans="1:9" x14ac:dyDescent="0.25">
      <c r="A5" t="str">
        <f>Newfacture!D15</f>
        <v/>
      </c>
      <c r="B5" t="e">
        <f>IF(VLOOKUP($A5,BDDprix!A:B,2,FALSE)=0,"",VLOOKUP($A5,BDDprix!A:B,2,FALSE))</f>
        <v>#N/A</v>
      </c>
      <c r="C5" t="e">
        <f>IF(VLOOKUP($A5,BDDprix!A:C,3,FALSE)=0,"",VLOOKUP($A5,BDDprix!A:C,3,FALSE))</f>
        <v>#N/A</v>
      </c>
      <c r="D5" t="e">
        <f>IF(VLOOKUP($A5,BDDprix!A:D,4,FALSE)=0,"",VLOOKUP($A5,BDDprix!A:D,4,FALSE))</f>
        <v>#N/A</v>
      </c>
      <c r="E5" t="e">
        <f>IF(VLOOKUP($A5,BDDprix!A:E,5,FALSE)=0,"",VLOOKUP($A5,BDDprix!A:E,5,FALSE))</f>
        <v>#N/A</v>
      </c>
      <c r="F5" t="e">
        <f>IF(VLOOKUP($A5,BDDprix!A:F,6,FALSE)=0,"",VLOOKUP($A5,BDDprix!A:F,6,FALSE))</f>
        <v>#N/A</v>
      </c>
      <c r="G5" t="e">
        <f>IF(VLOOKUP($A5,BDDprix!A:G,7,FALSE)=0,"",VLOOKUP($A5,BDDprix!A:G,7,FALSE))</f>
        <v>#N/A</v>
      </c>
      <c r="H5" t="e">
        <f>IF(VLOOKUP($A5,BDDprix!A:H,8,FALSE)=0,"",VLOOKUP($A5,BDDprix!A:H,8,FALSE))</f>
        <v>#N/A</v>
      </c>
      <c r="I5" t="e">
        <f>IF(VLOOKUP($A5,BDDprix!A:I,9,FALSE)=0,"",VLOOKUP($A5,BDDprix!A:I,9,FALSE))</f>
        <v>#N/A</v>
      </c>
    </row>
    <row r="6" spans="1:9" x14ac:dyDescent="0.25">
      <c r="A6" t="str">
        <f>Newfacture!D16</f>
        <v/>
      </c>
      <c r="B6" t="e">
        <f>IF(VLOOKUP($A6,BDDprix!A:B,2,FALSE)=0,"",VLOOKUP($A6,BDDprix!A:B,2,FALSE))</f>
        <v>#N/A</v>
      </c>
      <c r="C6" t="e">
        <f>IF(VLOOKUP($A6,BDDprix!A:C,3,FALSE)=0,"",VLOOKUP($A6,BDDprix!A:C,3,FALSE))</f>
        <v>#N/A</v>
      </c>
      <c r="D6" t="e">
        <f>IF(VLOOKUP($A6,BDDprix!A:D,4,FALSE)=0,"",VLOOKUP($A6,BDDprix!A:D,4,FALSE))</f>
        <v>#N/A</v>
      </c>
      <c r="E6" t="e">
        <f>IF(VLOOKUP($A6,BDDprix!A:E,5,FALSE)=0,"",VLOOKUP($A6,BDDprix!A:E,5,FALSE))</f>
        <v>#N/A</v>
      </c>
      <c r="F6" t="e">
        <f>IF(VLOOKUP($A6,BDDprix!A:F,6,FALSE)=0,"",VLOOKUP($A6,BDDprix!A:F,6,FALSE))</f>
        <v>#N/A</v>
      </c>
      <c r="G6" t="e">
        <f>IF(VLOOKUP($A6,BDDprix!A:G,7,FALSE)=0,"",VLOOKUP($A6,BDDprix!A:G,7,FALSE))</f>
        <v>#N/A</v>
      </c>
      <c r="H6" t="e">
        <f>IF(VLOOKUP($A6,BDDprix!A:H,8,FALSE)=0,"",VLOOKUP($A6,BDDprix!A:H,8,FALSE))</f>
        <v>#N/A</v>
      </c>
      <c r="I6" t="e">
        <f>IF(VLOOKUP($A6,BDDprix!A:I,9,FALSE)=0,"",VLOOKUP($A6,BDDprix!A:I,9,FALSE))</f>
        <v>#N/A</v>
      </c>
    </row>
    <row r="7" spans="1:9" x14ac:dyDescent="0.25">
      <c r="A7" t="str">
        <f>Newfacture!D17</f>
        <v/>
      </c>
      <c r="B7" t="e">
        <f>IF(VLOOKUP($A7,BDDprix!A:B,2,FALSE)=0,"",VLOOKUP($A7,BDDprix!A:B,2,FALSE))</f>
        <v>#N/A</v>
      </c>
      <c r="C7" t="e">
        <f>IF(VLOOKUP($A7,BDDprix!A:C,3,FALSE)=0,"",VLOOKUP($A7,BDDprix!A:C,3,FALSE))</f>
        <v>#N/A</v>
      </c>
      <c r="D7" t="e">
        <f>IF(VLOOKUP($A7,BDDprix!A:D,4,FALSE)=0,"",VLOOKUP($A7,BDDprix!A:D,4,FALSE))</f>
        <v>#N/A</v>
      </c>
      <c r="E7" t="e">
        <f>IF(VLOOKUP($A7,BDDprix!A:E,5,FALSE)=0,"",VLOOKUP($A7,BDDprix!A:E,5,FALSE))</f>
        <v>#N/A</v>
      </c>
      <c r="F7" t="e">
        <f>IF(VLOOKUP($A7,BDDprix!A:F,6,FALSE)=0,"",VLOOKUP($A7,BDDprix!A:F,6,FALSE))</f>
        <v>#N/A</v>
      </c>
      <c r="G7" t="e">
        <f>IF(VLOOKUP($A7,BDDprix!A:G,7,FALSE)=0,"",VLOOKUP($A7,BDDprix!A:G,7,FALSE))</f>
        <v>#N/A</v>
      </c>
      <c r="H7" t="e">
        <f>IF(VLOOKUP($A7,BDDprix!A:H,8,FALSE)=0,"",VLOOKUP($A7,BDDprix!A:H,8,FALSE))</f>
        <v>#N/A</v>
      </c>
      <c r="I7" t="e">
        <f>IF(VLOOKUP($A7,BDDprix!A:I,9,FALSE)=0,"",VLOOKUP($A7,BDDprix!A:I,9,FALSE))</f>
        <v>#N/A</v>
      </c>
    </row>
    <row r="8" spans="1:9" x14ac:dyDescent="0.25">
      <c r="A8" t="str">
        <f>Newfacture!D18</f>
        <v/>
      </c>
      <c r="B8" t="e">
        <f>IF(VLOOKUP($A8,BDDprix!A:B,2,FALSE)=0,"",VLOOKUP($A8,BDDprix!A:B,2,FALSE))</f>
        <v>#N/A</v>
      </c>
      <c r="C8" t="e">
        <f>IF(VLOOKUP($A8,BDDprix!A:C,3,FALSE)=0,"",VLOOKUP($A8,BDDprix!A:C,3,FALSE))</f>
        <v>#N/A</v>
      </c>
      <c r="D8" t="e">
        <f>IF(VLOOKUP($A8,BDDprix!A:D,4,FALSE)=0,"",VLOOKUP($A8,BDDprix!A:D,4,FALSE))</f>
        <v>#N/A</v>
      </c>
      <c r="E8" t="e">
        <f>IF(VLOOKUP($A8,BDDprix!A:E,5,FALSE)=0,"",VLOOKUP($A8,BDDprix!A:E,5,FALSE))</f>
        <v>#N/A</v>
      </c>
      <c r="F8" t="e">
        <f>IF(VLOOKUP($A8,BDDprix!A:F,6,FALSE)=0,"",VLOOKUP($A8,BDDprix!A:F,6,FALSE))</f>
        <v>#N/A</v>
      </c>
      <c r="G8" t="e">
        <f>IF(VLOOKUP($A8,BDDprix!A:G,7,FALSE)=0,"",VLOOKUP($A8,BDDprix!A:G,7,FALSE))</f>
        <v>#N/A</v>
      </c>
      <c r="H8" t="e">
        <f>IF(VLOOKUP($A8,BDDprix!A:H,8,FALSE)=0,"",VLOOKUP($A8,BDDprix!A:H,8,FALSE))</f>
        <v>#N/A</v>
      </c>
      <c r="I8" t="e">
        <f>IF(VLOOKUP($A8,BDDprix!A:I,9,FALSE)=0,"",VLOOKUP($A8,BDDprix!A:I,9,FALSE))</f>
        <v>#N/A</v>
      </c>
    </row>
    <row r="9" spans="1:9" x14ac:dyDescent="0.25">
      <c r="A9" t="str">
        <f>Newfacture!D19</f>
        <v/>
      </c>
      <c r="B9" t="e">
        <f>IF(VLOOKUP($A9,BDDprix!A:B,2,FALSE)=0,"",VLOOKUP($A9,BDDprix!A:B,2,FALSE))</f>
        <v>#N/A</v>
      </c>
      <c r="C9" t="e">
        <f>IF(VLOOKUP($A9,BDDprix!A:C,3,FALSE)=0,"",VLOOKUP($A9,BDDprix!A:C,3,FALSE))</f>
        <v>#N/A</v>
      </c>
      <c r="D9" t="e">
        <f>IF(VLOOKUP($A9,BDDprix!A:D,4,FALSE)=0,"",VLOOKUP($A9,BDDprix!A:D,4,FALSE))</f>
        <v>#N/A</v>
      </c>
      <c r="E9" t="e">
        <f>IF(VLOOKUP($A9,BDDprix!A:E,5,FALSE)=0,"",VLOOKUP($A9,BDDprix!A:E,5,FALSE))</f>
        <v>#N/A</v>
      </c>
      <c r="F9" t="e">
        <f>IF(VLOOKUP($A9,BDDprix!A:F,6,FALSE)=0,"",VLOOKUP($A9,BDDprix!A:F,6,FALSE))</f>
        <v>#N/A</v>
      </c>
      <c r="G9" t="e">
        <f>IF(VLOOKUP($A9,BDDprix!A:G,7,FALSE)=0,"",VLOOKUP($A9,BDDprix!A:G,7,FALSE))</f>
        <v>#N/A</v>
      </c>
      <c r="H9" t="e">
        <f>IF(VLOOKUP($A9,BDDprix!A:H,8,FALSE)=0,"",VLOOKUP($A9,BDDprix!A:H,8,FALSE))</f>
        <v>#N/A</v>
      </c>
      <c r="I9" t="e">
        <f>IF(VLOOKUP($A9,BDDprix!A:I,9,FALSE)=0,"",VLOOKUP($A9,BDDprix!A:I,9,FALSE))</f>
        <v>#N/A</v>
      </c>
    </row>
    <row r="10" spans="1:9" x14ac:dyDescent="0.25">
      <c r="A10" t="str">
        <f>Newfacture!D20</f>
        <v/>
      </c>
      <c r="B10" t="e">
        <f>IF(VLOOKUP($A10,BDDprix!A:B,2,FALSE)=0,"",VLOOKUP($A10,BDDprix!A:B,2,FALSE))</f>
        <v>#N/A</v>
      </c>
      <c r="C10" t="e">
        <f>IF(VLOOKUP($A10,BDDprix!A:C,3,FALSE)=0,"",VLOOKUP($A10,BDDprix!A:C,3,FALSE))</f>
        <v>#N/A</v>
      </c>
      <c r="D10" t="e">
        <f>IF(VLOOKUP($A10,BDDprix!A:D,4,FALSE)=0,"",VLOOKUP($A10,BDDprix!A:D,4,FALSE))</f>
        <v>#N/A</v>
      </c>
      <c r="E10" t="e">
        <f>IF(VLOOKUP($A10,BDDprix!A:E,5,FALSE)=0,"",VLOOKUP($A10,BDDprix!A:E,5,FALSE))</f>
        <v>#N/A</v>
      </c>
      <c r="F10" t="e">
        <f>IF(VLOOKUP($A10,BDDprix!A:F,6,FALSE)=0,"",VLOOKUP($A10,BDDprix!A:F,6,FALSE))</f>
        <v>#N/A</v>
      </c>
      <c r="G10" t="e">
        <f>IF(VLOOKUP($A10,BDDprix!A:G,7,FALSE)=0,"",VLOOKUP($A10,BDDprix!A:G,7,FALSE))</f>
        <v>#N/A</v>
      </c>
      <c r="H10" t="e">
        <f>IF(VLOOKUP($A10,BDDprix!A:H,8,FALSE)=0,"",VLOOKUP($A10,BDDprix!A:H,8,FALSE))</f>
        <v>#N/A</v>
      </c>
      <c r="I10" t="e">
        <f>IF(VLOOKUP($A10,BDDprix!A:I,9,FALSE)=0,"",VLOOKUP($A10,BDDprix!A:I,9,FALSE))</f>
        <v>#N/A</v>
      </c>
    </row>
    <row r="11" spans="1:9" x14ac:dyDescent="0.25">
      <c r="A11" t="str">
        <f>Newfacture!D21</f>
        <v/>
      </c>
      <c r="B11" t="e">
        <f>IF(VLOOKUP($A11,BDDprix!A:B,2,FALSE)=0,"",VLOOKUP($A11,BDDprix!A:B,2,FALSE))</f>
        <v>#N/A</v>
      </c>
      <c r="C11" t="e">
        <f>IF(VLOOKUP($A11,BDDprix!A:C,3,FALSE)=0,"",VLOOKUP($A11,BDDprix!A:C,3,FALSE))</f>
        <v>#N/A</v>
      </c>
      <c r="D11" t="e">
        <f>IF(VLOOKUP($A11,BDDprix!A:D,4,FALSE)=0,"",VLOOKUP($A11,BDDprix!A:D,4,FALSE))</f>
        <v>#N/A</v>
      </c>
      <c r="E11" t="e">
        <f>IF(VLOOKUP($A11,BDDprix!A:E,5,FALSE)=0,"",VLOOKUP($A11,BDDprix!A:E,5,FALSE))</f>
        <v>#N/A</v>
      </c>
      <c r="F11" t="e">
        <f>IF(VLOOKUP($A11,BDDprix!A:F,6,FALSE)=0,"",VLOOKUP($A11,BDDprix!A:F,6,FALSE))</f>
        <v>#N/A</v>
      </c>
      <c r="G11" t="e">
        <f>IF(VLOOKUP($A11,BDDprix!A:G,7,FALSE)=0,"",VLOOKUP($A11,BDDprix!A:G,7,FALSE))</f>
        <v>#N/A</v>
      </c>
      <c r="H11" t="e">
        <f>IF(VLOOKUP($A11,BDDprix!A:H,8,FALSE)=0,"",VLOOKUP($A11,BDDprix!A:H,8,FALSE))</f>
        <v>#N/A</v>
      </c>
      <c r="I11" t="e">
        <f>IF(VLOOKUP($A11,BDDprix!A:I,9,FALSE)=0,"",VLOOKUP($A11,BDDprix!A:I,9,FALSE))</f>
        <v>#N/A</v>
      </c>
    </row>
    <row r="12" spans="1:9" x14ac:dyDescent="0.25">
      <c r="A12" t="str">
        <f>Newfacture!D22</f>
        <v/>
      </c>
      <c r="B12" t="e">
        <f>IF(VLOOKUP($A12,BDDprix!A:B,2,FALSE)=0,"",VLOOKUP($A12,BDDprix!A:B,2,FALSE))</f>
        <v>#N/A</v>
      </c>
      <c r="C12" t="e">
        <f>IF(VLOOKUP($A12,BDDprix!A:C,3,FALSE)=0,"",VLOOKUP($A12,BDDprix!A:C,3,FALSE))</f>
        <v>#N/A</v>
      </c>
      <c r="D12" t="e">
        <f>IF(VLOOKUP($A12,BDDprix!A:D,4,FALSE)=0,"",VLOOKUP($A12,BDDprix!A:D,4,FALSE))</f>
        <v>#N/A</v>
      </c>
      <c r="E12" t="e">
        <f>IF(VLOOKUP($A12,BDDprix!A:E,5,FALSE)=0,"",VLOOKUP($A12,BDDprix!A:E,5,FALSE))</f>
        <v>#N/A</v>
      </c>
      <c r="F12" t="e">
        <f>IF(VLOOKUP($A12,BDDprix!A:F,6,FALSE)=0,"",VLOOKUP($A12,BDDprix!A:F,6,FALSE))</f>
        <v>#N/A</v>
      </c>
      <c r="G12" t="e">
        <f>IF(VLOOKUP($A12,BDDprix!A:G,7,FALSE)=0,"",VLOOKUP($A12,BDDprix!A:G,7,FALSE))</f>
        <v>#N/A</v>
      </c>
      <c r="H12" t="e">
        <f>IF(VLOOKUP($A12,BDDprix!A:H,8,FALSE)=0,"",VLOOKUP($A12,BDDprix!A:H,8,FALSE))</f>
        <v>#N/A</v>
      </c>
      <c r="I12" t="e">
        <f>IF(VLOOKUP($A12,BDDprix!A:I,9,FALSE)=0,"",VLOOKUP($A12,BDDprix!A:I,9,FALSE))</f>
        <v>#N/A</v>
      </c>
    </row>
    <row r="13" spans="1:9" x14ac:dyDescent="0.25">
      <c r="A13" t="str">
        <f>Newfacture!D23</f>
        <v/>
      </c>
      <c r="B13" t="e">
        <f>IF(VLOOKUP($A13,BDDprix!A:B,2,FALSE)=0,"",VLOOKUP($A13,BDDprix!A:B,2,FALSE))</f>
        <v>#N/A</v>
      </c>
      <c r="C13" t="e">
        <f>IF(VLOOKUP($A13,BDDprix!A:C,3,FALSE)=0,"",VLOOKUP($A13,BDDprix!A:C,3,FALSE))</f>
        <v>#N/A</v>
      </c>
      <c r="D13" t="e">
        <f>IF(VLOOKUP($A13,BDDprix!A:D,4,FALSE)=0,"",VLOOKUP($A13,BDDprix!A:D,4,FALSE))</f>
        <v>#N/A</v>
      </c>
      <c r="E13" t="e">
        <f>IF(VLOOKUP($A13,BDDprix!A:E,5,FALSE)=0,"",VLOOKUP($A13,BDDprix!A:E,5,FALSE))</f>
        <v>#N/A</v>
      </c>
      <c r="F13" t="e">
        <f>IF(VLOOKUP($A13,BDDprix!A:F,6,FALSE)=0,"",VLOOKUP($A13,BDDprix!A:F,6,FALSE))</f>
        <v>#N/A</v>
      </c>
      <c r="G13" t="e">
        <f>IF(VLOOKUP($A13,BDDprix!A:G,7,FALSE)=0,"",VLOOKUP($A13,BDDprix!A:G,7,FALSE))</f>
        <v>#N/A</v>
      </c>
      <c r="H13" t="e">
        <f>IF(VLOOKUP($A13,BDDprix!A:H,8,FALSE)=0,"",VLOOKUP($A13,BDDprix!A:H,8,FALSE))</f>
        <v>#N/A</v>
      </c>
      <c r="I13" t="e">
        <f>IF(VLOOKUP($A13,BDDprix!A:I,9,FALSE)=0,"",VLOOKUP($A13,BDDprix!A:I,9,FALSE))</f>
        <v>#N/A</v>
      </c>
    </row>
    <row r="14" spans="1:9" x14ac:dyDescent="0.25">
      <c r="A14" t="str">
        <f>Newfacture!D24</f>
        <v/>
      </c>
      <c r="B14" t="e">
        <f>IF(VLOOKUP($A14,BDDprix!A:B,2,FALSE)=0,"",VLOOKUP($A14,BDDprix!A:B,2,FALSE))</f>
        <v>#N/A</v>
      </c>
      <c r="C14" t="e">
        <f>IF(VLOOKUP($A14,BDDprix!A:C,3,FALSE)=0,"",VLOOKUP($A14,BDDprix!A:C,3,FALSE))</f>
        <v>#N/A</v>
      </c>
      <c r="D14" t="e">
        <f>IF(VLOOKUP($A14,BDDprix!A:D,4,FALSE)=0,"",VLOOKUP($A14,BDDprix!A:D,4,FALSE))</f>
        <v>#N/A</v>
      </c>
      <c r="E14" t="e">
        <f>IF(VLOOKUP($A14,BDDprix!A:E,5,FALSE)=0,"",VLOOKUP($A14,BDDprix!A:E,5,FALSE))</f>
        <v>#N/A</v>
      </c>
      <c r="F14" t="e">
        <f>IF(VLOOKUP($A14,BDDprix!A:F,6,FALSE)=0,"",VLOOKUP($A14,BDDprix!A:F,6,FALSE))</f>
        <v>#N/A</v>
      </c>
      <c r="G14" t="e">
        <f>IF(VLOOKUP($A14,BDDprix!A:G,7,FALSE)=0,"",VLOOKUP($A14,BDDprix!A:G,7,FALSE))</f>
        <v>#N/A</v>
      </c>
      <c r="H14" t="e">
        <f>IF(VLOOKUP($A14,BDDprix!A:H,8,FALSE)=0,"",VLOOKUP($A14,BDDprix!A:H,8,FALSE))</f>
        <v>#N/A</v>
      </c>
      <c r="I14" t="e">
        <f>IF(VLOOKUP($A14,BDDprix!A:I,9,FALSE)=0,"",VLOOKUP($A14,BDDprix!A:I,9,FALSE))</f>
        <v>#N/A</v>
      </c>
    </row>
    <row r="15" spans="1:9" x14ac:dyDescent="0.25">
      <c r="A15" t="str">
        <f>Newfacture!D25</f>
        <v/>
      </c>
      <c r="B15" t="e">
        <f>IF(VLOOKUP($A15,BDDprix!A:B,2,FALSE)=0,"",VLOOKUP($A15,BDDprix!A:B,2,FALSE))</f>
        <v>#N/A</v>
      </c>
      <c r="C15" t="e">
        <f>IF(VLOOKUP($A15,BDDprix!A:C,3,FALSE)=0,"",VLOOKUP($A15,BDDprix!A:C,3,FALSE))</f>
        <v>#N/A</v>
      </c>
      <c r="D15" t="e">
        <f>IF(VLOOKUP($A15,BDDprix!A:D,4,FALSE)=0,"",VLOOKUP($A15,BDDprix!A:D,4,FALSE))</f>
        <v>#N/A</v>
      </c>
      <c r="E15" t="e">
        <f>IF(VLOOKUP($A15,BDDprix!A:E,5,FALSE)=0,"",VLOOKUP($A15,BDDprix!A:E,5,FALSE))</f>
        <v>#N/A</v>
      </c>
      <c r="F15" t="e">
        <f>IF(VLOOKUP($A15,BDDprix!A:F,6,FALSE)=0,"",VLOOKUP($A15,BDDprix!A:F,6,FALSE))</f>
        <v>#N/A</v>
      </c>
      <c r="G15" t="e">
        <f>IF(VLOOKUP($A15,BDDprix!A:G,7,FALSE)=0,"",VLOOKUP($A15,BDDprix!A:G,7,FALSE))</f>
        <v>#N/A</v>
      </c>
      <c r="H15" t="e">
        <f>IF(VLOOKUP($A15,BDDprix!A:H,8,FALSE)=0,"",VLOOKUP($A15,BDDprix!A:H,8,FALSE))</f>
        <v>#N/A</v>
      </c>
      <c r="I15" t="e">
        <f>IF(VLOOKUP($A15,BDDprix!A:I,9,FALSE)=0,"",VLOOKUP($A15,BDDprix!A:I,9,FALSE))</f>
        <v>#N/A</v>
      </c>
    </row>
    <row r="16" spans="1:9" x14ac:dyDescent="0.25">
      <c r="A16" t="str">
        <f>Newfacture!D26</f>
        <v/>
      </c>
      <c r="B16" t="e">
        <f>IF(VLOOKUP($A16,BDDprix!A:B,2,FALSE)=0,"",VLOOKUP($A16,BDDprix!A:B,2,FALSE))</f>
        <v>#N/A</v>
      </c>
      <c r="C16" t="e">
        <f>IF(VLOOKUP($A16,BDDprix!A:C,3,FALSE)=0,"",VLOOKUP($A16,BDDprix!A:C,3,FALSE))</f>
        <v>#N/A</v>
      </c>
      <c r="D16" t="e">
        <f>IF(VLOOKUP($A16,BDDprix!A:D,4,FALSE)=0,"",VLOOKUP($A16,BDDprix!A:D,4,FALSE))</f>
        <v>#N/A</v>
      </c>
      <c r="E16" t="e">
        <f>IF(VLOOKUP($A16,BDDprix!A:E,5,FALSE)=0,"",VLOOKUP($A16,BDDprix!A:E,5,FALSE))</f>
        <v>#N/A</v>
      </c>
      <c r="F16" t="e">
        <f>IF(VLOOKUP($A16,BDDprix!A:F,6,FALSE)=0,"",VLOOKUP($A16,BDDprix!A:F,6,FALSE))</f>
        <v>#N/A</v>
      </c>
      <c r="G16" t="e">
        <f>IF(VLOOKUP($A16,BDDprix!A:G,7,FALSE)=0,"",VLOOKUP($A16,BDDprix!A:G,7,FALSE))</f>
        <v>#N/A</v>
      </c>
      <c r="H16" t="e">
        <f>IF(VLOOKUP($A16,BDDprix!A:H,8,FALSE)=0,"",VLOOKUP($A16,BDDprix!A:H,8,FALSE))</f>
        <v>#N/A</v>
      </c>
      <c r="I16" t="e">
        <f>IF(VLOOKUP($A16,BDDprix!A:I,9,FALSE)=0,"",VLOOKUP($A16,BDDprix!A:I,9,FALSE))</f>
        <v>#N/A</v>
      </c>
    </row>
    <row r="17" spans="1:9" x14ac:dyDescent="0.25">
      <c r="A17" t="str">
        <f>Newfacture!D27</f>
        <v/>
      </c>
      <c r="B17" t="e">
        <f>IF(VLOOKUP($A17,BDDprix!A:B,2,FALSE)=0,"",VLOOKUP($A17,BDDprix!A:B,2,FALSE))</f>
        <v>#N/A</v>
      </c>
      <c r="C17" t="e">
        <f>IF(VLOOKUP($A17,BDDprix!A:C,3,FALSE)=0,"",VLOOKUP($A17,BDDprix!A:C,3,FALSE))</f>
        <v>#N/A</v>
      </c>
      <c r="D17" t="e">
        <f>IF(VLOOKUP($A17,BDDprix!A:D,4,FALSE)=0,"",VLOOKUP($A17,BDDprix!A:D,4,FALSE))</f>
        <v>#N/A</v>
      </c>
      <c r="E17" t="e">
        <f>IF(VLOOKUP($A17,BDDprix!A:E,5,FALSE)=0,"",VLOOKUP($A17,BDDprix!A:E,5,FALSE))</f>
        <v>#N/A</v>
      </c>
      <c r="F17" t="e">
        <f>IF(VLOOKUP($A17,BDDprix!A:F,6,FALSE)=0,"",VLOOKUP($A17,BDDprix!A:F,6,FALSE))</f>
        <v>#N/A</v>
      </c>
      <c r="G17" t="e">
        <f>IF(VLOOKUP($A17,BDDprix!A:G,7,FALSE)=0,"",VLOOKUP($A17,BDDprix!A:G,7,FALSE))</f>
        <v>#N/A</v>
      </c>
      <c r="H17" t="e">
        <f>IF(VLOOKUP($A17,BDDprix!A:H,8,FALSE)=0,"",VLOOKUP($A17,BDDprix!A:H,8,FALSE))</f>
        <v>#N/A</v>
      </c>
      <c r="I17" t="e">
        <f>IF(VLOOKUP($A17,BDDprix!A:I,9,FALSE)=0,"",VLOOKUP($A17,BDDprix!A:I,9,FALSE))</f>
        <v>#N/A</v>
      </c>
    </row>
    <row r="18" spans="1:9" x14ac:dyDescent="0.25">
      <c r="A18" t="str">
        <f>Newfacture!D28</f>
        <v/>
      </c>
      <c r="B18" t="e">
        <f>IF(VLOOKUP($A18,BDDprix!A:B,2,FALSE)=0,"",VLOOKUP($A18,BDDprix!A:B,2,FALSE))</f>
        <v>#N/A</v>
      </c>
      <c r="C18" t="e">
        <f>IF(VLOOKUP($A18,BDDprix!A:C,3,FALSE)=0,"",VLOOKUP($A18,BDDprix!A:C,3,FALSE))</f>
        <v>#N/A</v>
      </c>
      <c r="D18" t="e">
        <f>IF(VLOOKUP($A18,BDDprix!A:D,4,FALSE)=0,"",VLOOKUP($A18,BDDprix!A:D,4,FALSE))</f>
        <v>#N/A</v>
      </c>
      <c r="E18" t="e">
        <f>IF(VLOOKUP($A18,BDDprix!A:E,5,FALSE)=0,"",VLOOKUP($A18,BDDprix!A:E,5,FALSE))</f>
        <v>#N/A</v>
      </c>
      <c r="F18" t="e">
        <f>IF(VLOOKUP($A18,BDDprix!A:F,6,FALSE)=0,"",VLOOKUP($A18,BDDprix!A:F,6,FALSE))</f>
        <v>#N/A</v>
      </c>
      <c r="G18" t="e">
        <f>IF(VLOOKUP($A18,BDDprix!A:G,7,FALSE)=0,"",VLOOKUP($A18,BDDprix!A:G,7,FALSE))</f>
        <v>#N/A</v>
      </c>
      <c r="H18" t="e">
        <f>IF(VLOOKUP($A18,BDDprix!A:H,8,FALSE)=0,"",VLOOKUP($A18,BDDprix!A:H,8,FALSE))</f>
        <v>#N/A</v>
      </c>
      <c r="I18" t="e">
        <f>IF(VLOOKUP($A18,BDDprix!A:I,9,FALSE)=0,"",VLOOKUP($A18,BDDprix!A:I,9,FALSE))</f>
        <v>#N/A</v>
      </c>
    </row>
    <row r="19" spans="1:9" x14ac:dyDescent="0.25">
      <c r="A19" t="str">
        <f>Newfacture!D29</f>
        <v/>
      </c>
      <c r="B19" t="e">
        <f>IF(VLOOKUP($A19,BDDprix!A:B,2,FALSE)=0,"",VLOOKUP($A19,BDDprix!A:B,2,FALSE))</f>
        <v>#N/A</v>
      </c>
      <c r="C19" t="e">
        <f>IF(VLOOKUP($A19,BDDprix!A:C,3,FALSE)=0,"",VLOOKUP($A19,BDDprix!A:C,3,FALSE))</f>
        <v>#N/A</v>
      </c>
      <c r="D19" t="e">
        <f>IF(VLOOKUP($A19,BDDprix!A:D,4,FALSE)=0,"",VLOOKUP($A19,BDDprix!A:D,4,FALSE))</f>
        <v>#N/A</v>
      </c>
      <c r="E19" t="e">
        <f>IF(VLOOKUP($A19,BDDprix!A:E,5,FALSE)=0,"",VLOOKUP($A19,BDDprix!A:E,5,FALSE))</f>
        <v>#N/A</v>
      </c>
      <c r="F19" t="e">
        <f>IF(VLOOKUP($A19,BDDprix!A:F,6,FALSE)=0,"",VLOOKUP($A19,BDDprix!A:F,6,FALSE))</f>
        <v>#N/A</v>
      </c>
      <c r="G19" t="e">
        <f>IF(VLOOKUP($A19,BDDprix!A:G,7,FALSE)=0,"",VLOOKUP($A19,BDDprix!A:G,7,FALSE))</f>
        <v>#N/A</v>
      </c>
      <c r="H19" t="e">
        <f>IF(VLOOKUP($A19,BDDprix!A:H,8,FALSE)=0,"",VLOOKUP($A19,BDDprix!A:H,8,FALSE))</f>
        <v>#N/A</v>
      </c>
      <c r="I19" t="e">
        <f>IF(VLOOKUP($A19,BDDprix!A:I,9,FALSE)=0,"",VLOOKUP($A19,BDDprix!A:I,9,FALSE))</f>
        <v>#N/A</v>
      </c>
    </row>
    <row r="20" spans="1:9" x14ac:dyDescent="0.25">
      <c r="A20" t="str">
        <f>Newfacture!D57</f>
        <v/>
      </c>
      <c r="B20" t="e">
        <f>IF(VLOOKUP($A20,BDDprix!A:B,2,FALSE)=0,"",VLOOKUP($A20,BDDprix!A:B,2,FALSE))</f>
        <v>#N/A</v>
      </c>
      <c r="C20" t="e">
        <f>IF(VLOOKUP($A20,BDDprix!A:C,3,FALSE)=0,"",VLOOKUP($A20,BDDprix!A:C,3,FALSE))</f>
        <v>#N/A</v>
      </c>
      <c r="D20" t="e">
        <f>IF(VLOOKUP($A20,BDDprix!A:D,4,FALSE)=0,"",VLOOKUP($A20,BDDprix!A:D,4,FALSE))</f>
        <v>#N/A</v>
      </c>
      <c r="E20" t="e">
        <f>IF(VLOOKUP($A20,BDDprix!A:E,5,FALSE)=0,"",VLOOKUP($A20,BDDprix!A:E,5,FALSE))</f>
        <v>#N/A</v>
      </c>
      <c r="F20" t="e">
        <f>IF(VLOOKUP($A20,BDDprix!A:F,6,FALSE)=0,"",VLOOKUP($A20,BDDprix!A:F,6,FALSE))</f>
        <v>#N/A</v>
      </c>
      <c r="G20" t="e">
        <f>IF(VLOOKUP($A20,BDDprix!A:G,7,FALSE)=0,"",VLOOKUP($A20,BDDprix!A:G,7,FALSE))</f>
        <v>#N/A</v>
      </c>
      <c r="H20" t="e">
        <f>IF(VLOOKUP($A20,BDDprix!A:H,8,FALSE)=0,"",VLOOKUP($A20,BDDprix!A:H,8,FALSE))</f>
        <v>#N/A</v>
      </c>
      <c r="I20" t="e">
        <f>IF(VLOOKUP($A20,BDDprix!A:I,9,FALSE)=0,"",VLOOKUP($A20,BDDprix!A:I,9,FALSE))</f>
        <v>#N/A</v>
      </c>
    </row>
    <row r="21" spans="1:9" x14ac:dyDescent="0.25">
      <c r="A21" t="str">
        <f>Newfacture!D58</f>
        <v/>
      </c>
      <c r="B21" t="e">
        <f>IF(VLOOKUP($A21,BDDprix!A:B,2,FALSE)=0,"",VLOOKUP($A21,BDDprix!A:B,2,FALSE))</f>
        <v>#N/A</v>
      </c>
      <c r="C21" t="e">
        <f>IF(VLOOKUP($A21,BDDprix!A:C,3,FALSE)=0,"",VLOOKUP($A21,BDDprix!A:C,3,FALSE))</f>
        <v>#N/A</v>
      </c>
      <c r="D21" t="e">
        <f>IF(VLOOKUP($A21,BDDprix!A:D,4,FALSE)=0,"",VLOOKUP($A21,BDDprix!A:D,4,FALSE))</f>
        <v>#N/A</v>
      </c>
      <c r="E21" t="e">
        <f>IF(VLOOKUP($A21,BDDprix!A:E,5,FALSE)=0,"",VLOOKUP($A21,BDDprix!A:E,5,FALSE))</f>
        <v>#N/A</v>
      </c>
      <c r="F21" t="e">
        <f>IF(VLOOKUP($A21,BDDprix!A:F,6,FALSE)=0,"",VLOOKUP($A21,BDDprix!A:F,6,FALSE))</f>
        <v>#N/A</v>
      </c>
      <c r="G21" t="e">
        <f>IF(VLOOKUP($A21,BDDprix!A:G,7,FALSE)=0,"",VLOOKUP($A21,BDDprix!A:G,7,FALSE))</f>
        <v>#N/A</v>
      </c>
      <c r="H21" t="e">
        <f>IF(VLOOKUP($A21,BDDprix!A:H,8,FALSE)=0,"",VLOOKUP($A21,BDDprix!A:H,8,FALSE))</f>
        <v>#N/A</v>
      </c>
      <c r="I21" t="e">
        <f>IF(VLOOKUP($A21,BDDprix!A:I,9,FALSE)=0,"",VLOOKUP($A21,BDDprix!A:I,9,FALSE))</f>
        <v>#N/A</v>
      </c>
    </row>
    <row r="22" spans="1:9" x14ac:dyDescent="0.25">
      <c r="A22" t="str">
        <f>Newfacture!D59</f>
        <v/>
      </c>
      <c r="B22" t="e">
        <f>IF(VLOOKUP($A22,BDDprix!A:B,2,FALSE)=0,"",VLOOKUP($A22,BDDprix!A:B,2,FALSE))</f>
        <v>#N/A</v>
      </c>
      <c r="C22" t="e">
        <f>IF(VLOOKUP($A22,BDDprix!A:C,3,FALSE)=0,"",VLOOKUP($A22,BDDprix!A:C,3,FALSE))</f>
        <v>#N/A</v>
      </c>
      <c r="D22" t="e">
        <f>IF(VLOOKUP($A22,BDDprix!A:D,4,FALSE)=0,"",VLOOKUP($A22,BDDprix!A:D,4,FALSE))</f>
        <v>#N/A</v>
      </c>
      <c r="E22" t="e">
        <f>IF(VLOOKUP($A22,BDDprix!A:E,5,FALSE)=0,"",VLOOKUP($A22,BDDprix!A:E,5,FALSE))</f>
        <v>#N/A</v>
      </c>
      <c r="F22" t="e">
        <f>IF(VLOOKUP($A22,BDDprix!A:F,6,FALSE)=0,"",VLOOKUP($A22,BDDprix!A:F,6,FALSE))</f>
        <v>#N/A</v>
      </c>
      <c r="G22" t="e">
        <f>IF(VLOOKUP($A22,BDDprix!A:G,7,FALSE)=0,"",VLOOKUP($A22,BDDprix!A:G,7,FALSE))</f>
        <v>#N/A</v>
      </c>
      <c r="H22" t="e">
        <f>IF(VLOOKUP($A22,BDDprix!A:H,8,FALSE)=0,"",VLOOKUP($A22,BDDprix!A:H,8,FALSE))</f>
        <v>#N/A</v>
      </c>
      <c r="I22" t="e">
        <f>IF(VLOOKUP($A22,BDDprix!A:I,9,FALSE)=0,"",VLOOKUP($A22,BDDprix!A:I,9,FALSE))</f>
        <v>#N/A</v>
      </c>
    </row>
    <row r="23" spans="1:9" x14ac:dyDescent="0.25">
      <c r="A23" t="str">
        <f>Newfacture!D60</f>
        <v/>
      </c>
      <c r="B23" t="e">
        <f>IF(VLOOKUP($A23,BDDprix!A:B,2,FALSE)=0,"",VLOOKUP($A23,BDDprix!A:B,2,FALSE))</f>
        <v>#N/A</v>
      </c>
      <c r="C23" t="e">
        <f>IF(VLOOKUP($A23,BDDprix!A:C,3,FALSE)=0,"",VLOOKUP($A23,BDDprix!A:C,3,FALSE))</f>
        <v>#N/A</v>
      </c>
      <c r="D23" t="e">
        <f>IF(VLOOKUP($A23,BDDprix!A:D,4,FALSE)=0,"",VLOOKUP($A23,BDDprix!A:D,4,FALSE))</f>
        <v>#N/A</v>
      </c>
      <c r="E23" t="e">
        <f>IF(VLOOKUP($A23,BDDprix!A:E,5,FALSE)=0,"",VLOOKUP($A23,BDDprix!A:E,5,FALSE))</f>
        <v>#N/A</v>
      </c>
      <c r="F23" t="e">
        <f>IF(VLOOKUP($A23,BDDprix!A:F,6,FALSE)=0,"",VLOOKUP($A23,BDDprix!A:F,6,FALSE))</f>
        <v>#N/A</v>
      </c>
      <c r="G23" t="e">
        <f>IF(VLOOKUP($A23,BDDprix!A:G,7,FALSE)=0,"",VLOOKUP($A23,BDDprix!A:G,7,FALSE))</f>
        <v>#N/A</v>
      </c>
      <c r="H23" t="e">
        <f>IF(VLOOKUP($A23,BDDprix!A:H,8,FALSE)=0,"",VLOOKUP($A23,BDDprix!A:H,8,FALSE))</f>
        <v>#N/A</v>
      </c>
      <c r="I23" t="e">
        <f>IF(VLOOKUP($A23,BDDprix!A:I,9,FALSE)=0,"",VLOOKUP($A23,BDDprix!A:I,9,FALSE))</f>
        <v>#N/A</v>
      </c>
    </row>
    <row r="24" spans="1:9" x14ac:dyDescent="0.25">
      <c r="A24" t="str">
        <f>Newfacture!D61</f>
        <v/>
      </c>
      <c r="B24" t="e">
        <f>IF(VLOOKUP($A24,BDDprix!A:B,2,FALSE)=0,"",VLOOKUP($A24,BDDprix!A:B,2,FALSE))</f>
        <v>#N/A</v>
      </c>
      <c r="C24" t="e">
        <f>IF(VLOOKUP($A24,BDDprix!A:C,3,FALSE)=0,"",VLOOKUP($A24,BDDprix!A:C,3,FALSE))</f>
        <v>#N/A</v>
      </c>
      <c r="D24" t="e">
        <f>IF(VLOOKUP($A24,BDDprix!A:D,4,FALSE)=0,"",VLOOKUP($A24,BDDprix!A:D,4,FALSE))</f>
        <v>#N/A</v>
      </c>
      <c r="E24" t="e">
        <f>IF(VLOOKUP($A24,BDDprix!A:E,5,FALSE)=0,"",VLOOKUP($A24,BDDprix!A:E,5,FALSE))</f>
        <v>#N/A</v>
      </c>
      <c r="F24" t="e">
        <f>IF(VLOOKUP($A24,BDDprix!A:F,6,FALSE)=0,"",VLOOKUP($A24,BDDprix!A:F,6,FALSE))</f>
        <v>#N/A</v>
      </c>
      <c r="G24" t="e">
        <f>IF(VLOOKUP($A24,BDDprix!A:G,7,FALSE)=0,"",VLOOKUP($A24,BDDprix!A:G,7,FALSE))</f>
        <v>#N/A</v>
      </c>
      <c r="H24" t="e">
        <f>IF(VLOOKUP($A24,BDDprix!A:H,8,FALSE)=0,"",VLOOKUP($A24,BDDprix!A:H,8,FALSE))</f>
        <v>#N/A</v>
      </c>
      <c r="I24" t="e">
        <f>IF(VLOOKUP($A24,BDDprix!A:I,9,FALSE)=0,"",VLOOKUP($A24,BDDprix!A:I,9,FALSE))</f>
        <v>#N/A</v>
      </c>
    </row>
    <row r="25" spans="1:9" x14ac:dyDescent="0.25">
      <c r="A25" t="str">
        <f>Newfacture!D62</f>
        <v/>
      </c>
      <c r="B25" t="e">
        <f>IF(VLOOKUP($A25,BDDprix!A:B,2,FALSE)=0,"",VLOOKUP($A25,BDDprix!A:B,2,FALSE))</f>
        <v>#N/A</v>
      </c>
      <c r="C25" t="e">
        <f>IF(VLOOKUP($A25,BDDprix!A:C,3,FALSE)=0,"",VLOOKUP($A25,BDDprix!A:C,3,FALSE))</f>
        <v>#N/A</v>
      </c>
      <c r="D25" t="e">
        <f>IF(VLOOKUP($A25,BDDprix!A:D,4,FALSE)=0,"",VLOOKUP($A25,BDDprix!A:D,4,FALSE))</f>
        <v>#N/A</v>
      </c>
      <c r="E25" t="e">
        <f>IF(VLOOKUP($A25,BDDprix!A:E,5,FALSE)=0,"",VLOOKUP($A25,BDDprix!A:E,5,FALSE))</f>
        <v>#N/A</v>
      </c>
      <c r="F25" t="e">
        <f>IF(VLOOKUP($A25,BDDprix!A:F,6,FALSE)=0,"",VLOOKUP($A25,BDDprix!A:F,6,FALSE))</f>
        <v>#N/A</v>
      </c>
      <c r="G25" t="e">
        <f>IF(VLOOKUP($A25,BDDprix!A:G,7,FALSE)=0,"",VLOOKUP($A25,BDDprix!A:G,7,FALSE))</f>
        <v>#N/A</v>
      </c>
      <c r="H25" t="e">
        <f>IF(VLOOKUP($A25,BDDprix!A:H,8,FALSE)=0,"",VLOOKUP($A25,BDDprix!A:H,8,FALSE))</f>
        <v>#N/A</v>
      </c>
      <c r="I25" t="e">
        <f>IF(VLOOKUP($A25,BDDprix!A:I,9,FALSE)=0,"",VLOOKUP($A25,BDDprix!A:I,9,FALSE))</f>
        <v>#N/A</v>
      </c>
    </row>
    <row r="26" spans="1:9" x14ac:dyDescent="0.25">
      <c r="A26" t="str">
        <f>Newfacture!D63</f>
        <v/>
      </c>
      <c r="B26" t="e">
        <f>IF(VLOOKUP($A26,BDDprix!A:B,2,FALSE)=0,"",VLOOKUP($A26,BDDprix!A:B,2,FALSE))</f>
        <v>#N/A</v>
      </c>
      <c r="C26" t="e">
        <f>IF(VLOOKUP($A26,BDDprix!A:C,3,FALSE)=0,"",VLOOKUP($A26,BDDprix!A:C,3,FALSE))</f>
        <v>#N/A</v>
      </c>
      <c r="D26" t="e">
        <f>IF(VLOOKUP($A26,BDDprix!A:D,4,FALSE)=0,"",VLOOKUP($A26,BDDprix!A:D,4,FALSE))</f>
        <v>#N/A</v>
      </c>
      <c r="E26" t="e">
        <f>IF(VLOOKUP($A26,BDDprix!A:E,5,FALSE)=0,"",VLOOKUP($A26,BDDprix!A:E,5,FALSE))</f>
        <v>#N/A</v>
      </c>
      <c r="F26" t="e">
        <f>IF(VLOOKUP($A26,BDDprix!A:F,6,FALSE)=0,"",VLOOKUP($A26,BDDprix!A:F,6,FALSE))</f>
        <v>#N/A</v>
      </c>
      <c r="G26" t="e">
        <f>IF(VLOOKUP($A26,BDDprix!A:G,7,FALSE)=0,"",VLOOKUP($A26,BDDprix!A:G,7,FALSE))</f>
        <v>#N/A</v>
      </c>
      <c r="H26" t="e">
        <f>IF(VLOOKUP($A26,BDDprix!A:H,8,FALSE)=0,"",VLOOKUP($A26,BDDprix!A:H,8,FALSE))</f>
        <v>#N/A</v>
      </c>
      <c r="I26" t="e">
        <f>IF(VLOOKUP($A26,BDDprix!A:I,9,FALSE)=0,"",VLOOKUP($A26,BDDprix!A:I,9,FALSE))</f>
        <v>#N/A</v>
      </c>
    </row>
    <row r="27" spans="1:9" x14ac:dyDescent="0.25">
      <c r="A27" t="str">
        <f>Newfacture!D64</f>
        <v/>
      </c>
      <c r="B27" t="e">
        <f>IF(VLOOKUP($A27,BDDprix!A:B,2,FALSE)=0,"",VLOOKUP($A27,BDDprix!A:B,2,FALSE))</f>
        <v>#N/A</v>
      </c>
      <c r="C27" t="e">
        <f>IF(VLOOKUP($A27,BDDprix!A:C,3,FALSE)=0,"",VLOOKUP($A27,BDDprix!A:C,3,FALSE))</f>
        <v>#N/A</v>
      </c>
      <c r="D27" t="e">
        <f>IF(VLOOKUP($A27,BDDprix!A:D,4,FALSE)=0,"",VLOOKUP($A27,BDDprix!A:D,4,FALSE))</f>
        <v>#N/A</v>
      </c>
      <c r="E27" t="e">
        <f>IF(VLOOKUP($A27,BDDprix!A:E,5,FALSE)=0,"",VLOOKUP($A27,BDDprix!A:E,5,FALSE))</f>
        <v>#N/A</v>
      </c>
      <c r="F27" t="e">
        <f>IF(VLOOKUP($A27,BDDprix!A:F,6,FALSE)=0,"",VLOOKUP($A27,BDDprix!A:F,6,FALSE))</f>
        <v>#N/A</v>
      </c>
      <c r="G27" t="e">
        <f>IF(VLOOKUP($A27,BDDprix!A:G,7,FALSE)=0,"",VLOOKUP($A27,BDDprix!A:G,7,FALSE))</f>
        <v>#N/A</v>
      </c>
      <c r="H27" t="e">
        <f>IF(VLOOKUP($A27,BDDprix!A:H,8,FALSE)=0,"",VLOOKUP($A27,BDDprix!A:H,8,FALSE))</f>
        <v>#N/A</v>
      </c>
      <c r="I27" t="e">
        <f>IF(VLOOKUP($A27,BDDprix!A:I,9,FALSE)=0,"",VLOOKUP($A27,BDDprix!A:I,9,FALSE))</f>
        <v>#N/A</v>
      </c>
    </row>
    <row r="28" spans="1:9" x14ac:dyDescent="0.25">
      <c r="A28" t="str">
        <f>Newfacture!D65</f>
        <v/>
      </c>
      <c r="B28" t="e">
        <f>IF(VLOOKUP($A28,BDDprix!A:B,2,FALSE)=0,"",VLOOKUP($A28,BDDprix!A:B,2,FALSE))</f>
        <v>#N/A</v>
      </c>
      <c r="C28" t="e">
        <f>IF(VLOOKUP($A28,BDDprix!A:C,3,FALSE)=0,"",VLOOKUP($A28,BDDprix!A:C,3,FALSE))</f>
        <v>#N/A</v>
      </c>
      <c r="D28" t="e">
        <f>IF(VLOOKUP($A28,BDDprix!A:D,4,FALSE)=0,"",VLOOKUP($A28,BDDprix!A:D,4,FALSE))</f>
        <v>#N/A</v>
      </c>
      <c r="E28" t="e">
        <f>IF(VLOOKUP($A28,BDDprix!A:E,5,FALSE)=0,"",VLOOKUP($A28,BDDprix!A:E,5,FALSE))</f>
        <v>#N/A</v>
      </c>
      <c r="F28" t="e">
        <f>IF(VLOOKUP($A28,BDDprix!A:F,6,FALSE)=0,"",VLOOKUP($A28,BDDprix!A:F,6,FALSE))</f>
        <v>#N/A</v>
      </c>
      <c r="G28" t="e">
        <f>IF(VLOOKUP($A28,BDDprix!A:G,7,FALSE)=0,"",VLOOKUP($A28,BDDprix!A:G,7,FALSE))</f>
        <v>#N/A</v>
      </c>
      <c r="H28" t="e">
        <f>IF(VLOOKUP($A28,BDDprix!A:H,8,FALSE)=0,"",VLOOKUP($A28,BDDprix!A:H,8,FALSE))</f>
        <v>#N/A</v>
      </c>
      <c r="I28" t="e">
        <f>IF(VLOOKUP($A28,BDDprix!A:I,9,FALSE)=0,"",VLOOKUP($A28,BDDprix!A:I,9,FALSE))</f>
        <v>#N/A</v>
      </c>
    </row>
    <row r="29" spans="1:9" x14ac:dyDescent="0.25">
      <c r="A29" t="str">
        <f>Newfacture!D66</f>
        <v/>
      </c>
      <c r="B29" t="e">
        <f>IF(VLOOKUP($A29,BDDprix!A:B,2,FALSE)=0,"",VLOOKUP($A29,BDDprix!A:B,2,FALSE))</f>
        <v>#N/A</v>
      </c>
      <c r="C29" t="e">
        <f>IF(VLOOKUP($A29,BDDprix!A:C,3,FALSE)=0,"",VLOOKUP($A29,BDDprix!A:C,3,FALSE))</f>
        <v>#N/A</v>
      </c>
      <c r="D29" t="e">
        <f>IF(VLOOKUP($A29,BDDprix!A:D,4,FALSE)=0,"",VLOOKUP($A29,BDDprix!A:D,4,FALSE))</f>
        <v>#N/A</v>
      </c>
      <c r="E29" t="e">
        <f>IF(VLOOKUP($A29,BDDprix!A:E,5,FALSE)=0,"",VLOOKUP($A29,BDDprix!A:E,5,FALSE))</f>
        <v>#N/A</v>
      </c>
      <c r="F29" t="e">
        <f>IF(VLOOKUP($A29,BDDprix!A:F,6,FALSE)=0,"",VLOOKUP($A29,BDDprix!A:F,6,FALSE))</f>
        <v>#N/A</v>
      </c>
      <c r="G29" t="e">
        <f>IF(VLOOKUP($A29,BDDprix!A:G,7,FALSE)=0,"",VLOOKUP($A29,BDDprix!A:G,7,FALSE))</f>
        <v>#N/A</v>
      </c>
      <c r="H29" t="e">
        <f>IF(VLOOKUP($A29,BDDprix!A:H,8,FALSE)=0,"",VLOOKUP($A29,BDDprix!A:H,8,FALSE))</f>
        <v>#N/A</v>
      </c>
      <c r="I29" t="e">
        <f>IF(VLOOKUP($A29,BDDprix!A:I,9,FALSE)=0,"",VLOOKUP($A29,BDDprix!A:I,9,FALSE))</f>
        <v>#N/A</v>
      </c>
    </row>
    <row r="30" spans="1:9" x14ac:dyDescent="0.25">
      <c r="A30" t="str">
        <f>Newfacture!D67</f>
        <v/>
      </c>
      <c r="B30" t="e">
        <f>IF(VLOOKUP($A30,BDDprix!A:B,2,FALSE)=0,"",VLOOKUP($A30,BDDprix!A:B,2,FALSE))</f>
        <v>#N/A</v>
      </c>
      <c r="C30" t="e">
        <f>IF(VLOOKUP($A30,BDDprix!A:C,3,FALSE)=0,"",VLOOKUP($A30,BDDprix!A:C,3,FALSE))</f>
        <v>#N/A</v>
      </c>
      <c r="D30" t="e">
        <f>IF(VLOOKUP($A30,BDDprix!A:D,4,FALSE)=0,"",VLOOKUP($A30,BDDprix!A:D,4,FALSE))</f>
        <v>#N/A</v>
      </c>
      <c r="E30" t="e">
        <f>IF(VLOOKUP($A30,BDDprix!A:E,5,FALSE)=0,"",VLOOKUP($A30,BDDprix!A:E,5,FALSE))</f>
        <v>#N/A</v>
      </c>
      <c r="F30" t="e">
        <f>IF(VLOOKUP($A30,BDDprix!A:F,6,FALSE)=0,"",VLOOKUP($A30,BDDprix!A:F,6,FALSE))</f>
        <v>#N/A</v>
      </c>
      <c r="G30" t="e">
        <f>IF(VLOOKUP($A30,BDDprix!A:G,7,FALSE)=0,"",VLOOKUP($A30,BDDprix!A:G,7,FALSE))</f>
        <v>#N/A</v>
      </c>
      <c r="H30" t="e">
        <f>IF(VLOOKUP($A30,BDDprix!A:H,8,FALSE)=0,"",VLOOKUP($A30,BDDprix!A:H,8,FALSE))</f>
        <v>#N/A</v>
      </c>
      <c r="I30" t="e">
        <f>IF(VLOOKUP($A30,BDDprix!A:I,9,FALSE)=0,"",VLOOKUP($A30,BDDprix!A:I,9,FALSE))</f>
        <v>#N/A</v>
      </c>
    </row>
    <row r="31" spans="1:9" x14ac:dyDescent="0.25">
      <c r="A31" t="str">
        <f>Newfacture!D68</f>
        <v/>
      </c>
      <c r="B31" t="e">
        <f>IF(VLOOKUP($A31,BDDprix!A:B,2,FALSE)=0,"",VLOOKUP($A31,BDDprix!A:B,2,FALSE))</f>
        <v>#N/A</v>
      </c>
      <c r="C31" t="e">
        <f>IF(VLOOKUP($A31,BDDprix!A:C,3,FALSE)=0,"",VLOOKUP($A31,BDDprix!A:C,3,FALSE))</f>
        <v>#N/A</v>
      </c>
      <c r="D31" t="e">
        <f>IF(VLOOKUP($A31,BDDprix!A:D,4,FALSE)=0,"",VLOOKUP($A31,BDDprix!A:D,4,FALSE))</f>
        <v>#N/A</v>
      </c>
      <c r="E31" t="e">
        <f>IF(VLOOKUP($A31,BDDprix!A:E,5,FALSE)=0,"",VLOOKUP($A31,BDDprix!A:E,5,FALSE))</f>
        <v>#N/A</v>
      </c>
      <c r="F31" t="e">
        <f>IF(VLOOKUP($A31,BDDprix!A:F,6,FALSE)=0,"",VLOOKUP($A31,BDDprix!A:F,6,FALSE))</f>
        <v>#N/A</v>
      </c>
      <c r="G31" t="e">
        <f>IF(VLOOKUP($A31,BDDprix!A:G,7,FALSE)=0,"",VLOOKUP($A31,BDDprix!A:G,7,FALSE))</f>
        <v>#N/A</v>
      </c>
      <c r="H31" t="e">
        <f>IF(VLOOKUP($A31,BDDprix!A:H,8,FALSE)=0,"",VLOOKUP($A31,BDDprix!A:H,8,FALSE))</f>
        <v>#N/A</v>
      </c>
      <c r="I31" t="e">
        <f>IF(VLOOKUP($A31,BDDprix!A:I,9,FALSE)=0,"",VLOOKUP($A31,BDDprix!A:I,9,FALSE))</f>
        <v>#N/A</v>
      </c>
    </row>
    <row r="32" spans="1:9" x14ac:dyDescent="0.25">
      <c r="A32" t="str">
        <f>Newfacture!D69</f>
        <v/>
      </c>
      <c r="B32" t="e">
        <f>IF(VLOOKUP($A32,BDDprix!A:B,2,FALSE)=0,"",VLOOKUP($A32,BDDprix!A:B,2,FALSE))</f>
        <v>#N/A</v>
      </c>
      <c r="C32" t="e">
        <f>IF(VLOOKUP($A32,BDDprix!A:C,3,FALSE)=0,"",VLOOKUP($A32,BDDprix!A:C,3,FALSE))</f>
        <v>#N/A</v>
      </c>
      <c r="D32" t="e">
        <f>IF(VLOOKUP($A32,BDDprix!A:D,4,FALSE)=0,"",VLOOKUP($A32,BDDprix!A:D,4,FALSE))</f>
        <v>#N/A</v>
      </c>
      <c r="E32" t="e">
        <f>IF(VLOOKUP($A32,BDDprix!A:E,5,FALSE)=0,"",VLOOKUP($A32,BDDprix!A:E,5,FALSE))</f>
        <v>#N/A</v>
      </c>
      <c r="F32" t="e">
        <f>IF(VLOOKUP($A32,BDDprix!A:F,6,FALSE)=0,"",VLOOKUP($A32,BDDprix!A:F,6,FALSE))</f>
        <v>#N/A</v>
      </c>
      <c r="G32" t="e">
        <f>IF(VLOOKUP($A32,BDDprix!A:G,7,FALSE)=0,"",VLOOKUP($A32,BDDprix!A:G,7,FALSE))</f>
        <v>#N/A</v>
      </c>
      <c r="H32" t="e">
        <f>IF(VLOOKUP($A32,BDDprix!A:H,8,FALSE)=0,"",VLOOKUP($A32,BDDprix!A:H,8,FALSE))</f>
        <v>#N/A</v>
      </c>
      <c r="I32" t="e">
        <f>IF(VLOOKUP($A32,BDDprix!A:I,9,FALSE)=0,"",VLOOKUP($A32,BDDprix!A:I,9,FALSE))</f>
        <v>#N/A</v>
      </c>
    </row>
    <row r="33" spans="1:9" x14ac:dyDescent="0.25">
      <c r="A33" t="str">
        <f>Newfacture!D70</f>
        <v/>
      </c>
      <c r="B33" t="e">
        <f>IF(VLOOKUP($A33,BDDprix!A:B,2,FALSE)=0,"",VLOOKUP($A33,BDDprix!A:B,2,FALSE))</f>
        <v>#N/A</v>
      </c>
      <c r="C33" t="e">
        <f>IF(VLOOKUP($A33,BDDprix!A:C,3,FALSE)=0,"",VLOOKUP($A33,BDDprix!A:C,3,FALSE))</f>
        <v>#N/A</v>
      </c>
      <c r="D33" t="e">
        <f>IF(VLOOKUP($A33,BDDprix!A:D,4,FALSE)=0,"",VLOOKUP($A33,BDDprix!A:D,4,FALSE))</f>
        <v>#N/A</v>
      </c>
      <c r="E33" t="e">
        <f>IF(VLOOKUP($A33,BDDprix!A:E,5,FALSE)=0,"",VLOOKUP($A33,BDDprix!A:E,5,FALSE))</f>
        <v>#N/A</v>
      </c>
      <c r="F33" t="e">
        <f>IF(VLOOKUP($A33,BDDprix!A:F,6,FALSE)=0,"",VLOOKUP($A33,BDDprix!A:F,6,FALSE))</f>
        <v>#N/A</v>
      </c>
      <c r="G33" t="e">
        <f>IF(VLOOKUP($A33,BDDprix!A:G,7,FALSE)=0,"",VLOOKUP($A33,BDDprix!A:G,7,FALSE))</f>
        <v>#N/A</v>
      </c>
      <c r="H33" t="e">
        <f>IF(VLOOKUP($A33,BDDprix!A:H,8,FALSE)=0,"",VLOOKUP($A33,BDDprix!A:H,8,FALSE))</f>
        <v>#N/A</v>
      </c>
      <c r="I33" t="e">
        <f>IF(VLOOKUP($A33,BDDprix!A:I,9,FALSE)=0,"",VLOOKUP($A33,BDDprix!A:I,9,FALSE))</f>
        <v>#N/A</v>
      </c>
    </row>
    <row r="34" spans="1:9" x14ac:dyDescent="0.25">
      <c r="A34" t="str">
        <f>Newfacture!D71</f>
        <v/>
      </c>
      <c r="B34" t="e">
        <f>IF(VLOOKUP($A34,BDDprix!A:B,2,FALSE)=0,"",VLOOKUP($A34,BDDprix!A:B,2,FALSE))</f>
        <v>#N/A</v>
      </c>
      <c r="C34" t="e">
        <f>IF(VLOOKUP($A34,BDDprix!A:C,3,FALSE)=0,"",VLOOKUP($A34,BDDprix!A:C,3,FALSE))</f>
        <v>#N/A</v>
      </c>
      <c r="D34" t="e">
        <f>IF(VLOOKUP($A34,BDDprix!A:D,4,FALSE)=0,"",VLOOKUP($A34,BDDprix!A:D,4,FALSE))</f>
        <v>#N/A</v>
      </c>
      <c r="E34" t="e">
        <f>IF(VLOOKUP($A34,BDDprix!A:E,5,FALSE)=0,"",VLOOKUP($A34,BDDprix!A:E,5,FALSE))</f>
        <v>#N/A</v>
      </c>
      <c r="F34" t="e">
        <f>IF(VLOOKUP($A34,BDDprix!A:F,6,FALSE)=0,"",VLOOKUP($A34,BDDprix!A:F,6,FALSE))</f>
        <v>#N/A</v>
      </c>
      <c r="G34" t="e">
        <f>IF(VLOOKUP($A34,BDDprix!A:G,7,FALSE)=0,"",VLOOKUP($A34,BDDprix!A:G,7,FALSE))</f>
        <v>#N/A</v>
      </c>
      <c r="H34" t="e">
        <f>IF(VLOOKUP($A34,BDDprix!A:H,8,FALSE)=0,"",VLOOKUP($A34,BDDprix!A:H,8,FALSE))</f>
        <v>#N/A</v>
      </c>
      <c r="I34" t="e">
        <f>IF(VLOOKUP($A34,BDDprix!A:I,9,FALSE)=0,"",VLOOKUP($A34,BDDprix!A:I,9,FALSE))</f>
        <v>#N/A</v>
      </c>
    </row>
    <row r="35" spans="1:9" x14ac:dyDescent="0.25">
      <c r="A35" t="str">
        <f>Newfacture!D72</f>
        <v/>
      </c>
      <c r="B35" t="e">
        <f>IF(VLOOKUP($A35,BDDprix!A:B,2,FALSE)=0,"",VLOOKUP($A35,BDDprix!A:B,2,FALSE))</f>
        <v>#N/A</v>
      </c>
      <c r="C35" t="e">
        <f>IF(VLOOKUP($A35,BDDprix!A:C,3,FALSE)=0,"",VLOOKUP($A35,BDDprix!A:C,3,FALSE))</f>
        <v>#N/A</v>
      </c>
      <c r="D35" t="e">
        <f>IF(VLOOKUP($A35,BDDprix!A:D,4,FALSE)=0,"",VLOOKUP($A35,BDDprix!A:D,4,FALSE))</f>
        <v>#N/A</v>
      </c>
      <c r="E35" t="e">
        <f>IF(VLOOKUP($A35,BDDprix!A:E,5,FALSE)=0,"",VLOOKUP($A35,BDDprix!A:E,5,FALSE))</f>
        <v>#N/A</v>
      </c>
      <c r="F35" t="e">
        <f>IF(VLOOKUP($A35,BDDprix!A:F,6,FALSE)=0,"",VLOOKUP($A35,BDDprix!A:F,6,FALSE))</f>
        <v>#N/A</v>
      </c>
      <c r="G35" t="e">
        <f>IF(VLOOKUP($A35,BDDprix!A:G,7,FALSE)=0,"",VLOOKUP($A35,BDDprix!A:G,7,FALSE))</f>
        <v>#N/A</v>
      </c>
      <c r="H35" t="e">
        <f>IF(VLOOKUP($A35,BDDprix!A:H,8,FALSE)=0,"",VLOOKUP($A35,BDDprix!A:H,8,FALSE))</f>
        <v>#N/A</v>
      </c>
      <c r="I35" t="e">
        <f>IF(VLOOKUP($A35,BDDprix!A:I,9,FALSE)=0,"",VLOOKUP($A35,BDDprix!A:I,9,FALSE))</f>
        <v>#N/A</v>
      </c>
    </row>
    <row r="36" spans="1:9" x14ac:dyDescent="0.25">
      <c r="A36" s="3" t="str">
        <f>Newfacture!D73</f>
        <v/>
      </c>
      <c r="B36" s="3" t="e">
        <f>IF(VLOOKUP($A36,BDDprix!A:B,2,FALSE)=0,"",VLOOKUP($A36,BDDprix!A:B,2,FALSE))</f>
        <v>#N/A</v>
      </c>
      <c r="C36" s="3" t="e">
        <f>IF(VLOOKUP($A36,BDDprix!A:C,3,FALSE)=0,"",VLOOKUP($A36,BDDprix!A:C,3,FALSE))</f>
        <v>#N/A</v>
      </c>
      <c r="D36" s="3" t="e">
        <f>IF(VLOOKUP($A36,BDDprix!A:D,4,FALSE)=0,"",VLOOKUP($A36,BDDprix!A:D,4,FALSE))</f>
        <v>#N/A</v>
      </c>
      <c r="E36" s="3" t="e">
        <f>IF(VLOOKUP($A36,BDDprix!A:E,5,FALSE)=0,"",VLOOKUP($A36,BDDprix!A:E,5,FALSE))</f>
        <v>#N/A</v>
      </c>
      <c r="F36" s="3" t="e">
        <f>IF(VLOOKUP($A36,BDDprix!A:F,6,FALSE)=0,"",VLOOKUP($A36,BDDprix!A:F,6,FALSE))</f>
        <v>#N/A</v>
      </c>
      <c r="G36" s="3" t="e">
        <f>IF(VLOOKUP($A36,BDDprix!A:G,7,FALSE)=0,"",VLOOKUP($A36,BDDprix!A:G,7,FALSE))</f>
        <v>#N/A</v>
      </c>
      <c r="H36" s="3" t="e">
        <f>IF(VLOOKUP($A36,BDDprix!A:H,8,FALSE)=0,"",VLOOKUP($A36,BDDprix!A:H,8,FALSE))</f>
        <v>#N/A</v>
      </c>
      <c r="I36" s="3" t="e">
        <f>IF(VLOOKUP($A36,BDDprix!A:I,9,FALSE)=0,"",VLOOKUP($A36,BDDprix!A:I,9,FALSE))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Newfacture</vt:lpstr>
      <vt:lpstr>Tarrif</vt:lpstr>
      <vt:lpstr>BDDprix</vt:lpstr>
      <vt:lpstr>BDD</vt:lpstr>
      <vt:lpstr>Taxi</vt:lpstr>
      <vt:lpstr>Bus</vt:lpstr>
      <vt:lpstr>excursion</vt:lpstr>
      <vt:lpstr>Data</vt:lpstr>
      <vt:lpstr>liste deroulamte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</dc:creator>
  <cp:lastModifiedBy>ambroise</cp:lastModifiedBy>
  <cp:lastPrinted>2013-10-04T12:33:05Z</cp:lastPrinted>
  <dcterms:created xsi:type="dcterms:W3CDTF">2013-09-30T04:27:46Z</dcterms:created>
  <dcterms:modified xsi:type="dcterms:W3CDTF">2013-10-11T11:10:04Z</dcterms:modified>
</cp:coreProperties>
</file>