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72" windowWidth="19740" windowHeight="9096"/>
  </bookViews>
  <sheets>
    <sheet name="Feuil1" sheetId="1" r:id="rId1"/>
  </sheets>
  <definedNames>
    <definedName name="arrivé1">Feuil1!$BY$14</definedName>
    <definedName name="arrivé2">Feuil1!$BZ$14</definedName>
    <definedName name="arrivé3">Feuil1!$CA$14</definedName>
    <definedName name="cotecheval1">Feuil1!$G$29</definedName>
    <definedName name="cotecheval10">Feuil1!$V$31</definedName>
    <definedName name="cotecheval11">Feuil1!$V$33</definedName>
    <definedName name="cotecheval12">Feuil1!$V$35</definedName>
    <definedName name="cotecheval2">Feuil1!$G$31</definedName>
    <definedName name="cotecheval3">Feuil1!$G$33</definedName>
    <definedName name="cotecheval4">Feuil1!$G$35</definedName>
    <definedName name="cotecheval5">Feuil1!$N$29</definedName>
    <definedName name="cotecheval6">Feuil1!$N$31</definedName>
    <definedName name="cotecheval7">Feuil1!$N$33</definedName>
    <definedName name="cotecheval8">Feuil1!$N$35</definedName>
    <definedName name="cotecheval9">Feuil1!$V$29</definedName>
    <definedName name="misech1j1">Feuil1!$AK$45</definedName>
    <definedName name="misech1j2">Feuil1!$AK$46</definedName>
    <definedName name="misech1j3">Feuil1!$AK$47</definedName>
    <definedName name="misech1j4">Feuil1!$AK$48</definedName>
    <definedName name="misech1j5">Feuil1!$AK$49</definedName>
    <definedName name="misech1j6">Feuil1!$AK$50</definedName>
    <definedName name="misech1j7">Feuil1!$AK$51</definedName>
    <definedName name="misech1j8">Feuil1!$AK$52</definedName>
    <definedName name="misech2j1">Feuil1!$AN$45</definedName>
    <definedName name="misech2j2">Feuil1!$AN$46</definedName>
    <definedName name="misech2j3">Feuil1!$AN$47</definedName>
    <definedName name="misech2j4">Feuil1!$AN$48</definedName>
    <definedName name="misech2j5">Feuil1!$AN$49</definedName>
    <definedName name="misech2j6">Feuil1!$AN$50</definedName>
    <definedName name="misech2j7">Feuil1!$AN$51</definedName>
    <definedName name="misech2j8">Feuil1!$AN$52</definedName>
    <definedName name="misech3j1">Feuil1!$AQ$45</definedName>
    <definedName name="misech3j2">Feuil1!$AQ$46</definedName>
    <definedName name="misech3j3">Feuil1!$AQ$47</definedName>
    <definedName name="misech3j4">Feuil1!$AQ$48</definedName>
    <definedName name="misech3j5">Feuil1!$AQ$49</definedName>
    <definedName name="misech3j6">Feuil1!$AQ$50</definedName>
    <definedName name="misech3j7">Feuil1!$AQ$51</definedName>
    <definedName name="misech3j8">Feuil1!$AQ$52</definedName>
    <definedName name="misej1">Feuil1!$AH$45</definedName>
    <definedName name="misej2">Feuil1!$AH$46</definedName>
    <definedName name="misej3">Feuil1!$AH$47</definedName>
    <definedName name="misej4">Feuil1!$AH$48</definedName>
    <definedName name="misej5">Feuil1!$AH$49</definedName>
    <definedName name="misej6">Feuil1!$AH$50</definedName>
    <definedName name="misej7">Feuil1!$AH$51</definedName>
    <definedName name="misej8">Feuil1!$AH$52</definedName>
  </definedNames>
  <calcPr calcId="125725"/>
</workbook>
</file>

<file path=xl/calcChain.xml><?xml version="1.0" encoding="utf-8"?>
<calcChain xmlns="http://schemas.openxmlformats.org/spreadsheetml/2006/main">
  <c r="W42" i="1"/>
  <c r="W41"/>
  <c r="W40"/>
  <c r="W39"/>
  <c r="W38"/>
  <c r="W37"/>
  <c r="AQ52"/>
  <c r="AN52"/>
  <c r="AK52"/>
  <c r="AH52"/>
  <c r="AE52"/>
  <c r="AQ51"/>
  <c r="AN51"/>
  <c r="AK51"/>
  <c r="AH51"/>
  <c r="AE51"/>
  <c r="AQ50"/>
  <c r="AN50"/>
  <c r="AK50"/>
  <c r="AH50"/>
  <c r="AE50"/>
  <c r="AQ49"/>
  <c r="AN49"/>
  <c r="AK49"/>
  <c r="AH49"/>
  <c r="AE49"/>
  <c r="AQ48"/>
  <c r="AN48"/>
  <c r="AK48"/>
  <c r="AH48"/>
  <c r="AE48"/>
  <c r="AQ47"/>
  <c r="AN47"/>
  <c r="AK47"/>
  <c r="AH47"/>
  <c r="AE47"/>
  <c r="AQ46"/>
  <c r="AN46"/>
  <c r="AK46"/>
  <c r="AH46"/>
  <c r="AE46"/>
  <c r="AQ45"/>
  <c r="AN45"/>
  <c r="AK45"/>
  <c r="AH45"/>
  <c r="AE45"/>
  <c r="AT37"/>
  <c r="AH37"/>
  <c r="AW30" l="1"/>
  <c r="AW31"/>
  <c r="AW32"/>
  <c r="AW33"/>
  <c r="AW34"/>
  <c r="AW35"/>
  <c r="AW36"/>
  <c r="AW29"/>
  <c r="BR32"/>
  <c r="AW37" l="1"/>
  <c r="BP29"/>
  <c r="BR26"/>
  <c r="BR24"/>
  <c r="BR22"/>
  <c r="BR20"/>
  <c r="BR18"/>
  <c r="BR16"/>
  <c r="BR14" l="1"/>
  <c r="BY12"/>
  <c r="BW12"/>
  <c r="BR12"/>
  <c r="BY11"/>
  <c r="BW11"/>
  <c r="BY10" l="1"/>
  <c r="BW10"/>
  <c r="BR10"/>
  <c r="BY9"/>
  <c r="BW9"/>
  <c r="BY8"/>
  <c r="BW8"/>
  <c r="BR8"/>
  <c r="BY7" l="1"/>
  <c r="BW7"/>
  <c r="BY6"/>
  <c r="BW6"/>
  <c r="BR6"/>
  <c r="BY5"/>
  <c r="BW5"/>
  <c r="BY4"/>
  <c r="BW4"/>
  <c r="BR4" l="1"/>
  <c r="BZ5" s="1"/>
  <c r="BY3"/>
  <c r="BW3"/>
  <c r="BY2"/>
  <c r="BW2"/>
  <c r="BY1"/>
  <c r="BW1"/>
  <c r="BZ2" l="1"/>
  <c r="BZ1"/>
  <c r="BX3"/>
  <c r="BY14"/>
  <c r="BZ3"/>
  <c r="BT6"/>
  <c r="BZ7"/>
  <c r="BR29"/>
  <c r="BT26"/>
  <c r="BT20"/>
  <c r="BX12"/>
  <c r="BT14"/>
  <c r="BT22"/>
  <c r="BT24"/>
  <c r="BT18"/>
  <c r="BT16"/>
  <c r="BX11"/>
  <c r="BT12"/>
  <c r="BZ12"/>
  <c r="BX8"/>
  <c r="BX9"/>
  <c r="BZ11"/>
  <c r="BZ10"/>
  <c r="BX4"/>
  <c r="BX7"/>
  <c r="BZ9"/>
  <c r="BX6"/>
  <c r="BT8"/>
  <c r="BX10"/>
  <c r="BX5"/>
  <c r="BZ6"/>
  <c r="BZ4"/>
  <c r="BZ8"/>
  <c r="BT10"/>
  <c r="BX2"/>
  <c r="BX1"/>
  <c r="BT4"/>
  <c r="CA3" l="1"/>
  <c r="BZ14"/>
  <c r="CA4"/>
  <c r="CA8"/>
  <c r="CA9"/>
  <c r="CA7"/>
  <c r="CA2"/>
  <c r="CA1"/>
  <c r="CA10"/>
  <c r="CA11"/>
  <c r="BT29"/>
  <c r="CA5"/>
  <c r="CA6"/>
  <c r="CA12"/>
  <c r="CA14" l="1"/>
  <c r="BI31" l="1"/>
  <c r="BT48"/>
  <c r="BW46"/>
  <c r="BS47"/>
  <c r="BT52"/>
  <c r="BX51"/>
  <c r="BW52"/>
  <c r="BS52"/>
  <c r="BV51"/>
  <c r="BM46"/>
  <c r="BW51"/>
  <c r="BN50"/>
  <c r="BP50"/>
  <c r="BT46"/>
  <c r="BU45"/>
  <c r="BT49"/>
  <c r="BN52"/>
  <c r="BP47"/>
  <c r="BO49"/>
  <c r="BT47"/>
  <c r="BU46"/>
  <c r="BV45"/>
  <c r="BM49"/>
  <c r="BM47"/>
  <c r="BR47"/>
  <c r="BQ46"/>
  <c r="BN47"/>
  <c r="BM51"/>
  <c r="BT51"/>
  <c r="BP48"/>
  <c r="BX47"/>
  <c r="BS49"/>
  <c r="BU51"/>
  <c r="BN46"/>
  <c r="BM50"/>
  <c r="BO51"/>
  <c r="BU47"/>
  <c r="BS51"/>
  <c r="BR52"/>
  <c r="BR49"/>
  <c r="BW48"/>
  <c r="BP46"/>
  <c r="BQ51"/>
  <c r="BW49"/>
  <c r="BO48"/>
  <c r="BP52"/>
  <c r="BS46"/>
  <c r="BN49"/>
  <c r="BQ48"/>
  <c r="BN45"/>
  <c r="BT45"/>
  <c r="BP51"/>
  <c r="BX48"/>
  <c r="BU50"/>
  <c r="BV52"/>
  <c r="BP45"/>
  <c r="BW45"/>
  <c r="BQ47"/>
  <c r="BR45"/>
  <c r="BQ49"/>
  <c r="BR50"/>
  <c r="BX45"/>
  <c r="BN51"/>
  <c r="BO46"/>
  <c r="BO47"/>
  <c r="BV48"/>
  <c r="BR51"/>
  <c r="BN48"/>
  <c r="BW47"/>
  <c r="BQ52"/>
  <c r="BX46"/>
  <c r="BV49"/>
  <c r="BO50"/>
  <c r="BP49"/>
  <c r="BS48"/>
  <c r="BT50"/>
  <c r="BV46"/>
  <c r="BS50"/>
  <c r="BX50"/>
  <c r="BO45"/>
  <c r="BX52"/>
  <c r="BR48"/>
  <c r="BM52"/>
  <c r="BS45"/>
  <c r="BQ45"/>
  <c r="BM45"/>
  <c r="BU49"/>
  <c r="BR46"/>
  <c r="BU52"/>
  <c r="BU48"/>
  <c r="BM48"/>
  <c r="BO52"/>
  <c r="BQ50"/>
  <c r="BV50"/>
  <c r="BV47"/>
  <c r="BX49"/>
  <c r="BW50"/>
  <c r="BY45" l="1"/>
  <c r="BY52"/>
  <c r="BY50"/>
  <c r="BY49"/>
  <c r="BY47"/>
  <c r="BY46"/>
  <c r="BY48"/>
  <c r="BY51"/>
  <c r="AT46" l="1"/>
  <c r="BI46"/>
  <c r="BF46"/>
  <c r="BC46"/>
  <c r="AZ46"/>
  <c r="AW46"/>
  <c r="AZ49"/>
  <c r="BC49"/>
  <c r="BF49"/>
  <c r="AW49"/>
  <c r="BI49"/>
  <c r="AT49"/>
  <c r="AW48"/>
  <c r="AZ48"/>
  <c r="BI48"/>
  <c r="BF48"/>
  <c r="BC48"/>
  <c r="AT48"/>
  <c r="BF50"/>
  <c r="BC50"/>
  <c r="BI50"/>
  <c r="AZ50"/>
  <c r="AT50"/>
  <c r="AW50"/>
  <c r="BF51"/>
  <c r="AW51"/>
  <c r="AZ51"/>
  <c r="BC51"/>
  <c r="BI51"/>
  <c r="AT51"/>
  <c r="AZ45"/>
  <c r="AT45"/>
  <c r="BF45"/>
  <c r="BI45"/>
  <c r="BC45"/>
  <c r="AW45"/>
  <c r="AZ47"/>
  <c r="BF47"/>
  <c r="BI47"/>
  <c r="AW47"/>
  <c r="AT47"/>
  <c r="BC47"/>
  <c r="BC52"/>
  <c r="AZ52"/>
  <c r="BI52"/>
  <c r="BF52"/>
  <c r="AT52"/>
  <c r="AW52"/>
  <c r="BL49" l="1"/>
  <c r="BL45"/>
  <c r="BL47"/>
  <c r="BL48"/>
  <c r="BL46"/>
  <c r="BL51"/>
  <c r="BL52"/>
  <c r="BL50"/>
</calcChain>
</file>

<file path=xl/sharedStrings.xml><?xml version="1.0" encoding="utf-8"?>
<sst xmlns="http://schemas.openxmlformats.org/spreadsheetml/2006/main" count="62" uniqueCount="51">
  <si>
    <t>Côte cheval 1:</t>
  </si>
  <si>
    <t>Côte cheval 2:</t>
  </si>
  <si>
    <t>Côte cheval 3:</t>
  </si>
  <si>
    <t>Côte cheval 4:</t>
  </si>
  <si>
    <t>Côte cheval 5:</t>
  </si>
  <si>
    <t>Côte cheval 6:</t>
  </si>
  <si>
    <t>Côte cheval 7:</t>
  </si>
  <si>
    <t>Côte cheval 8:</t>
  </si>
  <si>
    <t>Côte cheval 9:</t>
  </si>
  <si>
    <t>Côte cheval 10:</t>
  </si>
  <si>
    <t>Côte cheval 11:</t>
  </si>
  <si>
    <t>Côte cheval 12:</t>
  </si>
  <si>
    <t>Argent</t>
  </si>
  <si>
    <t>Mise</t>
  </si>
  <si>
    <t>Gain</t>
  </si>
  <si>
    <t>Tiercé</t>
  </si>
  <si>
    <t>Cheval 1</t>
  </si>
  <si>
    <t>Cheval 2</t>
  </si>
  <si>
    <t>Cheval 3</t>
  </si>
  <si>
    <t>Record de gain</t>
  </si>
  <si>
    <t>Jimmy</t>
  </si>
  <si>
    <t>Thierry</t>
  </si>
  <si>
    <t>Stats de sortie</t>
  </si>
  <si>
    <t>Tableau des gains</t>
  </si>
  <si>
    <t>2 chevaux non placés</t>
  </si>
  <si>
    <t>2 chevaux placés</t>
  </si>
  <si>
    <t>3 chevaux non placés</t>
  </si>
  <si>
    <t>3 chevaux placés</t>
  </si>
  <si>
    <t>Courses</t>
  </si>
  <si>
    <t>Meilleur rapport</t>
  </si>
  <si>
    <t>1 cheval placé</t>
  </si>
  <si>
    <t>1 cheval non placé</t>
  </si>
  <si>
    <t>Rapport</t>
  </si>
  <si>
    <t>Chantal</t>
  </si>
  <si>
    <t>Cathy</t>
  </si>
  <si>
    <t>Magaly</t>
  </si>
  <si>
    <t>Alexy</t>
  </si>
  <si>
    <t>Anthony</t>
  </si>
  <si>
    <t>Sweety</t>
  </si>
  <si>
    <t>côtes X mise /</t>
  </si>
  <si>
    <t xml:space="preserve">côtes X mise </t>
  </si>
  <si>
    <t>côtes X mise X</t>
  </si>
  <si>
    <t>1 np</t>
  </si>
  <si>
    <t>1p</t>
  </si>
  <si>
    <t>2np</t>
  </si>
  <si>
    <t>2p</t>
  </si>
  <si>
    <t>3np</t>
  </si>
  <si>
    <t>3p</t>
  </si>
  <si>
    <t>Mise Maxi</t>
  </si>
  <si>
    <t>Banque</t>
  </si>
  <si>
    <t>Rapport max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</si>
</sst>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2" borderId="0" xfId="0" applyFill="1" applyBorder="1"/>
    <xf numFmtId="0" fontId="0" fillId="3" borderId="1" xfId="0" applyFill="1" applyBorder="1"/>
    <xf numFmtId="0" fontId="0" fillId="0" borderId="0" xfId="0" applyAlignment="1">
      <alignment shrinkToFit="1"/>
    </xf>
    <xf numFmtId="1" fontId="0" fillId="0" borderId="0" xfId="0" applyNumberFormat="1" applyAlignment="1">
      <alignment shrinkToFit="1"/>
    </xf>
    <xf numFmtId="0" fontId="2" fillId="0" borderId="0" xfId="0" applyFont="1"/>
    <xf numFmtId="0" fontId="2" fillId="0" borderId="0" xfId="0" applyFont="1" applyAlignment="1">
      <alignment shrinkToFit="1"/>
    </xf>
    <xf numFmtId="0" fontId="5" fillId="0" borderId="0" xfId="0" applyFont="1"/>
    <xf numFmtId="0" fontId="6" fillId="0" borderId="0" xfId="0" applyFont="1" applyAlignment="1">
      <alignment shrinkToFit="1"/>
    </xf>
    <xf numFmtId="1" fontId="2" fillId="0" borderId="0" xfId="0" applyNumberFormat="1" applyFont="1" applyAlignment="1">
      <alignment shrinkToFit="1"/>
    </xf>
    <xf numFmtId="1" fontId="2" fillId="0" borderId="0" xfId="0" applyNumberFormat="1" applyFont="1" applyAlignment="1">
      <alignment horizontal="center" shrinkToFit="1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0" fillId="0" borderId="14" xfId="0" applyBorder="1" applyAlignment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0" borderId="0" xfId="0" applyBorder="1"/>
    <xf numFmtId="0" fontId="0" fillId="0" borderId="0" xfId="0" applyBorder="1" applyAlignment="1">
      <alignment shrinkToFit="1"/>
    </xf>
    <xf numFmtId="0" fontId="2" fillId="0" borderId="32" xfId="0" applyFont="1" applyFill="1" applyBorder="1" applyAlignment="1"/>
    <xf numFmtId="0" fontId="2" fillId="0" borderId="0" xfId="0" applyFont="1" applyFill="1" applyBorder="1" applyAlignment="1"/>
    <xf numFmtId="0" fontId="6" fillId="0" borderId="17" xfId="0" applyFont="1" applyBorder="1" applyAlignment="1"/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0" fillId="0" borderId="23" xfId="0" applyNumberFormat="1" applyBorder="1" applyAlignment="1" applyProtection="1">
      <alignment horizontal="center" shrinkToFit="1"/>
      <protection locked="0"/>
    </xf>
    <xf numFmtId="3" fontId="0" fillId="0" borderId="18" xfId="0" applyNumberFormat="1" applyBorder="1" applyAlignment="1" applyProtection="1">
      <alignment horizontal="center" shrinkToFit="1"/>
      <protection locked="0"/>
    </xf>
    <xf numFmtId="3" fontId="0" fillId="0" borderId="19" xfId="0" applyNumberFormat="1" applyBorder="1" applyAlignment="1" applyProtection="1">
      <alignment horizontal="center" shrinkToFit="1"/>
      <protection locked="0"/>
    </xf>
    <xf numFmtId="3" fontId="8" fillId="0" borderId="0" xfId="0" applyNumberFormat="1" applyFont="1" applyAlignment="1">
      <alignment horizontal="center" shrinkToFit="1"/>
    </xf>
    <xf numFmtId="3" fontId="0" fillId="0" borderId="3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0" borderId="31" xfId="0" applyFont="1" applyBorder="1" applyAlignment="1">
      <alignment horizontal="center" shrinkToFit="1"/>
    </xf>
    <xf numFmtId="0" fontId="1" fillId="0" borderId="28" xfId="0" applyFont="1" applyBorder="1" applyAlignment="1">
      <alignment horizontal="center" shrinkToFit="1"/>
    </xf>
    <xf numFmtId="0" fontId="1" fillId="0" borderId="34" xfId="0" applyFont="1" applyBorder="1" applyAlignment="1">
      <alignment horizontal="center" shrinkToFit="1"/>
    </xf>
    <xf numFmtId="0" fontId="1" fillId="0" borderId="30" xfId="0" applyFont="1" applyBorder="1" applyAlignment="1">
      <alignment horizontal="center" shrinkToFit="1"/>
    </xf>
    <xf numFmtId="1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>
      <alignment horizontal="center" shrinkToFit="1"/>
    </xf>
    <xf numFmtId="3" fontId="0" fillId="0" borderId="21" xfId="0" applyNumberFormat="1" applyBorder="1" applyAlignment="1">
      <alignment horizontal="center" shrinkToFit="1"/>
    </xf>
    <xf numFmtId="3" fontId="0" fillId="0" borderId="5" xfId="0" applyNumberFormat="1" applyBorder="1" applyAlignment="1">
      <alignment horizontal="center" shrinkToFit="1"/>
    </xf>
    <xf numFmtId="3" fontId="0" fillId="0" borderId="22" xfId="0" applyNumberFormat="1" applyBorder="1" applyAlignment="1">
      <alignment horizontal="center" shrinkToFit="1"/>
    </xf>
    <xf numFmtId="3" fontId="0" fillId="0" borderId="14" xfId="0" applyNumberFormat="1" applyBorder="1" applyAlignment="1" applyProtection="1">
      <alignment horizontal="center" shrinkToFit="1"/>
      <protection locked="0"/>
    </xf>
    <xf numFmtId="3" fontId="0" fillId="0" borderId="15" xfId="0" applyNumberFormat="1" applyBorder="1" applyAlignment="1" applyProtection="1">
      <alignment horizontal="center" shrinkToFit="1"/>
      <protection locked="0"/>
    </xf>
    <xf numFmtId="3" fontId="0" fillId="0" borderId="16" xfId="0" applyNumberFormat="1" applyBorder="1" applyAlignment="1" applyProtection="1">
      <alignment horizontal="center" shrinkToFit="1"/>
      <protection locked="0"/>
    </xf>
    <xf numFmtId="3" fontId="0" fillId="0" borderId="24" xfId="0" applyNumberFormat="1" applyBorder="1" applyAlignment="1" applyProtection="1">
      <alignment horizontal="center" shrinkToFi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4" xfId="0" applyNumberFormat="1" applyBorder="1" applyAlignment="1">
      <alignment horizontal="center" shrinkToFit="1"/>
    </xf>
    <xf numFmtId="0" fontId="0" fillId="0" borderId="8" xfId="0" applyBorder="1" applyAlignment="1">
      <alignment horizontal="center"/>
    </xf>
    <xf numFmtId="3" fontId="0" fillId="0" borderId="25" xfId="0" applyNumberFormat="1" applyBorder="1" applyAlignment="1" applyProtection="1">
      <alignment horizontal="center" shrinkToFit="1"/>
      <protection locked="0"/>
    </xf>
    <xf numFmtId="3" fontId="0" fillId="0" borderId="22" xfId="0" applyNumberFormat="1" applyBorder="1" applyAlignment="1" applyProtection="1">
      <alignment horizontal="center" shrinkToFit="1"/>
      <protection locked="0"/>
    </xf>
    <xf numFmtId="3" fontId="0" fillId="0" borderId="17" xfId="0" applyNumberFormat="1" applyBorder="1" applyAlignment="1" applyProtection="1">
      <alignment horizontal="center" shrinkToFit="1"/>
      <protection locked="0"/>
    </xf>
    <xf numFmtId="3" fontId="0" fillId="0" borderId="6" xfId="0" applyNumberFormat="1" applyBorder="1" applyAlignment="1">
      <alignment horizontal="center" shrinkToFit="1"/>
    </xf>
    <xf numFmtId="3" fontId="0" fillId="0" borderId="7" xfId="0" applyNumberFormat="1" applyBorder="1" applyAlignment="1">
      <alignment horizontal="center" shrinkToFit="1"/>
    </xf>
    <xf numFmtId="3" fontId="0" fillId="0" borderId="23" xfId="0" applyNumberFormat="1" applyBorder="1" applyAlignment="1">
      <alignment horizontal="center" shrinkToFi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3" fontId="1" fillId="0" borderId="31" xfId="0" applyNumberFormat="1" applyFont="1" applyBorder="1" applyAlignment="1">
      <alignment horizontal="center" vertical="center" shrinkToFit="1"/>
    </xf>
    <xf numFmtId="3" fontId="1" fillId="0" borderId="28" xfId="0" applyNumberFormat="1" applyFont="1" applyBorder="1" applyAlignment="1">
      <alignment horizontal="center" vertical="center" shrinkToFit="1"/>
    </xf>
    <xf numFmtId="3" fontId="1" fillId="0" borderId="0" xfId="0" applyNumberFormat="1" applyFont="1" applyBorder="1" applyAlignment="1">
      <alignment horizontal="center" vertical="center" shrinkToFit="1"/>
    </xf>
    <xf numFmtId="3" fontId="1" fillId="0" borderId="33" xfId="0" applyNumberFormat="1" applyFont="1" applyBorder="1" applyAlignment="1">
      <alignment horizontal="center" vertical="center" shrinkToFit="1"/>
    </xf>
    <xf numFmtId="3" fontId="1" fillId="0" borderId="34" xfId="0" applyNumberFormat="1" applyFont="1" applyBorder="1" applyAlignment="1">
      <alignment horizontal="center" vertical="center" shrinkToFit="1"/>
    </xf>
    <xf numFmtId="3" fontId="1" fillId="0" borderId="30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2" fontId="1" fillId="0" borderId="31" xfId="0" applyNumberFormat="1" applyFont="1" applyBorder="1" applyAlignment="1">
      <alignment horizontal="center" vertical="center" shrinkToFit="1"/>
    </xf>
    <xf numFmtId="2" fontId="1" fillId="0" borderId="28" xfId="0" applyNumberFormat="1" applyFont="1" applyBorder="1" applyAlignment="1">
      <alignment horizontal="center" vertical="center" shrinkToFit="1"/>
    </xf>
    <xf numFmtId="2" fontId="1" fillId="0" borderId="0" xfId="0" applyNumberFormat="1" applyFont="1" applyBorder="1" applyAlignment="1">
      <alignment horizontal="center" vertical="center" shrinkToFit="1"/>
    </xf>
    <xf numFmtId="2" fontId="1" fillId="0" borderId="33" xfId="0" applyNumberFormat="1" applyFont="1" applyBorder="1" applyAlignment="1">
      <alignment horizontal="center" vertical="center" shrinkToFit="1"/>
    </xf>
    <xf numFmtId="2" fontId="1" fillId="0" borderId="34" xfId="0" applyNumberFormat="1" applyFont="1" applyBorder="1" applyAlignment="1">
      <alignment horizontal="center" vertical="center" shrinkToFit="1"/>
    </xf>
    <xf numFmtId="2" fontId="1" fillId="0" borderId="3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2" fontId="6" fillId="0" borderId="38" xfId="0" applyNumberFormat="1" applyFont="1" applyBorder="1" applyAlignment="1">
      <alignment horizontal="center" shrinkToFit="1"/>
    </xf>
    <xf numFmtId="2" fontId="6" fillId="0" borderId="39" xfId="0" applyNumberFormat="1" applyFont="1" applyBorder="1" applyAlignment="1">
      <alignment horizontal="center" shrinkToFit="1"/>
    </xf>
    <xf numFmtId="2" fontId="6" fillId="0" borderId="40" xfId="0" applyNumberFormat="1" applyFont="1" applyBorder="1" applyAlignment="1">
      <alignment horizontal="center" shrinkToFit="1"/>
    </xf>
    <xf numFmtId="0" fontId="0" fillId="0" borderId="10" xfId="0" applyBorder="1" applyAlignment="1">
      <alignment horizontal="center"/>
    </xf>
    <xf numFmtId="3" fontId="0" fillId="0" borderId="21" xfId="0" applyNumberFormat="1" applyBorder="1" applyAlignment="1" applyProtection="1">
      <alignment horizontal="center" shrinkToFit="1"/>
      <protection locked="0"/>
    </xf>
    <xf numFmtId="3" fontId="0" fillId="0" borderId="12" xfId="0" applyNumberFormat="1" applyBorder="1" applyAlignment="1" applyProtection="1">
      <alignment horizontal="center" shrinkToFit="1"/>
      <protection locked="0"/>
    </xf>
    <xf numFmtId="3" fontId="0" fillId="0" borderId="26" xfId="0" applyNumberFormat="1" applyBorder="1" applyAlignment="1" applyProtection="1">
      <alignment horizontal="center" shrinkToFit="1"/>
      <protection locked="0"/>
    </xf>
    <xf numFmtId="3" fontId="0" fillId="0" borderId="13" xfId="0" applyNumberFormat="1" applyBorder="1" applyAlignment="1" applyProtection="1">
      <alignment horizontal="center" shrinkToFit="1"/>
      <protection locked="0"/>
    </xf>
    <xf numFmtId="3" fontId="0" fillId="0" borderId="2" xfId="0" applyNumberFormat="1" applyBorder="1" applyAlignment="1">
      <alignment horizontal="center" shrinkToFi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3" fontId="0" fillId="0" borderId="11" xfId="0" applyNumberFormat="1" applyBorder="1" applyAlignment="1" applyProtection="1">
      <alignment horizontal="center" shrinkToFit="1"/>
      <protection locked="0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2" fontId="6" fillId="0" borderId="11" xfId="0" applyNumberFormat="1" applyFont="1" applyBorder="1" applyAlignment="1">
      <alignment horizontal="center" shrinkToFit="1"/>
    </xf>
    <xf numFmtId="2" fontId="6" fillId="0" borderId="12" xfId="0" applyNumberFormat="1" applyFont="1" applyBorder="1" applyAlignment="1">
      <alignment horizontal="center" shrinkToFit="1"/>
    </xf>
    <xf numFmtId="2" fontId="6" fillId="0" borderId="13" xfId="0" applyNumberFormat="1" applyFont="1" applyBorder="1" applyAlignment="1">
      <alignment horizontal="center" shrinkToFit="1"/>
    </xf>
    <xf numFmtId="2" fontId="6" fillId="0" borderId="14" xfId="0" applyNumberFormat="1" applyFont="1" applyBorder="1" applyAlignment="1">
      <alignment horizontal="center" shrinkToFit="1"/>
    </xf>
    <xf numFmtId="2" fontId="6" fillId="0" borderId="15" xfId="0" applyNumberFormat="1" applyFont="1" applyBorder="1" applyAlignment="1">
      <alignment horizontal="center" shrinkToFit="1"/>
    </xf>
    <xf numFmtId="2" fontId="6" fillId="0" borderId="16" xfId="0" applyNumberFormat="1" applyFont="1" applyBorder="1" applyAlignment="1">
      <alignment horizontal="center" shrinkToFit="1"/>
    </xf>
    <xf numFmtId="2" fontId="6" fillId="0" borderId="17" xfId="0" applyNumberFormat="1" applyFont="1" applyBorder="1" applyAlignment="1">
      <alignment horizontal="center" shrinkToFit="1"/>
    </xf>
    <xf numFmtId="2" fontId="6" fillId="0" borderId="18" xfId="0" applyNumberFormat="1" applyFont="1" applyBorder="1" applyAlignment="1">
      <alignment horizontal="center" shrinkToFit="1"/>
    </xf>
    <xf numFmtId="2" fontId="6" fillId="0" borderId="19" xfId="0" applyNumberFormat="1" applyFont="1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6" xfId="0" applyBorder="1" applyAlignment="1">
      <alignment horizontal="center" shrinkToFit="1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9" fontId="0" fillId="0" borderId="15" xfId="0" applyNumberFormat="1" applyBorder="1" applyAlignment="1">
      <alignment horizontal="center" shrinkToFit="1"/>
    </xf>
    <xf numFmtId="9" fontId="0" fillId="0" borderId="18" xfId="0" applyNumberFormat="1" applyBorder="1" applyAlignment="1">
      <alignment horizontal="center" shrinkToFit="1"/>
    </xf>
    <xf numFmtId="0" fontId="0" fillId="0" borderId="18" xfId="0" applyBorder="1" applyAlignment="1">
      <alignment horizontal="center" shrinkToFi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 shrinkToFit="1"/>
    </xf>
    <xf numFmtId="3" fontId="2" fillId="0" borderId="5" xfId="0" applyNumberFormat="1" applyFont="1" applyBorder="1" applyAlignment="1">
      <alignment horizontal="center" shrinkToFit="1"/>
    </xf>
    <xf numFmtId="3" fontId="2" fillId="0" borderId="22" xfId="0" applyNumberFormat="1" applyFont="1" applyBorder="1" applyAlignment="1">
      <alignment horizontal="center" shrinkToFit="1"/>
    </xf>
    <xf numFmtId="3" fontId="2" fillId="0" borderId="14" xfId="0" applyNumberFormat="1" applyFont="1" applyBorder="1" applyAlignment="1" applyProtection="1">
      <alignment horizontal="center" shrinkToFit="1"/>
      <protection locked="0"/>
    </xf>
    <xf numFmtId="3" fontId="2" fillId="0" borderId="15" xfId="0" applyNumberFormat="1" applyFont="1" applyBorder="1" applyAlignment="1" applyProtection="1">
      <alignment horizontal="center" shrinkToFit="1"/>
      <protection locked="0"/>
    </xf>
    <xf numFmtId="3" fontId="2" fillId="0" borderId="16" xfId="0" applyNumberFormat="1" applyFont="1" applyBorder="1" applyAlignment="1" applyProtection="1">
      <alignment horizontal="center" shrinkToFit="1"/>
      <protection locked="0"/>
    </xf>
    <xf numFmtId="3" fontId="2" fillId="0" borderId="24" xfId="0" applyNumberFormat="1" applyFont="1" applyBorder="1" applyAlignment="1" applyProtection="1">
      <alignment horizontal="center" shrinkToFit="1"/>
      <protection locked="0"/>
    </xf>
    <xf numFmtId="3" fontId="2" fillId="0" borderId="22" xfId="0" applyNumberFormat="1" applyFont="1" applyBorder="1" applyAlignment="1" applyProtection="1">
      <alignment horizontal="center" shrinkToFit="1"/>
      <protection locked="0"/>
    </xf>
    <xf numFmtId="0" fontId="0" fillId="0" borderId="19" xfId="0" applyBorder="1" applyAlignment="1">
      <alignment horizontal="center" shrinkToFi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3" fontId="2" fillId="0" borderId="2" xfId="0" applyNumberFormat="1" applyFont="1" applyBorder="1" applyAlignment="1">
      <alignment horizontal="center" shrinkToFit="1"/>
    </xf>
    <xf numFmtId="3" fontId="2" fillId="0" borderId="3" xfId="0" applyNumberFormat="1" applyFont="1" applyBorder="1" applyAlignment="1">
      <alignment horizontal="center" shrinkToFit="1"/>
    </xf>
    <xf numFmtId="3" fontId="2" fillId="0" borderId="21" xfId="0" applyNumberFormat="1" applyFont="1" applyBorder="1" applyAlignment="1">
      <alignment horizontal="center" shrinkToFit="1"/>
    </xf>
    <xf numFmtId="3" fontId="2" fillId="0" borderId="11" xfId="0" applyNumberFormat="1" applyFont="1" applyBorder="1" applyAlignment="1" applyProtection="1">
      <alignment horizontal="center" shrinkToFit="1"/>
      <protection locked="0"/>
    </xf>
    <xf numFmtId="3" fontId="2" fillId="0" borderId="12" xfId="0" applyNumberFormat="1" applyFont="1" applyBorder="1" applyAlignment="1" applyProtection="1">
      <alignment horizontal="center" shrinkToFit="1"/>
      <protection locked="0"/>
    </xf>
    <xf numFmtId="3" fontId="2" fillId="0" borderId="13" xfId="0" applyNumberFormat="1" applyFont="1" applyBorder="1" applyAlignment="1" applyProtection="1">
      <alignment horizontal="center" shrinkToFit="1"/>
      <protection locked="0"/>
    </xf>
    <xf numFmtId="3" fontId="2" fillId="0" borderId="26" xfId="0" applyNumberFormat="1" applyFont="1" applyBorder="1" applyAlignment="1" applyProtection="1">
      <alignment horizontal="center" shrinkToFit="1"/>
      <protection locked="0"/>
    </xf>
    <xf numFmtId="3" fontId="2" fillId="0" borderId="21" xfId="0" applyNumberFormat="1" applyFont="1" applyBorder="1" applyAlignment="1" applyProtection="1">
      <alignment horizontal="center" shrinkToFit="1"/>
      <protection locked="0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 shrinkToFit="1"/>
    </xf>
    <xf numFmtId="3" fontId="2" fillId="0" borderId="7" xfId="0" applyNumberFormat="1" applyFont="1" applyBorder="1" applyAlignment="1">
      <alignment horizontal="center" shrinkToFit="1"/>
    </xf>
    <xf numFmtId="3" fontId="2" fillId="0" borderId="23" xfId="0" applyNumberFormat="1" applyFont="1" applyBorder="1" applyAlignment="1">
      <alignment horizontal="center" shrinkToFit="1"/>
    </xf>
    <xf numFmtId="3" fontId="2" fillId="0" borderId="17" xfId="0" applyNumberFormat="1" applyFont="1" applyBorder="1" applyAlignment="1" applyProtection="1">
      <alignment horizontal="center" shrinkToFit="1"/>
      <protection locked="0"/>
    </xf>
    <xf numFmtId="3" fontId="2" fillId="0" borderId="18" xfId="0" applyNumberFormat="1" applyFont="1" applyBorder="1" applyAlignment="1" applyProtection="1">
      <alignment horizontal="center" shrinkToFit="1"/>
      <protection locked="0"/>
    </xf>
    <xf numFmtId="3" fontId="2" fillId="0" borderId="19" xfId="0" applyNumberFormat="1" applyFont="1" applyBorder="1" applyAlignment="1" applyProtection="1">
      <alignment horizontal="center" shrinkToFit="1"/>
      <protection locked="0"/>
    </xf>
    <xf numFmtId="3" fontId="2" fillId="0" borderId="25" xfId="0" applyNumberFormat="1" applyFont="1" applyBorder="1" applyAlignment="1" applyProtection="1">
      <alignment horizontal="center" shrinkToFit="1"/>
      <protection locked="0"/>
    </xf>
    <xf numFmtId="3" fontId="2" fillId="0" borderId="23" xfId="0" applyNumberFormat="1" applyFont="1" applyBorder="1" applyAlignment="1" applyProtection="1">
      <alignment horizontal="center" shrinkToFit="1"/>
      <protection locked="0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AK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152601</xdr:colOff>
      <xdr:row>3</xdr:row>
      <xdr:rowOff>1672</xdr:rowOff>
    </xdr:from>
    <xdr:to>
      <xdr:col>59</xdr:col>
      <xdr:colOff>135229</xdr:colOff>
      <xdr:row>4</xdr:row>
      <xdr:rowOff>62870</xdr:rowOff>
    </xdr:to>
    <xdr:pic>
      <xdr:nvPicPr>
        <xdr:cNvPr id="1025" name="Cheval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76761" y="451252"/>
          <a:ext cx="348388" cy="244078"/>
        </a:xfrm>
        <a:prstGeom prst="rect">
          <a:avLst/>
        </a:prstGeom>
        <a:noFill/>
      </xdr:spPr>
    </xdr:pic>
    <xdr:clientData/>
  </xdr:twoCellAnchor>
  <xdr:twoCellAnchor editAs="oneCell">
    <xdr:from>
      <xdr:col>61</xdr:col>
      <xdr:colOff>146926</xdr:colOff>
      <xdr:row>5</xdr:row>
      <xdr:rowOff>233</xdr:rowOff>
    </xdr:from>
    <xdr:to>
      <xdr:col>63</xdr:col>
      <xdr:colOff>127876</xdr:colOff>
      <xdr:row>6</xdr:row>
      <xdr:rowOff>63336</xdr:rowOff>
    </xdr:to>
    <xdr:pic>
      <xdr:nvPicPr>
        <xdr:cNvPr id="3" name="Cheval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</a:blip>
        <a:srcRect/>
        <a:stretch>
          <a:fillRect/>
        </a:stretch>
      </xdr:blipFill>
      <xdr:spPr bwMode="auto">
        <a:xfrm>
          <a:off x="11302606" y="716513"/>
          <a:ext cx="346710" cy="245983"/>
        </a:xfrm>
        <a:prstGeom prst="rect">
          <a:avLst/>
        </a:prstGeom>
        <a:noFill/>
      </xdr:spPr>
    </xdr:pic>
    <xdr:clientData/>
  </xdr:twoCellAnchor>
  <xdr:twoCellAnchor editAs="oneCell">
    <xdr:from>
      <xdr:col>60</xdr:col>
      <xdr:colOff>158458</xdr:colOff>
      <xdr:row>7</xdr:row>
      <xdr:rowOff>4646</xdr:rowOff>
    </xdr:from>
    <xdr:to>
      <xdr:col>62</xdr:col>
      <xdr:colOff>139528</xdr:colOff>
      <xdr:row>8</xdr:row>
      <xdr:rowOff>67749</xdr:rowOff>
    </xdr:to>
    <xdr:pic>
      <xdr:nvPicPr>
        <xdr:cNvPr id="4" name="Cheval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7030A0">
              <a:tint val="45000"/>
              <a:satMod val="400000"/>
            </a:srgbClr>
          </a:duotone>
        </a:blip>
        <a:srcRect/>
        <a:stretch>
          <a:fillRect/>
        </a:stretch>
      </xdr:blipFill>
      <xdr:spPr bwMode="auto">
        <a:xfrm>
          <a:off x="11131258" y="987626"/>
          <a:ext cx="346830" cy="245983"/>
        </a:xfrm>
        <a:prstGeom prst="rect">
          <a:avLst/>
        </a:prstGeom>
        <a:noFill/>
      </xdr:spPr>
    </xdr:pic>
    <xdr:clientData/>
  </xdr:twoCellAnchor>
  <xdr:twoCellAnchor editAs="oneCell">
    <xdr:from>
      <xdr:col>59</xdr:col>
      <xdr:colOff>139116</xdr:colOff>
      <xdr:row>9</xdr:row>
      <xdr:rowOff>1672</xdr:rowOff>
    </xdr:from>
    <xdr:to>
      <xdr:col>61</xdr:col>
      <xdr:colOff>128040</xdr:colOff>
      <xdr:row>10</xdr:row>
      <xdr:rowOff>62870</xdr:rowOff>
    </xdr:to>
    <xdr:pic>
      <xdr:nvPicPr>
        <xdr:cNvPr id="5" name="Cheval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9036" y="1251352"/>
          <a:ext cx="354684" cy="244078"/>
        </a:xfrm>
        <a:prstGeom prst="rect">
          <a:avLst/>
        </a:prstGeom>
        <a:noFill/>
      </xdr:spPr>
    </xdr:pic>
    <xdr:clientData/>
  </xdr:twoCellAnchor>
  <xdr:twoCellAnchor editAs="oneCell">
    <xdr:from>
      <xdr:col>57</xdr:col>
      <xdr:colOff>180601</xdr:colOff>
      <xdr:row>11</xdr:row>
      <xdr:rowOff>1672</xdr:rowOff>
    </xdr:from>
    <xdr:to>
      <xdr:col>59</xdr:col>
      <xdr:colOff>163689</xdr:colOff>
      <xdr:row>12</xdr:row>
      <xdr:rowOff>62870</xdr:rowOff>
    </xdr:to>
    <xdr:pic>
      <xdr:nvPicPr>
        <xdr:cNvPr id="6" name="Cheva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04761" y="1518052"/>
          <a:ext cx="348848" cy="244078"/>
        </a:xfrm>
        <a:prstGeom prst="rect">
          <a:avLst/>
        </a:prstGeom>
        <a:noFill/>
      </xdr:spPr>
    </xdr:pic>
    <xdr:clientData/>
  </xdr:twoCellAnchor>
  <xdr:twoCellAnchor editAs="oneCell">
    <xdr:from>
      <xdr:col>59</xdr:col>
      <xdr:colOff>119779</xdr:colOff>
      <xdr:row>13</xdr:row>
      <xdr:rowOff>1672</xdr:rowOff>
    </xdr:from>
    <xdr:to>
      <xdr:col>61</xdr:col>
      <xdr:colOff>100960</xdr:colOff>
      <xdr:row>14</xdr:row>
      <xdr:rowOff>62870</xdr:rowOff>
    </xdr:to>
    <xdr:pic>
      <xdr:nvPicPr>
        <xdr:cNvPr id="7" name="Cheval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09699" y="1784752"/>
          <a:ext cx="346941" cy="244078"/>
        </a:xfrm>
        <a:prstGeom prst="rect">
          <a:avLst/>
        </a:prstGeom>
        <a:noFill/>
      </xdr:spPr>
    </xdr:pic>
    <xdr:clientData/>
  </xdr:twoCellAnchor>
  <xdr:twoCellAnchor editAs="oneCell">
    <xdr:from>
      <xdr:col>62</xdr:col>
      <xdr:colOff>120252</xdr:colOff>
      <xdr:row>15</xdr:row>
      <xdr:rowOff>1672</xdr:rowOff>
    </xdr:from>
    <xdr:to>
      <xdr:col>64</xdr:col>
      <xdr:colOff>13379</xdr:colOff>
      <xdr:row>16</xdr:row>
      <xdr:rowOff>62870</xdr:rowOff>
    </xdr:to>
    <xdr:pic>
      <xdr:nvPicPr>
        <xdr:cNvPr id="8" name="Cheval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58812" y="2051452"/>
          <a:ext cx="350327" cy="244078"/>
        </a:xfrm>
        <a:prstGeom prst="rect">
          <a:avLst/>
        </a:prstGeom>
        <a:noFill/>
      </xdr:spPr>
    </xdr:pic>
    <xdr:clientData/>
  </xdr:twoCellAnchor>
  <xdr:twoCellAnchor editAs="oneCell">
    <xdr:from>
      <xdr:col>63</xdr:col>
      <xdr:colOff>216444</xdr:colOff>
      <xdr:row>17</xdr:row>
      <xdr:rowOff>1672</xdr:rowOff>
    </xdr:from>
    <xdr:to>
      <xdr:col>65</xdr:col>
      <xdr:colOff>107241</xdr:colOff>
      <xdr:row>18</xdr:row>
      <xdr:rowOff>62870</xdr:rowOff>
    </xdr:to>
    <xdr:pic>
      <xdr:nvPicPr>
        <xdr:cNvPr id="9" name="Cheval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7884" y="2318152"/>
          <a:ext cx="355617" cy="244078"/>
        </a:xfrm>
        <a:prstGeom prst="rect">
          <a:avLst/>
        </a:prstGeom>
        <a:noFill/>
      </xdr:spPr>
    </xdr:pic>
    <xdr:clientData/>
  </xdr:twoCellAnchor>
  <xdr:twoCellAnchor editAs="oneCell">
    <xdr:from>
      <xdr:col>59</xdr:col>
      <xdr:colOff>141738</xdr:colOff>
      <xdr:row>19</xdr:row>
      <xdr:rowOff>1672</xdr:rowOff>
    </xdr:from>
    <xdr:to>
      <xdr:col>61</xdr:col>
      <xdr:colOff>124400</xdr:colOff>
      <xdr:row>20</xdr:row>
      <xdr:rowOff>62870</xdr:rowOff>
    </xdr:to>
    <xdr:pic>
      <xdr:nvPicPr>
        <xdr:cNvPr id="10" name="Cheval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31658" y="2584852"/>
          <a:ext cx="348422" cy="244078"/>
        </a:xfrm>
        <a:prstGeom prst="rect">
          <a:avLst/>
        </a:prstGeom>
        <a:noFill/>
      </xdr:spPr>
    </xdr:pic>
    <xdr:clientData/>
  </xdr:twoCellAnchor>
  <xdr:twoCellAnchor editAs="oneCell">
    <xdr:from>
      <xdr:col>58</xdr:col>
      <xdr:colOff>78620</xdr:colOff>
      <xdr:row>21</xdr:row>
      <xdr:rowOff>1672</xdr:rowOff>
    </xdr:from>
    <xdr:to>
      <xdr:col>60</xdr:col>
      <xdr:colOff>63190</xdr:colOff>
      <xdr:row>22</xdr:row>
      <xdr:rowOff>62870</xdr:rowOff>
    </xdr:to>
    <xdr:pic>
      <xdr:nvPicPr>
        <xdr:cNvPr id="11" name="Cheval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85660" y="2851552"/>
          <a:ext cx="350330" cy="244078"/>
        </a:xfrm>
        <a:prstGeom prst="rect">
          <a:avLst/>
        </a:prstGeom>
        <a:noFill/>
      </xdr:spPr>
    </xdr:pic>
    <xdr:clientData/>
  </xdr:twoCellAnchor>
  <xdr:twoCellAnchor editAs="oneCell">
    <xdr:from>
      <xdr:col>59</xdr:col>
      <xdr:colOff>87026</xdr:colOff>
      <xdr:row>23</xdr:row>
      <xdr:rowOff>0</xdr:rowOff>
    </xdr:from>
    <xdr:to>
      <xdr:col>61</xdr:col>
      <xdr:colOff>68205</xdr:colOff>
      <xdr:row>24</xdr:row>
      <xdr:rowOff>63103</xdr:rowOff>
    </xdr:to>
    <xdr:pic>
      <xdr:nvPicPr>
        <xdr:cNvPr id="15" name="Cheval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76946" y="3131820"/>
          <a:ext cx="346939" cy="245983"/>
        </a:xfrm>
        <a:prstGeom prst="rect">
          <a:avLst/>
        </a:prstGeom>
        <a:noFill/>
      </xdr:spPr>
    </xdr:pic>
    <xdr:clientData/>
  </xdr:twoCellAnchor>
  <xdr:twoCellAnchor editAs="oneCell">
    <xdr:from>
      <xdr:col>61</xdr:col>
      <xdr:colOff>120830</xdr:colOff>
      <xdr:row>25</xdr:row>
      <xdr:rowOff>0</xdr:rowOff>
    </xdr:from>
    <xdr:to>
      <xdr:col>63</xdr:col>
      <xdr:colOff>104189</xdr:colOff>
      <xdr:row>26</xdr:row>
      <xdr:rowOff>63103</xdr:rowOff>
    </xdr:to>
    <xdr:pic>
      <xdr:nvPicPr>
        <xdr:cNvPr id="16" name="Cheval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76510" y="3413760"/>
          <a:ext cx="349119" cy="245983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17</xdr:col>
      <xdr:colOff>0</xdr:colOff>
      <xdr:row>2</xdr:row>
      <xdr:rowOff>0</xdr:rowOff>
    </xdr:to>
    <xdr:sp macro="[0]!Feuil1.nouvellepartie" textlink="">
      <xdr:nvSpPr>
        <xdr:cNvPr id="18" name="Rectangle 17"/>
        <xdr:cNvSpPr/>
      </xdr:nvSpPr>
      <xdr:spPr>
        <a:xfrm>
          <a:off x="1847850" y="0"/>
          <a:ext cx="12668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Nouvelle course</a:t>
          </a:r>
        </a:p>
      </xdr:txBody>
    </xdr:sp>
    <xdr:clientData/>
  </xdr:twoCellAnchor>
  <xdr:twoCellAnchor>
    <xdr:from>
      <xdr:col>21</xdr:col>
      <xdr:colOff>0</xdr:colOff>
      <xdr:row>0</xdr:row>
      <xdr:rowOff>0</xdr:rowOff>
    </xdr:from>
    <xdr:to>
      <xdr:col>26</xdr:col>
      <xdr:colOff>0</xdr:colOff>
      <xdr:row>2</xdr:row>
      <xdr:rowOff>0</xdr:rowOff>
    </xdr:to>
    <xdr:sp macro="[0]!Feuil1.course" textlink="">
      <xdr:nvSpPr>
        <xdr:cNvPr id="19" name="Rectangle 18"/>
        <xdr:cNvSpPr/>
      </xdr:nvSpPr>
      <xdr:spPr>
        <a:xfrm>
          <a:off x="3838575" y="0"/>
          <a:ext cx="90487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Départ</a:t>
          </a:r>
        </a:p>
      </xdr:txBody>
    </xdr:sp>
    <xdr:clientData/>
  </xdr:twoCellAnchor>
  <xdr:twoCellAnchor>
    <xdr:from>
      <xdr:col>1</xdr:col>
      <xdr:colOff>1</xdr:colOff>
      <xdr:row>0</xdr:row>
      <xdr:rowOff>0</xdr:rowOff>
    </xdr:from>
    <xdr:to>
      <xdr:col>7</xdr:col>
      <xdr:colOff>0</xdr:colOff>
      <xdr:row>2</xdr:row>
      <xdr:rowOff>0</xdr:rowOff>
    </xdr:to>
    <xdr:sp macro="[0]!Feuil1.initialisation" textlink="">
      <xdr:nvSpPr>
        <xdr:cNvPr id="17" name="Rectangle 16"/>
        <xdr:cNvSpPr/>
      </xdr:nvSpPr>
      <xdr:spPr>
        <a:xfrm>
          <a:off x="200026" y="0"/>
          <a:ext cx="1104899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Initialisation</a:t>
          </a:r>
        </a:p>
      </xdr:txBody>
    </xdr:sp>
    <xdr:clientData/>
  </xdr:twoCellAnchor>
  <xdr:twoCellAnchor>
    <xdr:from>
      <xdr:col>36</xdr:col>
      <xdr:colOff>110067</xdr:colOff>
      <xdr:row>36</xdr:row>
      <xdr:rowOff>52500</xdr:rowOff>
    </xdr:from>
    <xdr:to>
      <xdr:col>44</xdr:col>
      <xdr:colOff>16934</xdr:colOff>
      <xdr:row>38</xdr:row>
      <xdr:rowOff>162567</xdr:rowOff>
    </xdr:to>
    <xdr:sp macro="[0]!Feuil1.misesautomatiques" textlink="">
      <xdr:nvSpPr>
        <xdr:cNvPr id="21" name="Rectangle à coins arrondis 20"/>
        <xdr:cNvSpPr/>
      </xdr:nvSpPr>
      <xdr:spPr>
        <a:xfrm>
          <a:off x="6815667" y="5530433"/>
          <a:ext cx="1397000" cy="49953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Mises automatiques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P53"/>
  <sheetViews>
    <sheetView showGridLines="0" tabSelected="1" zoomScale="90" zoomScaleNormal="90" workbookViewId="0">
      <selection activeCell="AC41" sqref="AC41:AW42"/>
    </sheetView>
  </sheetViews>
  <sheetFormatPr baseColWidth="10" defaultColWidth="2.6640625" defaultRowHeight="14.4"/>
  <cols>
    <col min="1" max="1" width="2.6640625" customWidth="1"/>
    <col min="7" max="7" width="2.6640625" customWidth="1"/>
    <col min="23" max="25" width="2.6640625" customWidth="1"/>
    <col min="27" max="27" width="2.6640625" customWidth="1"/>
    <col min="31" max="31" width="2.6640625" customWidth="1"/>
    <col min="49" max="49" width="2.6640625" customWidth="1"/>
    <col min="51" max="51" width="2.6640625" customWidth="1"/>
    <col min="64" max="64" width="4" bestFit="1" customWidth="1"/>
    <col min="65" max="65" width="2.77734375" bestFit="1" customWidth="1"/>
    <col min="66" max="66" width="2.88671875" customWidth="1"/>
    <col min="67" max="67" width="3.44140625" bestFit="1" customWidth="1"/>
    <col min="68" max="80" width="5.6640625" customWidth="1"/>
  </cols>
  <sheetData>
    <row r="1" spans="1:94">
      <c r="AK1" s="5" t="b">
        <v>0</v>
      </c>
      <c r="BO1" s="7"/>
      <c r="BP1" s="7"/>
      <c r="BQ1" s="7"/>
      <c r="BR1" s="5"/>
      <c r="BS1" s="5"/>
      <c r="BT1" s="5"/>
      <c r="BU1" s="5"/>
      <c r="BV1" s="9">
        <v>832.81585693359375</v>
      </c>
      <c r="BW1" s="9">
        <f>IF(BV1=MAX($BP$4:$BQ$26),0,BV1)</f>
        <v>832.81585693359375</v>
      </c>
      <c r="BX1" s="9">
        <f>IF(BW1=MAX($BR$4:$BS$26),0,BW1)</f>
        <v>832.81585693359375</v>
      </c>
      <c r="BY1" s="6">
        <f>IF(BV1=MAX($BP$4:$BQ$26),ROW(BV1),)</f>
        <v>0</v>
      </c>
      <c r="BZ1" s="6">
        <f>IF(BW1=MAX($BR$4:$BS$26),ROW(BW1),)</f>
        <v>0</v>
      </c>
      <c r="CA1" s="6">
        <f>IF(BX1=MAX($BT$4:$BU$26),ROW(BX1),)</f>
        <v>0</v>
      </c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</row>
    <row r="2" spans="1:94">
      <c r="BO2" s="7"/>
      <c r="BP2" s="7"/>
      <c r="BQ2" s="7"/>
      <c r="BR2" s="5"/>
      <c r="BS2" s="5"/>
      <c r="BT2" s="5"/>
      <c r="BU2" s="5"/>
      <c r="BV2" s="10">
        <v>889.968994140625</v>
      </c>
      <c r="BW2" s="9">
        <f t="shared" ref="BW2:BW12" si="0">IF(BV2=MAX($BP$4:$BQ$26),0,BV2)</f>
        <v>889.968994140625</v>
      </c>
      <c r="BX2" s="9">
        <f t="shared" ref="BX2:BX12" si="1">IF(BW2=MAX($BR$4:$BS$26),0,BW2)</f>
        <v>889.968994140625</v>
      </c>
      <c r="BY2" s="6">
        <f t="shared" ref="BY2:BY11" si="2">IF(BV2=MAX($BP$4:$BQ$26),ROW(BV2),)</f>
        <v>0</v>
      </c>
      <c r="BZ2" s="6">
        <f t="shared" ref="BZ2:BZ11" si="3">IF(BW2=MAX($BR$4:$BS$26),ROW(BW2),)</f>
        <v>0</v>
      </c>
      <c r="CA2" s="6">
        <f t="shared" ref="CA2:CA12" si="4">IF(BX2=MAX($BT$4:$BU$26),ROW(BX2),)</f>
        <v>2</v>
      </c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 ht="6.9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4"/>
      <c r="BJ3" s="15"/>
      <c r="BK3" s="15"/>
      <c r="BL3" s="15"/>
      <c r="BM3" s="15"/>
      <c r="BN3" s="16"/>
      <c r="BO3" s="7"/>
      <c r="BP3" s="7"/>
      <c r="BQ3" s="7"/>
      <c r="BR3" s="5"/>
      <c r="BS3" s="5"/>
      <c r="BT3" s="5"/>
      <c r="BU3" s="5"/>
      <c r="BV3" s="10">
        <v>876.47705078125</v>
      </c>
      <c r="BW3" s="9">
        <f t="shared" si="0"/>
        <v>876.47705078125</v>
      </c>
      <c r="BX3" s="9">
        <f t="shared" si="1"/>
        <v>876.47705078125</v>
      </c>
      <c r="BY3" s="6">
        <f>IF(BV3=MAX($BP$4:$BQ$26),ROW(BV3),)</f>
        <v>0</v>
      </c>
      <c r="BZ3" s="6">
        <f t="shared" si="3"/>
        <v>0</v>
      </c>
      <c r="CA3" s="6">
        <f t="shared" si="4"/>
        <v>0</v>
      </c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</row>
    <row r="4" spans="1:94">
      <c r="A4" s="3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7"/>
      <c r="BP4" s="45">
        <v>832.81585693359375</v>
      </c>
      <c r="BQ4" s="45"/>
      <c r="BR4" s="45">
        <f>IF(BP4=MAX($BP$4:$BQ$26),0,BP4)</f>
        <v>832.81585693359375</v>
      </c>
      <c r="BS4" s="45"/>
      <c r="BT4" s="45">
        <f>IF(BR4=MAX($BR$4:$BS$26),0,BR4)</f>
        <v>832.81585693359375</v>
      </c>
      <c r="BU4" s="45"/>
      <c r="BV4" s="10">
        <v>860.55401611328125</v>
      </c>
      <c r="BW4" s="9">
        <f t="shared" si="0"/>
        <v>860.55401611328125</v>
      </c>
      <c r="BX4" s="9">
        <f t="shared" si="1"/>
        <v>860.55401611328125</v>
      </c>
      <c r="BY4" s="6">
        <f t="shared" si="2"/>
        <v>0</v>
      </c>
      <c r="BZ4" s="6">
        <f t="shared" si="3"/>
        <v>0</v>
      </c>
      <c r="CA4" s="6">
        <f t="shared" si="4"/>
        <v>0</v>
      </c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</row>
    <row r="5" spans="1:94" ht="6.9" customHeight="1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4"/>
      <c r="BJ5" s="15"/>
      <c r="BK5" s="15"/>
      <c r="BL5" s="15"/>
      <c r="BM5" s="15"/>
      <c r="BN5" s="16"/>
      <c r="BO5" s="7"/>
      <c r="BP5" s="11"/>
      <c r="BQ5" s="12"/>
      <c r="BR5" s="45"/>
      <c r="BS5" s="45"/>
      <c r="BT5" s="45"/>
      <c r="BU5" s="45"/>
      <c r="BV5" s="10">
        <v>835.02056884765625</v>
      </c>
      <c r="BW5" s="9">
        <f t="shared" si="0"/>
        <v>835.02056884765625</v>
      </c>
      <c r="BX5" s="9">
        <f t="shared" si="1"/>
        <v>835.02056884765625</v>
      </c>
      <c r="BY5" s="6">
        <f t="shared" si="2"/>
        <v>0</v>
      </c>
      <c r="BZ5" s="6">
        <f t="shared" si="3"/>
        <v>0</v>
      </c>
      <c r="CA5" s="6">
        <f t="shared" si="4"/>
        <v>0</v>
      </c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</row>
    <row r="6" spans="1:94">
      <c r="A6" s="3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7"/>
      <c r="BP6" s="45">
        <v>889.968994140625</v>
      </c>
      <c r="BQ6" s="45"/>
      <c r="BR6" s="45">
        <f t="shared" ref="BR6:BR26" si="5">IF(BP6=MAX($BP$4:$BQ$26),0,BP6)</f>
        <v>889.968994140625</v>
      </c>
      <c r="BS6" s="45"/>
      <c r="BT6" s="45">
        <f>IF(BR6=MAX($BR$4:$BS$26),0,BR6)</f>
        <v>889.968994140625</v>
      </c>
      <c r="BU6" s="45"/>
      <c r="BV6" s="10">
        <v>859.03143310546875</v>
      </c>
      <c r="BW6" s="9">
        <f t="shared" si="0"/>
        <v>859.03143310546875</v>
      </c>
      <c r="BX6" s="9">
        <f t="shared" si="1"/>
        <v>859.03143310546875</v>
      </c>
      <c r="BY6" s="6">
        <f t="shared" si="2"/>
        <v>0</v>
      </c>
      <c r="BZ6" s="6">
        <f t="shared" si="3"/>
        <v>0</v>
      </c>
      <c r="CA6" s="6">
        <f t="shared" si="4"/>
        <v>0</v>
      </c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</row>
    <row r="7" spans="1:94" ht="6.9" customHeight="1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4"/>
      <c r="BJ7" s="15"/>
      <c r="BK7" s="15"/>
      <c r="BL7" s="15"/>
      <c r="BM7" s="15"/>
      <c r="BN7" s="16"/>
      <c r="BO7" s="7"/>
      <c r="BP7" s="11"/>
      <c r="BQ7" s="12"/>
      <c r="BR7" s="45"/>
      <c r="BS7" s="45"/>
      <c r="BT7" s="45"/>
      <c r="BU7" s="45"/>
      <c r="BV7" s="10">
        <v>902.2686767578125</v>
      </c>
      <c r="BW7" s="9">
        <f t="shared" si="0"/>
        <v>902.2686767578125</v>
      </c>
      <c r="BX7" s="9">
        <f t="shared" si="1"/>
        <v>0</v>
      </c>
      <c r="BY7" s="6">
        <f t="shared" si="2"/>
        <v>0</v>
      </c>
      <c r="BZ7" s="6">
        <f t="shared" si="3"/>
        <v>7</v>
      </c>
      <c r="CA7" s="6">
        <f t="shared" si="4"/>
        <v>0</v>
      </c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</row>
    <row r="8" spans="1:94">
      <c r="A8" s="3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7"/>
      <c r="BP8" s="45">
        <v>876.47705078125</v>
      </c>
      <c r="BQ8" s="45"/>
      <c r="BR8" s="45">
        <f t="shared" si="5"/>
        <v>876.47705078125</v>
      </c>
      <c r="BS8" s="45"/>
      <c r="BT8" s="45">
        <f>IF(BR8=MAX($BR$4:$BS$26),0,BR8)</f>
        <v>876.47705078125</v>
      </c>
      <c r="BU8" s="45"/>
      <c r="BV8" s="10">
        <v>924.24285888671875</v>
      </c>
      <c r="BW8" s="9">
        <f t="shared" si="0"/>
        <v>0</v>
      </c>
      <c r="BX8" s="9">
        <f t="shared" si="1"/>
        <v>0</v>
      </c>
      <c r="BY8" s="6">
        <f t="shared" si="2"/>
        <v>8</v>
      </c>
      <c r="BZ8" s="6">
        <f t="shared" si="3"/>
        <v>0</v>
      </c>
      <c r="CA8" s="6">
        <f t="shared" si="4"/>
        <v>0</v>
      </c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</row>
    <row r="9" spans="1:94" ht="6.9" customHeight="1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4"/>
      <c r="BJ9" s="15"/>
      <c r="BK9" s="15"/>
      <c r="BL9" s="15"/>
      <c r="BM9" s="15"/>
      <c r="BN9" s="16"/>
      <c r="BO9" s="7"/>
      <c r="BP9" s="11"/>
      <c r="BQ9" s="12"/>
      <c r="BR9" s="45"/>
      <c r="BS9" s="45"/>
      <c r="BT9" s="45"/>
      <c r="BU9" s="45"/>
      <c r="BV9" s="10">
        <v>860.760498046875</v>
      </c>
      <c r="BW9" s="9">
        <f t="shared" si="0"/>
        <v>860.760498046875</v>
      </c>
      <c r="BX9" s="9">
        <f t="shared" si="1"/>
        <v>860.760498046875</v>
      </c>
      <c r="BY9" s="6">
        <f t="shared" si="2"/>
        <v>0</v>
      </c>
      <c r="BZ9" s="6">
        <f t="shared" si="3"/>
        <v>0</v>
      </c>
      <c r="CA9" s="6">
        <f t="shared" si="4"/>
        <v>0</v>
      </c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</row>
    <row r="10" spans="1:94">
      <c r="A10" s="3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7"/>
      <c r="BP10" s="45">
        <v>860.55401611328125</v>
      </c>
      <c r="BQ10" s="45"/>
      <c r="BR10" s="45">
        <f t="shared" si="5"/>
        <v>860.55401611328125</v>
      </c>
      <c r="BS10" s="45"/>
      <c r="BT10" s="45">
        <f>IF(BR10=MAX($BR$4:$BS$26),0,BR10)</f>
        <v>860.55401611328125</v>
      </c>
      <c r="BU10" s="45"/>
      <c r="BV10" s="10">
        <v>841.390625</v>
      </c>
      <c r="BW10" s="9">
        <f t="shared" si="0"/>
        <v>841.390625</v>
      </c>
      <c r="BX10" s="9">
        <f t="shared" si="1"/>
        <v>841.390625</v>
      </c>
      <c r="BY10" s="6">
        <f t="shared" si="2"/>
        <v>0</v>
      </c>
      <c r="BZ10" s="6">
        <f t="shared" si="3"/>
        <v>0</v>
      </c>
      <c r="CA10" s="6">
        <f t="shared" si="4"/>
        <v>0</v>
      </c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</row>
    <row r="11" spans="1:94" ht="6.9" customHeight="1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4"/>
      <c r="BJ11" s="15"/>
      <c r="BK11" s="15"/>
      <c r="BL11" s="15"/>
      <c r="BM11" s="15"/>
      <c r="BN11" s="16"/>
      <c r="BO11" s="7"/>
      <c r="BP11" s="11"/>
      <c r="BQ11" s="12"/>
      <c r="BR11" s="45"/>
      <c r="BS11" s="45"/>
      <c r="BT11" s="45"/>
      <c r="BU11" s="45"/>
      <c r="BV11" s="10">
        <v>856.4525146484375</v>
      </c>
      <c r="BW11" s="9">
        <f t="shared" si="0"/>
        <v>856.4525146484375</v>
      </c>
      <c r="BX11" s="9">
        <f t="shared" si="1"/>
        <v>856.4525146484375</v>
      </c>
      <c r="BY11" s="6">
        <f t="shared" si="2"/>
        <v>0</v>
      </c>
      <c r="BZ11" s="6">
        <f t="shared" si="3"/>
        <v>0</v>
      </c>
      <c r="CA11" s="6">
        <f t="shared" si="4"/>
        <v>0</v>
      </c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</row>
    <row r="12" spans="1:94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7"/>
      <c r="BP12" s="45">
        <v>835.02056884765625</v>
      </c>
      <c r="BQ12" s="45"/>
      <c r="BR12" s="45">
        <f t="shared" si="5"/>
        <v>835.02056884765625</v>
      </c>
      <c r="BS12" s="45"/>
      <c r="BT12" s="45">
        <f>IF(BR12=MAX($BR$4:$BS$26),0,BR12)</f>
        <v>835.02056884765625</v>
      </c>
      <c r="BU12" s="45"/>
      <c r="BV12" s="10">
        <v>887.9141845703125</v>
      </c>
      <c r="BW12" s="9">
        <f t="shared" si="0"/>
        <v>887.9141845703125</v>
      </c>
      <c r="BX12" s="9">
        <f t="shared" si="1"/>
        <v>887.9141845703125</v>
      </c>
      <c r="BY12" s="6">
        <f>IF(BV12=MAX($BP$4:$BQ$26),ROW(BV12),)</f>
        <v>0</v>
      </c>
      <c r="BZ12" s="6">
        <f>IF(BW12=MAX($BR$4:$BS$26),ROW(BW12),)</f>
        <v>0</v>
      </c>
      <c r="CA12" s="6">
        <f t="shared" si="4"/>
        <v>0</v>
      </c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</row>
    <row r="13" spans="1:94" ht="6.9" customHeight="1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4"/>
      <c r="BJ13" s="15"/>
      <c r="BK13" s="15"/>
      <c r="BL13" s="15"/>
      <c r="BM13" s="15"/>
      <c r="BN13" s="16"/>
      <c r="BO13" s="7"/>
      <c r="BP13" s="11"/>
      <c r="BQ13" s="12"/>
      <c r="BR13" s="45"/>
      <c r="BS13" s="45"/>
      <c r="BT13" s="45"/>
      <c r="BU13" s="45"/>
      <c r="BV13" s="5"/>
      <c r="BW13" s="5"/>
      <c r="BX13" s="5"/>
      <c r="BY13" s="5"/>
      <c r="BZ13" s="5"/>
      <c r="CA13" s="5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</row>
    <row r="14" spans="1:94">
      <c r="A14" s="3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7"/>
      <c r="BP14" s="45">
        <v>859.03143310546875</v>
      </c>
      <c r="BQ14" s="45"/>
      <c r="BR14" s="45">
        <f t="shared" si="5"/>
        <v>859.03143310546875</v>
      </c>
      <c r="BS14" s="45"/>
      <c r="BT14" s="45">
        <f>IF(BR14=MAX($BR$4:$BS$26),0,BR14)</f>
        <v>859.03143310546875</v>
      </c>
      <c r="BU14" s="45"/>
      <c r="BV14" s="5"/>
      <c r="BW14" s="5"/>
      <c r="BX14" s="5"/>
      <c r="BY14" s="8">
        <f>IF(SUM(BY1:BY12) = 78,0,SUM(BY1:BY12))</f>
        <v>8</v>
      </c>
      <c r="BZ14" s="8">
        <f>IF(SUM(BZ1:BZ12) = 78,0,SUM(BZ1:BZ12))</f>
        <v>7</v>
      </c>
      <c r="CA14" s="8">
        <f>IF(SUM(CA1:CA12) = 78,0,SUM(CA1:CA12))</f>
        <v>2</v>
      </c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</row>
    <row r="15" spans="1:94" ht="6.9" customHeight="1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4"/>
      <c r="BJ15" s="15"/>
      <c r="BK15" s="15"/>
      <c r="BL15" s="15"/>
      <c r="BM15" s="15"/>
      <c r="BN15" s="16"/>
      <c r="BO15" s="7"/>
      <c r="BP15" s="11"/>
      <c r="BQ15" s="12"/>
      <c r="BR15" s="45"/>
      <c r="BS15" s="45"/>
      <c r="BT15" s="45"/>
      <c r="BU15" s="45"/>
      <c r="BV15" s="5"/>
      <c r="BW15" s="5"/>
      <c r="BX15" s="5"/>
      <c r="BY15" s="5"/>
      <c r="BZ15" s="5"/>
      <c r="CA15" s="5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</row>
    <row r="16" spans="1:94">
      <c r="A16" s="3">
        <v>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7"/>
      <c r="BP16" s="45">
        <v>902.2686767578125</v>
      </c>
      <c r="BQ16" s="45"/>
      <c r="BR16" s="45">
        <f t="shared" si="5"/>
        <v>902.2686767578125</v>
      </c>
      <c r="BS16" s="45"/>
      <c r="BT16" s="45">
        <f>IF(BR16=MAX($BR$4:$BS$26),0,BR16)</f>
        <v>0</v>
      </c>
      <c r="BU16" s="45"/>
      <c r="BV16" s="5"/>
      <c r="BW16" s="5"/>
      <c r="BX16" s="5"/>
      <c r="BY16" s="5"/>
      <c r="BZ16" s="5"/>
      <c r="CA16" s="5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</row>
    <row r="17" spans="1:94" ht="6.9" customHeight="1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4"/>
      <c r="BJ17" s="15"/>
      <c r="BK17" s="15"/>
      <c r="BL17" s="15"/>
      <c r="BM17" s="15"/>
      <c r="BN17" s="16"/>
      <c r="BO17" s="7"/>
      <c r="BP17" s="11"/>
      <c r="BQ17" s="12"/>
      <c r="BR17" s="45"/>
      <c r="BS17" s="45"/>
      <c r="BT17" s="45"/>
      <c r="BU17" s="45"/>
      <c r="BV17" s="5"/>
      <c r="BW17" s="5"/>
      <c r="BX17" s="5"/>
      <c r="BY17" s="5"/>
      <c r="BZ17" s="5"/>
      <c r="CA17" s="5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</row>
    <row r="18" spans="1:94">
      <c r="A18" s="3">
        <v>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7"/>
      <c r="BP18" s="45">
        <v>924.24285888671875</v>
      </c>
      <c r="BQ18" s="45"/>
      <c r="BR18" s="45">
        <f t="shared" si="5"/>
        <v>0</v>
      </c>
      <c r="BS18" s="45"/>
      <c r="BT18" s="45">
        <f>IF(BR18=MAX($BR$4:$BS$26),0,BR18)</f>
        <v>0</v>
      </c>
      <c r="BU18" s="45"/>
      <c r="BV18" s="5"/>
      <c r="BW18" s="5"/>
      <c r="BX18" s="5"/>
      <c r="BY18" s="5"/>
      <c r="BZ18" s="5"/>
      <c r="CA18" s="5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</row>
    <row r="19" spans="1:94" ht="6.9" customHeight="1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4"/>
      <c r="BJ19" s="15"/>
      <c r="BK19" s="15"/>
      <c r="BL19" s="15"/>
      <c r="BM19" s="15"/>
      <c r="BN19" s="16"/>
      <c r="BO19" s="7"/>
      <c r="BP19" s="11"/>
      <c r="BQ19" s="12"/>
      <c r="BR19" s="45"/>
      <c r="BS19" s="45"/>
      <c r="BT19" s="45"/>
      <c r="BU19" s="45"/>
      <c r="BV19" s="5"/>
      <c r="BW19" s="5"/>
      <c r="BX19" s="5"/>
      <c r="BY19" s="5"/>
      <c r="BZ19" s="5"/>
      <c r="CA19" s="5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</row>
    <row r="20" spans="1:94">
      <c r="A20" s="3">
        <v>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7"/>
      <c r="BP20" s="45">
        <v>860.760498046875</v>
      </c>
      <c r="BQ20" s="45"/>
      <c r="BR20" s="45">
        <f t="shared" si="5"/>
        <v>860.760498046875</v>
      </c>
      <c r="BS20" s="45"/>
      <c r="BT20" s="45">
        <f>IF(BR20=MAX($BR$4:$BS$26),0,BR20)</f>
        <v>860.760498046875</v>
      </c>
      <c r="BU20" s="45"/>
      <c r="BV20" s="5"/>
      <c r="BW20" s="5"/>
      <c r="BX20" s="5"/>
      <c r="BY20" s="5"/>
      <c r="BZ20" s="5"/>
      <c r="CA20" s="5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</row>
    <row r="21" spans="1:94" ht="6.9" customHeight="1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4"/>
      <c r="BJ21" s="15"/>
      <c r="BK21" s="15"/>
      <c r="BL21" s="15"/>
      <c r="BM21" s="15"/>
      <c r="BN21" s="16"/>
      <c r="BO21" s="7"/>
      <c r="BP21" s="11"/>
      <c r="BQ21" s="12"/>
      <c r="BR21" s="45"/>
      <c r="BS21" s="45"/>
      <c r="BT21" s="45"/>
      <c r="BU21" s="45"/>
      <c r="BV21" s="5"/>
      <c r="BW21" s="5"/>
      <c r="BX21" s="5"/>
      <c r="BY21" s="5"/>
      <c r="BZ21" s="5"/>
      <c r="CA21" s="5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</row>
    <row r="22" spans="1:94">
      <c r="A22" s="3">
        <v>10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7"/>
      <c r="BP22" s="45">
        <v>841.390625</v>
      </c>
      <c r="BQ22" s="45"/>
      <c r="BR22" s="45">
        <f t="shared" si="5"/>
        <v>841.390625</v>
      </c>
      <c r="BS22" s="45"/>
      <c r="BT22" s="45">
        <f>IF(BR22=MAX($BR$4:$BS$26),0,BR22)</f>
        <v>841.390625</v>
      </c>
      <c r="BU22" s="45"/>
      <c r="BV22" s="5"/>
      <c r="BW22" s="5"/>
      <c r="BX22" s="5"/>
      <c r="BY22" s="5"/>
      <c r="BZ22" s="5"/>
      <c r="CA22" s="5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</row>
    <row r="23" spans="1:94" ht="8.1" customHeight="1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4"/>
      <c r="BJ23" s="15"/>
      <c r="BK23" s="15"/>
      <c r="BL23" s="15"/>
      <c r="BM23" s="15"/>
      <c r="BN23" s="16"/>
      <c r="BO23" s="7"/>
      <c r="BP23" s="11"/>
      <c r="BQ23" s="12"/>
      <c r="BR23" s="45"/>
      <c r="BS23" s="45"/>
      <c r="BT23" s="45"/>
      <c r="BU23" s="45"/>
      <c r="BV23" s="5"/>
      <c r="BW23" s="5"/>
      <c r="BX23" s="5"/>
      <c r="BY23" s="5"/>
      <c r="BZ23" s="5"/>
      <c r="CA23" s="5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</row>
    <row r="24" spans="1:94">
      <c r="A24" s="3">
        <v>11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7"/>
      <c r="BP24" s="45">
        <v>856.4525146484375</v>
      </c>
      <c r="BQ24" s="45"/>
      <c r="BR24" s="45">
        <f t="shared" si="5"/>
        <v>856.4525146484375</v>
      </c>
      <c r="BS24" s="45"/>
      <c r="BT24" s="45">
        <f>IF(BR24=MAX($BR$4:$BS$26),0,BR24)</f>
        <v>856.4525146484375</v>
      </c>
      <c r="BU24" s="45"/>
      <c r="BV24" s="5"/>
      <c r="BW24" s="5"/>
      <c r="BX24" s="5"/>
      <c r="BY24" s="5"/>
      <c r="BZ24" s="5"/>
      <c r="CA24" s="5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</row>
    <row r="25" spans="1:94" ht="8.1" customHeight="1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4"/>
      <c r="BJ25" s="15"/>
      <c r="BK25" s="15"/>
      <c r="BL25" s="15"/>
      <c r="BM25" s="15"/>
      <c r="BN25" s="16"/>
      <c r="BO25" s="7"/>
      <c r="BP25" s="11"/>
      <c r="BQ25" s="12"/>
      <c r="BR25" s="45"/>
      <c r="BS25" s="45"/>
      <c r="BT25" s="45"/>
      <c r="BU25" s="45"/>
      <c r="BV25" s="5"/>
      <c r="BW25" s="5"/>
      <c r="BX25" s="5"/>
      <c r="BY25" s="5"/>
      <c r="BZ25" s="5"/>
      <c r="CA25" s="5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</row>
    <row r="26" spans="1:94">
      <c r="A26" s="3">
        <v>12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7"/>
      <c r="BP26" s="45">
        <v>887.9141845703125</v>
      </c>
      <c r="BQ26" s="45"/>
      <c r="BR26" s="45">
        <f t="shared" si="5"/>
        <v>887.9141845703125</v>
      </c>
      <c r="BS26" s="45"/>
      <c r="BT26" s="45">
        <f>IF(BR26=MAX($BR$4:$BS$26),0,BR26)</f>
        <v>887.9141845703125</v>
      </c>
      <c r="BU26" s="45"/>
      <c r="BV26" s="5"/>
      <c r="BW26" s="5"/>
      <c r="BX26" s="5"/>
      <c r="BY26" s="5"/>
      <c r="BZ26" s="5"/>
      <c r="CA26" s="5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</row>
    <row r="27" spans="1:94" ht="8.1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4"/>
      <c r="BJ27" s="15"/>
      <c r="BK27" s="15"/>
      <c r="BL27" s="15"/>
      <c r="BM27" s="15"/>
      <c r="BN27" s="16"/>
      <c r="BO27" s="7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</row>
    <row r="28" spans="1:94" ht="15" thickBot="1">
      <c r="AE28" s="60" t="s">
        <v>12</v>
      </c>
      <c r="AF28" s="31"/>
      <c r="AG28" s="32"/>
      <c r="AH28" s="60" t="s">
        <v>13</v>
      </c>
      <c r="AI28" s="31"/>
      <c r="AJ28" s="32"/>
      <c r="AK28" s="60" t="s">
        <v>16</v>
      </c>
      <c r="AL28" s="31"/>
      <c r="AM28" s="31"/>
      <c r="AN28" s="31" t="s">
        <v>17</v>
      </c>
      <c r="AO28" s="31"/>
      <c r="AP28" s="31"/>
      <c r="AQ28" s="31" t="s">
        <v>18</v>
      </c>
      <c r="AR28" s="31"/>
      <c r="AS28" s="103"/>
      <c r="AT28" s="31" t="s">
        <v>14</v>
      </c>
      <c r="AU28" s="31"/>
      <c r="AV28" s="32"/>
      <c r="AW28" s="114" t="s">
        <v>32</v>
      </c>
      <c r="AX28" s="115"/>
      <c r="AY28" s="116"/>
      <c r="BO28" s="7"/>
      <c r="BP28" s="5"/>
      <c r="BQ28" s="5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</row>
    <row r="29" spans="1:94">
      <c r="B29" t="s">
        <v>0</v>
      </c>
      <c r="G29" s="4">
        <v>49</v>
      </c>
      <c r="I29" t="s">
        <v>4</v>
      </c>
      <c r="N29" s="4">
        <v>34</v>
      </c>
      <c r="O29" s="3"/>
      <c r="P29" t="s">
        <v>8</v>
      </c>
      <c r="V29" s="4">
        <v>32</v>
      </c>
      <c r="AA29" s="33" t="s">
        <v>36</v>
      </c>
      <c r="AB29" s="34"/>
      <c r="AC29" s="34"/>
      <c r="AD29" s="35"/>
      <c r="AE29" s="108">
        <v>476</v>
      </c>
      <c r="AF29" s="48"/>
      <c r="AG29" s="49"/>
      <c r="AH29" s="113">
        <v>52</v>
      </c>
      <c r="AI29" s="105"/>
      <c r="AJ29" s="107"/>
      <c r="AK29" s="113">
        <v>4</v>
      </c>
      <c r="AL29" s="105"/>
      <c r="AM29" s="106"/>
      <c r="AN29" s="104">
        <v>11</v>
      </c>
      <c r="AO29" s="105"/>
      <c r="AP29" s="106"/>
      <c r="AQ29" s="104">
        <v>9</v>
      </c>
      <c r="AR29" s="105"/>
      <c r="AS29" s="107"/>
      <c r="AT29" s="48"/>
      <c r="AU29" s="48"/>
      <c r="AV29" s="49"/>
      <c r="AW29" s="117">
        <f>IFERROR(AT29/AH29,"")</f>
        <v>0</v>
      </c>
      <c r="AX29" s="118"/>
      <c r="AY29" s="119"/>
      <c r="BB29" s="47"/>
      <c r="BC29" s="47"/>
      <c r="BD29" s="47"/>
      <c r="BE29" s="47"/>
      <c r="BF29" s="47"/>
      <c r="BG29" s="47"/>
      <c r="BH29" s="47"/>
      <c r="BI29" s="46"/>
      <c r="BJ29" s="46"/>
      <c r="BK29" s="46"/>
      <c r="BL29" s="46"/>
      <c r="BM29" s="46"/>
      <c r="BN29" s="46"/>
      <c r="BP29" s="36">
        <f>MAX(BP4:BQ26)</f>
        <v>924.24285888671875</v>
      </c>
      <c r="BQ29" s="36"/>
      <c r="BR29" s="36">
        <f>MAX(BR4:BS26)</f>
        <v>902.2686767578125</v>
      </c>
      <c r="BS29" s="36"/>
      <c r="BT29" s="36">
        <f>MAX(BT4:BU26)</f>
        <v>889.968994140625</v>
      </c>
      <c r="BU29" s="36"/>
      <c r="BV29" s="5"/>
      <c r="BW29" s="5"/>
      <c r="BX29" s="5"/>
      <c r="BY29" s="5"/>
      <c r="BZ29" s="5"/>
      <c r="CA29" s="5"/>
      <c r="CB29" s="5"/>
    </row>
    <row r="30" spans="1:94" ht="15" thickBot="1">
      <c r="G30" s="4"/>
      <c r="N30" s="4"/>
      <c r="O30" s="3"/>
      <c r="V30" s="4"/>
      <c r="AA30" s="56" t="s">
        <v>37</v>
      </c>
      <c r="AB30" s="57"/>
      <c r="AC30" s="57"/>
      <c r="AD30" s="58"/>
      <c r="AE30" s="59">
        <v>403</v>
      </c>
      <c r="AF30" s="50"/>
      <c r="AG30" s="51"/>
      <c r="AH30" s="52">
        <v>44</v>
      </c>
      <c r="AI30" s="53"/>
      <c r="AJ30" s="54"/>
      <c r="AK30" s="52">
        <v>12</v>
      </c>
      <c r="AL30" s="53"/>
      <c r="AM30" s="55"/>
      <c r="AN30" s="62">
        <v>5</v>
      </c>
      <c r="AO30" s="53"/>
      <c r="AP30" s="55"/>
      <c r="AQ30" s="62">
        <v>11</v>
      </c>
      <c r="AR30" s="53"/>
      <c r="AS30" s="54"/>
      <c r="AT30" s="50"/>
      <c r="AU30" s="50"/>
      <c r="AV30" s="51"/>
      <c r="AW30" s="120">
        <f t="shared" ref="AW30:AW36" si="6">IFERROR(AT30/AH30,"")</f>
        <v>0</v>
      </c>
      <c r="AX30" s="121"/>
      <c r="AY30" s="122"/>
      <c r="BB30" s="47"/>
      <c r="BC30" s="47"/>
      <c r="BD30" s="47"/>
      <c r="BE30" s="47"/>
      <c r="BF30" s="47"/>
      <c r="BG30" s="47"/>
      <c r="BH30" s="47"/>
      <c r="BI30" s="46"/>
      <c r="BJ30" s="46"/>
      <c r="BK30" s="46"/>
      <c r="BL30" s="46"/>
      <c r="BM30" s="46"/>
      <c r="BN30" s="46"/>
    </row>
    <row r="31" spans="1:94" ht="14.4" customHeight="1">
      <c r="B31" t="s">
        <v>1</v>
      </c>
      <c r="G31" s="4">
        <v>41</v>
      </c>
      <c r="I31" t="s">
        <v>5</v>
      </c>
      <c r="N31" s="4">
        <v>24</v>
      </c>
      <c r="O31" s="3"/>
      <c r="P31" t="s">
        <v>9</v>
      </c>
      <c r="V31" s="4">
        <v>4</v>
      </c>
      <c r="AA31" s="56" t="s">
        <v>34</v>
      </c>
      <c r="AB31" s="57"/>
      <c r="AC31" s="57"/>
      <c r="AD31" s="58"/>
      <c r="AE31" s="59">
        <v>4967</v>
      </c>
      <c r="AF31" s="50"/>
      <c r="AG31" s="51"/>
      <c r="AH31" s="52">
        <v>495</v>
      </c>
      <c r="AI31" s="53"/>
      <c r="AJ31" s="54"/>
      <c r="AK31" s="52">
        <v>4</v>
      </c>
      <c r="AL31" s="53"/>
      <c r="AM31" s="55"/>
      <c r="AN31" s="62">
        <v>2</v>
      </c>
      <c r="AO31" s="53"/>
      <c r="AP31" s="55"/>
      <c r="AQ31" s="62">
        <v>9</v>
      </c>
      <c r="AR31" s="53"/>
      <c r="AS31" s="54"/>
      <c r="AT31" s="50">
        <v>507.375</v>
      </c>
      <c r="AU31" s="50"/>
      <c r="AV31" s="51"/>
      <c r="AW31" s="120">
        <f t="shared" si="6"/>
        <v>1.0249999999999999</v>
      </c>
      <c r="AX31" s="121"/>
      <c r="AY31" s="122"/>
      <c r="BB31" s="37" t="s">
        <v>15</v>
      </c>
      <c r="BC31" s="38"/>
      <c r="BD31" s="38"/>
      <c r="BE31" s="38"/>
      <c r="BF31" s="38"/>
      <c r="BG31" s="38"/>
      <c r="BH31" s="38"/>
      <c r="BI31" s="41" t="str">
        <f>CONCATENATE(BY14," ",BZ14," ",CA14)</f>
        <v>8 7 2</v>
      </c>
      <c r="BJ31" s="41"/>
      <c r="BK31" s="41"/>
      <c r="BL31" s="41"/>
      <c r="BM31" s="41"/>
      <c r="BN31" s="42"/>
      <c r="BO31" s="33" t="s">
        <v>22</v>
      </c>
      <c r="BP31" s="34"/>
      <c r="BQ31" s="35"/>
      <c r="BR31" s="111" t="s">
        <v>28</v>
      </c>
      <c r="BS31" s="112"/>
    </row>
    <row r="32" spans="1:94" ht="14.4" customHeight="1" thickBot="1">
      <c r="G32" s="4"/>
      <c r="N32" s="4"/>
      <c r="O32" s="3"/>
      <c r="V32" s="4"/>
      <c r="AA32" s="56" t="s">
        <v>33</v>
      </c>
      <c r="AB32" s="57"/>
      <c r="AC32" s="57"/>
      <c r="AD32" s="58"/>
      <c r="AE32" s="59">
        <v>486</v>
      </c>
      <c r="AF32" s="50"/>
      <c r="AG32" s="51"/>
      <c r="AH32" s="52">
        <v>44</v>
      </c>
      <c r="AI32" s="53"/>
      <c r="AJ32" s="54"/>
      <c r="AK32" s="52">
        <v>4</v>
      </c>
      <c r="AL32" s="53"/>
      <c r="AM32" s="55"/>
      <c r="AN32" s="62">
        <v>12</v>
      </c>
      <c r="AO32" s="53"/>
      <c r="AP32" s="55"/>
      <c r="AQ32" s="62">
        <v>2</v>
      </c>
      <c r="AR32" s="53"/>
      <c r="AS32" s="54"/>
      <c r="AT32" s="50">
        <v>90.2</v>
      </c>
      <c r="AU32" s="50"/>
      <c r="AV32" s="51"/>
      <c r="AW32" s="120">
        <f t="shared" si="6"/>
        <v>2.0500000000000003</v>
      </c>
      <c r="AX32" s="121"/>
      <c r="AY32" s="122"/>
      <c r="BB32" s="39"/>
      <c r="BC32" s="40"/>
      <c r="BD32" s="40"/>
      <c r="BE32" s="40"/>
      <c r="BF32" s="40"/>
      <c r="BG32" s="40"/>
      <c r="BH32" s="40"/>
      <c r="BI32" s="43"/>
      <c r="BJ32" s="43"/>
      <c r="BK32" s="43"/>
      <c r="BL32" s="43"/>
      <c r="BM32" s="43"/>
      <c r="BN32" s="44"/>
      <c r="BO32" s="13">
        <v>1</v>
      </c>
      <c r="BP32" s="24">
        <v>633</v>
      </c>
      <c r="BQ32" s="25"/>
      <c r="BR32" s="109">
        <f>SUM(BP32:BQ43)/3</f>
        <v>2500</v>
      </c>
      <c r="BS32" s="110"/>
    </row>
    <row r="33" spans="2:79">
      <c r="B33" t="s">
        <v>2</v>
      </c>
      <c r="G33" s="4">
        <v>2</v>
      </c>
      <c r="I33" t="s">
        <v>6</v>
      </c>
      <c r="N33" s="4">
        <v>2</v>
      </c>
      <c r="O33" s="3"/>
      <c r="P33" t="s">
        <v>10</v>
      </c>
      <c r="V33" s="4">
        <v>7</v>
      </c>
      <c r="AA33" s="56" t="s">
        <v>20</v>
      </c>
      <c r="AB33" s="57"/>
      <c r="AC33" s="57"/>
      <c r="AD33" s="58"/>
      <c r="AE33" s="59">
        <v>170</v>
      </c>
      <c r="AF33" s="50"/>
      <c r="AG33" s="51"/>
      <c r="AH33" s="52">
        <v>18</v>
      </c>
      <c r="AI33" s="53"/>
      <c r="AJ33" s="54"/>
      <c r="AK33" s="52">
        <v>10</v>
      </c>
      <c r="AL33" s="53"/>
      <c r="AM33" s="55"/>
      <c r="AN33" s="62">
        <v>7</v>
      </c>
      <c r="AO33" s="53"/>
      <c r="AP33" s="55"/>
      <c r="AQ33" s="62">
        <v>12</v>
      </c>
      <c r="AR33" s="53"/>
      <c r="AS33" s="54"/>
      <c r="AT33" s="50">
        <v>1.8</v>
      </c>
      <c r="AU33" s="50"/>
      <c r="AV33" s="51"/>
      <c r="AW33" s="120">
        <f t="shared" si="6"/>
        <v>0.1</v>
      </c>
      <c r="AX33" s="121"/>
      <c r="AY33" s="122"/>
      <c r="BO33" s="13">
        <v>2</v>
      </c>
      <c r="BP33" s="24">
        <v>622</v>
      </c>
      <c r="BQ33" s="25"/>
    </row>
    <row r="34" spans="2:79" ht="15" thickBot="1">
      <c r="G34" s="4"/>
      <c r="N34" s="4"/>
      <c r="O34" s="3"/>
      <c r="V34" s="4"/>
      <c r="AA34" s="56" t="s">
        <v>35</v>
      </c>
      <c r="AB34" s="57"/>
      <c r="AC34" s="57"/>
      <c r="AD34" s="58"/>
      <c r="AE34" s="59">
        <v>387</v>
      </c>
      <c r="AF34" s="50"/>
      <c r="AG34" s="51"/>
      <c r="AH34" s="52">
        <v>35</v>
      </c>
      <c r="AI34" s="53"/>
      <c r="AJ34" s="54"/>
      <c r="AK34" s="52">
        <v>5</v>
      </c>
      <c r="AL34" s="53"/>
      <c r="AM34" s="55"/>
      <c r="AN34" s="62">
        <v>11</v>
      </c>
      <c r="AO34" s="53"/>
      <c r="AP34" s="55"/>
      <c r="AQ34" s="62">
        <v>2</v>
      </c>
      <c r="AR34" s="53"/>
      <c r="AS34" s="54"/>
      <c r="AT34" s="50">
        <v>71.75</v>
      </c>
      <c r="AU34" s="50"/>
      <c r="AV34" s="51"/>
      <c r="AW34" s="120">
        <f t="shared" si="6"/>
        <v>2.0499999999999998</v>
      </c>
      <c r="AX34" s="121"/>
      <c r="AY34" s="122"/>
      <c r="BO34" s="13">
        <v>3</v>
      </c>
      <c r="BP34" s="24">
        <v>636</v>
      </c>
      <c r="BQ34" s="25"/>
    </row>
    <row r="35" spans="2:79" ht="15" thickBot="1">
      <c r="B35" t="s">
        <v>3</v>
      </c>
      <c r="G35" s="4">
        <v>20</v>
      </c>
      <c r="I35" t="s">
        <v>7</v>
      </c>
      <c r="N35" s="4">
        <v>31</v>
      </c>
      <c r="O35" s="3"/>
      <c r="P35" t="s">
        <v>11</v>
      </c>
      <c r="V35" s="4">
        <v>45</v>
      </c>
      <c r="AA35" s="56" t="s">
        <v>38</v>
      </c>
      <c r="AB35" s="57"/>
      <c r="AC35" s="57"/>
      <c r="AD35" s="58"/>
      <c r="AE35" s="59">
        <v>254</v>
      </c>
      <c r="AF35" s="50"/>
      <c r="AG35" s="51"/>
      <c r="AH35" s="52">
        <v>22</v>
      </c>
      <c r="AI35" s="53"/>
      <c r="AJ35" s="54"/>
      <c r="AK35" s="52">
        <v>2</v>
      </c>
      <c r="AL35" s="53"/>
      <c r="AM35" s="55"/>
      <c r="AN35" s="62">
        <v>7</v>
      </c>
      <c r="AO35" s="53"/>
      <c r="AP35" s="55"/>
      <c r="AQ35" s="62">
        <v>1</v>
      </c>
      <c r="AR35" s="53"/>
      <c r="AS35" s="54"/>
      <c r="AT35" s="50">
        <v>47.3</v>
      </c>
      <c r="AU35" s="50"/>
      <c r="AV35" s="51"/>
      <c r="AW35" s="120">
        <f t="shared" si="6"/>
        <v>2.15</v>
      </c>
      <c r="AX35" s="121"/>
      <c r="AY35" s="122"/>
      <c r="AZ35" s="76" t="s">
        <v>19</v>
      </c>
      <c r="BA35" s="76"/>
      <c r="BB35" s="76"/>
      <c r="BC35" s="76"/>
      <c r="BD35" s="76"/>
      <c r="BE35" s="70">
        <v>49875</v>
      </c>
      <c r="BF35" s="70"/>
      <c r="BG35" s="70"/>
      <c r="BH35" s="70"/>
      <c r="BI35" s="70"/>
      <c r="BJ35" s="71"/>
      <c r="BO35" s="13">
        <v>4</v>
      </c>
      <c r="BP35" s="24">
        <v>680</v>
      </c>
      <c r="BQ35" s="25"/>
    </row>
    <row r="36" spans="2:79" ht="15" thickBot="1">
      <c r="B36" s="33" t="s">
        <v>23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5"/>
      <c r="W36" s="92" t="s">
        <v>50</v>
      </c>
      <c r="X36" s="93"/>
      <c r="Y36" s="93"/>
      <c r="Z36" s="94"/>
      <c r="AA36" s="67" t="s">
        <v>21</v>
      </c>
      <c r="AB36" s="68"/>
      <c r="AC36" s="68"/>
      <c r="AD36" s="69"/>
      <c r="AE36" s="64">
        <v>186</v>
      </c>
      <c r="AF36" s="65"/>
      <c r="AG36" s="66"/>
      <c r="AH36" s="63">
        <v>20</v>
      </c>
      <c r="AI36" s="27"/>
      <c r="AJ36" s="28"/>
      <c r="AK36" s="63">
        <v>10</v>
      </c>
      <c r="AL36" s="27"/>
      <c r="AM36" s="61"/>
      <c r="AN36" s="26">
        <v>3</v>
      </c>
      <c r="AO36" s="27"/>
      <c r="AP36" s="61"/>
      <c r="AQ36" s="26">
        <v>6</v>
      </c>
      <c r="AR36" s="27"/>
      <c r="AS36" s="28"/>
      <c r="AT36" s="65"/>
      <c r="AU36" s="65"/>
      <c r="AV36" s="66"/>
      <c r="AW36" s="123">
        <f t="shared" si="6"/>
        <v>0</v>
      </c>
      <c r="AX36" s="124"/>
      <c r="AY36" s="125"/>
      <c r="AZ36" s="77"/>
      <c r="BA36" s="77"/>
      <c r="BB36" s="77"/>
      <c r="BC36" s="77"/>
      <c r="BD36" s="77"/>
      <c r="BE36" s="72"/>
      <c r="BF36" s="72"/>
      <c r="BG36" s="72"/>
      <c r="BH36" s="72"/>
      <c r="BI36" s="72"/>
      <c r="BJ36" s="73"/>
      <c r="BO36" s="13">
        <v>5</v>
      </c>
      <c r="BP36" s="24">
        <v>630</v>
      </c>
      <c r="BQ36" s="25"/>
    </row>
    <row r="37" spans="2:79" ht="15" thickBot="1">
      <c r="B37" s="56" t="s">
        <v>31</v>
      </c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131">
        <v>0.25</v>
      </c>
      <c r="O37" s="131"/>
      <c r="P37" s="126" t="s">
        <v>39</v>
      </c>
      <c r="Q37" s="126"/>
      <c r="R37" s="126"/>
      <c r="S37" s="126"/>
      <c r="T37" s="126"/>
      <c r="U37" s="126">
        <v>10</v>
      </c>
      <c r="V37" s="127"/>
      <c r="W37" s="95">
        <f>50*N37/U37</f>
        <v>1.25</v>
      </c>
      <c r="X37" s="96"/>
      <c r="Y37" s="96"/>
      <c r="Z37" s="97"/>
      <c r="AA37" t="s">
        <v>48</v>
      </c>
      <c r="AH37" s="30">
        <f>SUM(AH29:AJ36)</f>
        <v>730</v>
      </c>
      <c r="AI37" s="30"/>
      <c r="AJ37" s="30"/>
      <c r="AT37" s="30">
        <f>SUM(AT29:AV36)</f>
        <v>718.42499999999995</v>
      </c>
      <c r="AU37" s="30"/>
      <c r="AV37" s="30"/>
      <c r="AW37" s="100">
        <f>MAX(AW29:AW36)</f>
        <v>2.15</v>
      </c>
      <c r="AX37" s="101"/>
      <c r="AY37" s="102"/>
      <c r="AZ37" s="77"/>
      <c r="BA37" s="77"/>
      <c r="BB37" s="77"/>
      <c r="BC37" s="77"/>
      <c r="BD37" s="77"/>
      <c r="BE37" s="72"/>
      <c r="BF37" s="72"/>
      <c r="BG37" s="72"/>
      <c r="BH37" s="72"/>
      <c r="BI37" s="72"/>
      <c r="BJ37" s="73"/>
      <c r="BO37" s="13">
        <v>6</v>
      </c>
      <c r="BP37" s="24">
        <v>631</v>
      </c>
      <c r="BQ37" s="25"/>
    </row>
    <row r="38" spans="2:79" ht="15" thickBot="1">
      <c r="B38" s="56" t="s">
        <v>30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131">
        <v>0.25</v>
      </c>
      <c r="O38" s="131"/>
      <c r="P38" s="126" t="s">
        <v>39</v>
      </c>
      <c r="Q38" s="126"/>
      <c r="R38" s="126"/>
      <c r="S38" s="126"/>
      <c r="T38" s="126"/>
      <c r="U38" s="126">
        <v>5</v>
      </c>
      <c r="V38" s="127"/>
      <c r="W38" s="95">
        <f>50*N38/U38</f>
        <v>2.5</v>
      </c>
      <c r="X38" s="96"/>
      <c r="Y38" s="96"/>
      <c r="Z38" s="97"/>
      <c r="AA38" s="98">
        <v>1000</v>
      </c>
      <c r="AB38" s="99"/>
      <c r="AC38" s="99"/>
      <c r="AD38" s="99"/>
      <c r="AZ38" s="78"/>
      <c r="BA38" s="79"/>
      <c r="BB38" s="79"/>
      <c r="BC38" s="79"/>
      <c r="BD38" s="79"/>
      <c r="BE38" s="74"/>
      <c r="BF38" s="74"/>
      <c r="BG38" s="74"/>
      <c r="BH38" s="74"/>
      <c r="BI38" s="74"/>
      <c r="BJ38" s="75"/>
      <c r="BO38" s="13">
        <v>7</v>
      </c>
      <c r="BP38" s="24">
        <v>603</v>
      </c>
      <c r="BQ38" s="25"/>
    </row>
    <row r="39" spans="2:79" ht="14.4" customHeight="1">
      <c r="B39" s="56" t="s">
        <v>24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131">
        <v>0.4</v>
      </c>
      <c r="O39" s="131"/>
      <c r="P39" s="126" t="s">
        <v>39</v>
      </c>
      <c r="Q39" s="126"/>
      <c r="R39" s="126"/>
      <c r="S39" s="126"/>
      <c r="T39" s="126"/>
      <c r="U39" s="126">
        <v>8</v>
      </c>
      <c r="V39" s="127"/>
      <c r="W39" s="95">
        <f>100*N39/U39</f>
        <v>5</v>
      </c>
      <c r="X39" s="96"/>
      <c r="Y39" s="96"/>
      <c r="Z39" s="97"/>
      <c r="AZ39" s="80" t="s">
        <v>29</v>
      </c>
      <c r="BA39" s="81"/>
      <c r="BB39" s="81"/>
      <c r="BC39" s="81"/>
      <c r="BD39" s="81"/>
      <c r="BE39" s="86">
        <v>367.6056338028169</v>
      </c>
      <c r="BF39" s="86"/>
      <c r="BG39" s="86"/>
      <c r="BH39" s="86"/>
      <c r="BI39" s="86"/>
      <c r="BJ39" s="87"/>
      <c r="BO39" s="13">
        <v>8</v>
      </c>
      <c r="BP39" s="24">
        <v>623</v>
      </c>
      <c r="BQ39" s="25"/>
    </row>
    <row r="40" spans="2:79" ht="14.4" customHeight="1">
      <c r="B40" s="56" t="s">
        <v>25</v>
      </c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131">
        <v>0.4</v>
      </c>
      <c r="O40" s="131"/>
      <c r="P40" s="126" t="s">
        <v>39</v>
      </c>
      <c r="Q40" s="126"/>
      <c r="R40" s="126"/>
      <c r="S40" s="126"/>
      <c r="T40" s="126"/>
      <c r="U40" s="126">
        <v>4</v>
      </c>
      <c r="V40" s="127"/>
      <c r="W40" s="95">
        <f>100*N40/U40</f>
        <v>10</v>
      </c>
      <c r="X40" s="96"/>
      <c r="Y40" s="96"/>
      <c r="Z40" s="97"/>
      <c r="AC40" s="178" t="s">
        <v>49</v>
      </c>
      <c r="AD40" s="178"/>
      <c r="AE40" s="178"/>
      <c r="AF40" s="178"/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Z40" s="82"/>
      <c r="BA40" s="83"/>
      <c r="BB40" s="83"/>
      <c r="BC40" s="83"/>
      <c r="BD40" s="83"/>
      <c r="BE40" s="88"/>
      <c r="BF40" s="88"/>
      <c r="BG40" s="88"/>
      <c r="BH40" s="88"/>
      <c r="BI40" s="88"/>
      <c r="BJ40" s="89"/>
      <c r="BO40" s="13">
        <v>9</v>
      </c>
      <c r="BP40" s="24">
        <v>626</v>
      </c>
      <c r="BQ40" s="25"/>
    </row>
    <row r="41" spans="2:79" ht="14.4" customHeight="1">
      <c r="B41" s="56" t="s">
        <v>26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131">
        <v>0.75</v>
      </c>
      <c r="O41" s="131"/>
      <c r="P41" s="126" t="s">
        <v>40</v>
      </c>
      <c r="Q41" s="126"/>
      <c r="R41" s="126"/>
      <c r="S41" s="126"/>
      <c r="T41" s="126"/>
      <c r="U41" s="126"/>
      <c r="V41" s="127"/>
      <c r="W41" s="95">
        <f>150*N41</f>
        <v>112.5</v>
      </c>
      <c r="X41" s="96"/>
      <c r="Y41" s="96"/>
      <c r="Z41" s="97"/>
      <c r="AC41" s="29">
        <v>1000592</v>
      </c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Z41" s="82"/>
      <c r="BA41" s="83"/>
      <c r="BB41" s="83"/>
      <c r="BC41" s="83"/>
      <c r="BD41" s="83"/>
      <c r="BE41" s="88"/>
      <c r="BF41" s="88"/>
      <c r="BG41" s="88"/>
      <c r="BH41" s="88"/>
      <c r="BI41" s="88"/>
      <c r="BJ41" s="89"/>
      <c r="BO41" s="13">
        <v>10</v>
      </c>
      <c r="BP41" s="24">
        <v>582</v>
      </c>
      <c r="BQ41" s="25"/>
    </row>
    <row r="42" spans="2:79" ht="15" customHeight="1" thickBot="1">
      <c r="B42" s="67" t="s">
        <v>27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132"/>
      <c r="O42" s="132"/>
      <c r="P42" s="133" t="s">
        <v>41</v>
      </c>
      <c r="Q42" s="133"/>
      <c r="R42" s="133"/>
      <c r="S42" s="133"/>
      <c r="T42" s="133"/>
      <c r="U42" s="133">
        <v>10</v>
      </c>
      <c r="V42" s="145"/>
      <c r="W42" s="128">
        <f>150*U42</f>
        <v>1500</v>
      </c>
      <c r="X42" s="129"/>
      <c r="Y42" s="129"/>
      <c r="Z42" s="130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Z42" s="84"/>
      <c r="BA42" s="85"/>
      <c r="BB42" s="85"/>
      <c r="BC42" s="85"/>
      <c r="BD42" s="85"/>
      <c r="BE42" s="90"/>
      <c r="BF42" s="90"/>
      <c r="BG42" s="90"/>
      <c r="BH42" s="90"/>
      <c r="BI42" s="90"/>
      <c r="BJ42" s="91"/>
      <c r="BO42" s="13">
        <v>11</v>
      </c>
      <c r="BP42" s="24">
        <v>612</v>
      </c>
      <c r="BQ42" s="25"/>
    </row>
    <row r="43" spans="2:79" ht="15" thickBot="1"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21">
        <v>12</v>
      </c>
      <c r="BP43" s="22">
        <v>622</v>
      </c>
      <c r="BQ43" s="23"/>
      <c r="BR43" s="5"/>
      <c r="BS43" s="5"/>
      <c r="BT43" s="5"/>
      <c r="BU43" s="5"/>
      <c r="BV43" s="5"/>
      <c r="BW43" s="5"/>
      <c r="BX43" s="5"/>
      <c r="BY43" s="5"/>
      <c r="BZ43" s="5"/>
      <c r="CA43" s="5"/>
    </row>
    <row r="44" spans="2:79" ht="15" hidden="1" thickBot="1">
      <c r="N44" s="18"/>
      <c r="O44" s="18"/>
      <c r="P44" s="18"/>
      <c r="Q44" s="18"/>
      <c r="R44" s="18"/>
      <c r="S44" s="18"/>
      <c r="T44" s="18"/>
      <c r="U44" s="18"/>
      <c r="V44" s="18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168" t="s">
        <v>42</v>
      </c>
      <c r="AU44" s="169"/>
      <c r="AV44" s="169"/>
      <c r="AW44" s="169" t="s">
        <v>43</v>
      </c>
      <c r="AX44" s="169"/>
      <c r="AY44" s="169"/>
      <c r="AZ44" s="169" t="s">
        <v>44</v>
      </c>
      <c r="BA44" s="169"/>
      <c r="BB44" s="169"/>
      <c r="BC44" s="169" t="s">
        <v>45</v>
      </c>
      <c r="BD44" s="169"/>
      <c r="BE44" s="169"/>
      <c r="BF44" s="169" t="s">
        <v>46</v>
      </c>
      <c r="BG44" s="169"/>
      <c r="BH44" s="169"/>
      <c r="BI44" s="169" t="s">
        <v>47</v>
      </c>
      <c r="BJ44" s="169"/>
      <c r="BK44" s="175"/>
      <c r="BL44" s="5"/>
      <c r="BM44" s="5">
        <v>1</v>
      </c>
      <c r="BN44" s="5">
        <v>2</v>
      </c>
      <c r="BO44" s="5">
        <v>3</v>
      </c>
      <c r="BP44" s="19">
        <v>4</v>
      </c>
      <c r="BQ44" s="20">
        <v>5</v>
      </c>
      <c r="BR44" s="20">
        <v>6</v>
      </c>
      <c r="BS44" s="20">
        <v>7</v>
      </c>
      <c r="BT44" s="20">
        <v>8</v>
      </c>
      <c r="BU44" s="20">
        <v>9</v>
      </c>
      <c r="BV44" s="20">
        <v>10</v>
      </c>
      <c r="BW44" s="20">
        <v>11</v>
      </c>
      <c r="BX44" s="20">
        <v>12</v>
      </c>
      <c r="BY44" s="5"/>
      <c r="BZ44" s="5"/>
      <c r="CA44" s="5"/>
    </row>
    <row r="45" spans="2:79" hidden="1">
      <c r="N45" s="18"/>
      <c r="O45" s="18"/>
      <c r="P45" s="18"/>
      <c r="Q45" s="18"/>
      <c r="R45" s="18"/>
      <c r="S45" s="18"/>
      <c r="T45" s="18"/>
      <c r="U45" s="18"/>
      <c r="V45" s="18"/>
      <c r="Z45" s="5"/>
      <c r="AA45" s="146" t="s">
        <v>36</v>
      </c>
      <c r="AB45" s="147"/>
      <c r="AC45" s="147"/>
      <c r="AD45" s="148"/>
      <c r="AE45" s="149">
        <f>AE29</f>
        <v>476</v>
      </c>
      <c r="AF45" s="150"/>
      <c r="AG45" s="151"/>
      <c r="AH45" s="152">
        <f t="shared" ref="AH45" si="7">AH29</f>
        <v>52</v>
      </c>
      <c r="AI45" s="153"/>
      <c r="AJ45" s="154"/>
      <c r="AK45" s="152">
        <f t="shared" ref="AK45" si="8">AK29</f>
        <v>4</v>
      </c>
      <c r="AL45" s="153"/>
      <c r="AM45" s="155"/>
      <c r="AN45" s="156">
        <f t="shared" ref="AN45" si="9">AN29</f>
        <v>11</v>
      </c>
      <c r="AO45" s="153"/>
      <c r="AP45" s="155"/>
      <c r="AQ45" s="156">
        <f t="shared" ref="AQ45" si="10">AQ29</f>
        <v>9</v>
      </c>
      <c r="AR45" s="153"/>
      <c r="AS45" s="153"/>
      <c r="AT45" s="176" t="str">
        <f>IF(OR(OR(misech1j1=arrivé1,misech2j1=arrivé1,misech3j1=arrivé1),OR(misech1j1=arrivé2,misech2j1=arrivé2,misech3j1=arrivé2),OR(misech1j1=arrivé3,misech2j1=arrivé3,misech3j1=arrivé3)),$BY45*$N$37*$AH45/$U$37,"")</f>
        <v/>
      </c>
      <c r="AU45" s="171"/>
      <c r="AV45" s="171"/>
      <c r="AW45" s="171" t="str">
        <f>IF(OR(misech1j1=arrivé1,misech2j1=arrivé2,misech3j1=arrivé3),$BY45*$N$38*$AH45/$U$38,"")</f>
        <v/>
      </c>
      <c r="AX45" s="171"/>
      <c r="AY45" s="171"/>
      <c r="AZ45" s="171" t="str">
        <f>IF(OR(AND(misech1j1=arrivé1,misech2j1=arrivé3),AND(misech1j1=arrivé1,misech3j1=arrivé2),AND(misech2j1=arrivé2,misech1j1=arrivé3),AND(misech2j1=arrivé2,misech3j1=arrivé1),AND(misech3j1=arrivé3,misech1j1=arrivé2),AND(misech3j1=arrivé3,misech2j1=arrivé1),AND(misech1j1=arrivé2,misech2j1=arrivé3),AND(misech1j1=arrivé3,misech2j1=arrivé1),AND(misech1j1=arrivé2,misech2j1=arrivé1),AND(misech1j1=arrivé2,misech3j1=arrivé1),AND(misech1j1=arrivé3,misech3j1=arrivé1),AND(misech1j1=arrivé2,misech3j3=arrivé3),AND(misech1j1=arrivé3,misech2j1=arrivé2),AND(misech1j1=arrivé3,misech3j1=arrivé2)),BY45*N39*misej1/U39,"")</f>
        <v/>
      </c>
      <c r="BA45" s="171"/>
      <c r="BB45" s="171"/>
      <c r="BC45" s="171" t="str">
        <f>IF(OR(AND(misech1j1=arrivé1,misech2j1=arrivé2),AND(misech1j1=arrivé1,misech3j1=arrivé3),AND(misech2j1=arrivé2,misech3j1=arrivé3)),$BY45*$N$40*$AH45/$U$40,"")</f>
        <v/>
      </c>
      <c r="BD45" s="171"/>
      <c r="BE45" s="171"/>
      <c r="BF45" s="171" t="str">
        <f>IF(OR(AND(misech1j1=arrivé1,misech2j1=arrivé3,misech3j1=arrivé2),AND(misech1j1=arrivé2,misech2j1=arrivé1,misech3j1=arrivé3),AND(misech1j1=arrivé2,misech2j1=arrivé3,misech3j1=arrivé1),AND(misech1j1=arrivé3,misech2j1=arrivé2,misech3j1=arrivé1),AND(misech1j1=arrivé3,misech2j1=arrivé1,misech3j1=arrivé2)),$BY45*$N$41*misej1,"")</f>
        <v/>
      </c>
      <c r="BG45" s="171"/>
      <c r="BH45" s="171"/>
      <c r="BI45" s="171" t="str">
        <f>IF(AND(misech1j1=arrivé1,misech2j1=arrivé2,misech3j1=arrivé3),$BY45*misej8*$U$42,"")</f>
        <v/>
      </c>
      <c r="BJ45" s="171"/>
      <c r="BK45" s="174"/>
      <c r="BL45" s="5">
        <f>MAX(AT45:BK45)</f>
        <v>0</v>
      </c>
      <c r="BM45" s="6" t="str">
        <f t="shared" ref="BM45:BM52" si="11">IF(AND(OR($AK45=BM$44,$AN45=BM$44,$AQ45=BM$44),OR($BY$14=BM$44,$BZ$14=BM$44,$CA$14=BM$44)),cotecheval1,"")</f>
        <v/>
      </c>
      <c r="BN45" s="6" t="str">
        <f t="shared" ref="BN45:BN52" si="12">IF(AND(OR($AK45=BN$44,$AN45=BN$44,$AQ45=BN$44),OR($BY$14=BN$44,$BZ$14=BN$44,$CA$14=BN$44)),cotecheval2,"")</f>
        <v/>
      </c>
      <c r="BO45" s="6" t="str">
        <f t="shared" ref="BO45:BO52" si="13">IF(AND(OR($AK45=BO$44,$AN45=BO$44,$AQ45=BO$44),OR($BY$14=BO$44,$BZ$14=BO$44,$CA$14=BO$44)),cotecheval3,"")</f>
        <v/>
      </c>
      <c r="BP45" s="6" t="str">
        <f t="shared" ref="BP45:BP52" si="14">IF(AND(OR($AK45=BP$44,$AN45=BP$44,$AQ45=BP$44),OR($BY$14=BP$44,$BZ$14=BP$44,$CA$14=BP$44)),cotecheval4,"")</f>
        <v/>
      </c>
      <c r="BQ45" s="6" t="str">
        <f t="shared" ref="BQ45:BQ52" si="15">IF(AND(OR($AK45=BQ$44,$AN45=BQ$44,$AQ45=BQ$44),OR($BY$14=BQ$44,$BZ$14=BQ$44,$CA$14=BQ$44)),cotecheval5,"")</f>
        <v/>
      </c>
      <c r="BR45" s="6" t="str">
        <f t="shared" ref="BR45:BR52" si="16">IF(AND(OR($AK45=BR$44,$AN45=BR$44,$AQ45=BR$44),OR($BY$14=BR$44,$BZ$14=BR$44,$CA$14=BR$44)),cotecheval6,"")</f>
        <v/>
      </c>
      <c r="BS45" s="6" t="str">
        <f t="shared" ref="BS45:BS52" si="17">IF(AND(OR($AK45=BS$44,$AN45=BS$44,$AQ45=BS$44),OR($BY$14=BS$44,$BZ$14=BS$44,$CA$14=BS$44)),cotecheval7,"")</f>
        <v/>
      </c>
      <c r="BT45" s="6" t="str">
        <f t="shared" ref="BT45:BT52" si="18">IF(AND(OR($AK45=BT$44,$AN45=BT$44,$AQ45=BT$44),OR($BY$14=BT$44,$BZ$14=BT$44,$CA$14=BT$44)),cotecheval8,"")</f>
        <v/>
      </c>
      <c r="BU45" s="6" t="str">
        <f t="shared" ref="BU45:BU52" si="19">IF(AND(OR($AK45=BU$44,$AN45=BU$44,$AQ45=BU$44),OR($BY$14=BU$44,$BZ$14=BU$44,$CA$14=BU$44)),cotecheval9,"")</f>
        <v/>
      </c>
      <c r="BV45" s="6" t="str">
        <f t="shared" ref="BV45:BV52" si="20">IF(AND(OR($AK45=BV$44,$AN45=BV$44,$AQ45=BV$44),OR($BY$14=BV$44,$BZ$14=BV$44,$CA$14=BV$44)),cotecheval10,"")</f>
        <v/>
      </c>
      <c r="BW45" s="6" t="str">
        <f t="shared" ref="BW45:BW52" si="21">IF(AND(OR($AK45=BW$44,$AN45=BW$44,$AQ45=BW$44),OR($BY$14=BW$44,$BZ$14=BW$44,$CA$14=BW$44)),cotecheval11,"")</f>
        <v/>
      </c>
      <c r="BX45" s="6" t="str">
        <f t="shared" ref="BX45:BX52" si="22">IF(AND(OR($AK45=BX$44,$AN45=BX$44,$AQ45=BX$44),OR($BY$14=BX$44,$BZ$14=BX$44,$CA$14=BX$44)),cotecheval12,"")</f>
        <v/>
      </c>
      <c r="BY45" s="5">
        <f>SUM(BM45:BX45)</f>
        <v>0</v>
      </c>
      <c r="BZ45" s="5"/>
      <c r="CA45" s="5"/>
    </row>
    <row r="46" spans="2:79" hidden="1">
      <c r="N46" s="18"/>
      <c r="O46" s="18"/>
      <c r="P46" s="18"/>
      <c r="Q46" s="18"/>
      <c r="R46" s="18"/>
      <c r="S46" s="18"/>
      <c r="T46" s="18"/>
      <c r="U46" s="18"/>
      <c r="V46" s="18"/>
      <c r="Z46" s="5"/>
      <c r="AA46" s="134" t="s">
        <v>37</v>
      </c>
      <c r="AB46" s="135"/>
      <c r="AC46" s="135"/>
      <c r="AD46" s="136"/>
      <c r="AE46" s="137">
        <f t="shared" ref="AE46" si="23">AE30</f>
        <v>403</v>
      </c>
      <c r="AF46" s="138"/>
      <c r="AG46" s="139"/>
      <c r="AH46" s="140">
        <f t="shared" ref="AH46" si="24">AH30</f>
        <v>44</v>
      </c>
      <c r="AI46" s="141"/>
      <c r="AJ46" s="142"/>
      <c r="AK46" s="140">
        <f t="shared" ref="AK46" si="25">AK30</f>
        <v>12</v>
      </c>
      <c r="AL46" s="141"/>
      <c r="AM46" s="143"/>
      <c r="AN46" s="144">
        <f t="shared" ref="AN46" si="26">AN30</f>
        <v>5</v>
      </c>
      <c r="AO46" s="141"/>
      <c r="AP46" s="143"/>
      <c r="AQ46" s="144">
        <f t="shared" ref="AQ46" si="27">AQ30</f>
        <v>11</v>
      </c>
      <c r="AR46" s="141"/>
      <c r="AS46" s="141"/>
      <c r="AT46" s="134" t="str">
        <f>IF(OR(OR(misech1j2=arrivé1,misech2j2=arrivé1,misech3j2=arrivé1),OR(misech1j2=arrivé2,misech2j2=arrivé2,misech3j2=arrivé2),OR(misech1j2=arrivé3,misech2j2=arrivé3,misech3j2=arrivé3)),$BY46*$N$37*$AH46/$U$37,"")</f>
        <v/>
      </c>
      <c r="AU46" s="135"/>
      <c r="AV46" s="170"/>
      <c r="AW46" s="171" t="str">
        <f>IF(OR(misech1j2=arrivé1,misech2j2=arrivé2,misech3j2=arrivé3),$BY46*$N$38*$AH46/$U$38,"")</f>
        <v/>
      </c>
      <c r="AX46" s="171"/>
      <c r="AY46" s="171"/>
      <c r="AZ46" s="171" t="str">
        <f>IF(OR(AND(misech1j2=arrivé1,misech2j2=arrivé3),AND(misech1j2=arrivé1,misech3j2=arrivé2),AND(misech2j2=arrivé2,misech1j2=arrivé3),AND(misech2j2=arrivé2,misech3j2=arrivé1),AND(misech3j2=arrivé3,misech1j2=arrivé2),AND(misech3j2=arrivé3,misech2j2=arrivé1),AND(misech1j2=arrivé2,misech2j2=arrivé3),AND(misech1j2=arrivé3,misech2j2=arrivé1),AND(misech1j2=arrivé2,misech2j2=arrivé1),AND(misech1j2=arrivé2,misech3j2=arrivé1),AND(misech1j2=arrivé3,misech3j2=arrivé1),AND(misech1j2=arrivé2,misech3j3=arrivé3),AND(misech1j2=arrivé3,misech2j2=arrivé2),AND(misech1j2=arrivé3,misech3j2=arrivé2)),BY46*N39*misej2/U39,"")</f>
        <v/>
      </c>
      <c r="BA46" s="171"/>
      <c r="BB46" s="171"/>
      <c r="BC46" s="171" t="str">
        <f>IF(OR(AND(misech1j2=arrivé1,misech2j2=arrivé2),AND(misech1j2=arrivé1,misech3j2=arrivé3),AND(misech2j2=arrivé2,misech3j2=arrivé3)),$BY46*$N$40*$AH46/$U$40,"")</f>
        <v/>
      </c>
      <c r="BD46" s="171"/>
      <c r="BE46" s="171"/>
      <c r="BF46" s="171" t="str">
        <f>IF(OR(AND(misech1j2=arrivé1,misech2j2=arrivé3,misech3j2=arrivé2),AND(misech1j2=arrivé2,misech2j2=arrivé1,misech3j2=arrivé3),AND(misech1j2=arrivé2,misech2j2=arrivé3,misech3j2=arrivé1),AND(misech1j2=arrivé3,misech2j2=arrivé2,misech3j2=arrivé1),AND(misech1j2=arrivé3,misech2j2=arrivé1,misech3j2=arrivé2)),$BY46*$N$41*misej2,"")</f>
        <v/>
      </c>
      <c r="BG46" s="171"/>
      <c r="BH46" s="171"/>
      <c r="BI46" s="171" t="str">
        <f>IF(AND(misech1j2=arrivé1,misech2j2=arrivé2,misech3j2=arrivé3),$BY46*misej8*$U$42,"")</f>
        <v/>
      </c>
      <c r="BJ46" s="171"/>
      <c r="BK46" s="174"/>
      <c r="BL46" s="5">
        <f t="shared" ref="BL46:BL52" si="28">MAX(AT46:BK46)</f>
        <v>0</v>
      </c>
      <c r="BM46" s="6" t="str">
        <f t="shared" si="11"/>
        <v/>
      </c>
      <c r="BN46" s="6" t="str">
        <f t="shared" si="12"/>
        <v/>
      </c>
      <c r="BO46" s="6" t="str">
        <f t="shared" si="13"/>
        <v/>
      </c>
      <c r="BP46" s="6" t="str">
        <f t="shared" si="14"/>
        <v/>
      </c>
      <c r="BQ46" s="6" t="str">
        <f t="shared" si="15"/>
        <v/>
      </c>
      <c r="BR46" s="6" t="str">
        <f t="shared" si="16"/>
        <v/>
      </c>
      <c r="BS46" s="6" t="str">
        <f t="shared" si="17"/>
        <v/>
      </c>
      <c r="BT46" s="6" t="str">
        <f t="shared" si="18"/>
        <v/>
      </c>
      <c r="BU46" s="6" t="str">
        <f t="shared" si="19"/>
        <v/>
      </c>
      <c r="BV46" s="6" t="str">
        <f t="shared" si="20"/>
        <v/>
      </c>
      <c r="BW46" s="6" t="str">
        <f t="shared" si="21"/>
        <v/>
      </c>
      <c r="BX46" s="6" t="str">
        <f t="shared" si="22"/>
        <v/>
      </c>
      <c r="BY46" s="5">
        <f t="shared" ref="BY46:BY52" si="29">SUM(BM46:BX46)</f>
        <v>0</v>
      </c>
      <c r="BZ46" s="5"/>
      <c r="CA46" s="5"/>
    </row>
    <row r="47" spans="2:79" hidden="1">
      <c r="N47" s="18"/>
      <c r="O47" s="18"/>
      <c r="P47" s="18"/>
      <c r="Q47" s="18"/>
      <c r="R47" s="18"/>
      <c r="S47" s="18"/>
      <c r="T47" s="18"/>
      <c r="U47" s="18"/>
      <c r="V47" s="18"/>
      <c r="Z47" s="5"/>
      <c r="AA47" s="134" t="s">
        <v>34</v>
      </c>
      <c r="AB47" s="135"/>
      <c r="AC47" s="135"/>
      <c r="AD47" s="136"/>
      <c r="AE47" s="137">
        <f t="shared" ref="AE47" si="30">AE31</f>
        <v>4967</v>
      </c>
      <c r="AF47" s="138"/>
      <c r="AG47" s="139"/>
      <c r="AH47" s="140">
        <f t="shared" ref="AH47" si="31">AH31</f>
        <v>495</v>
      </c>
      <c r="AI47" s="141"/>
      <c r="AJ47" s="142"/>
      <c r="AK47" s="140">
        <f t="shared" ref="AK47" si="32">AK31</f>
        <v>4</v>
      </c>
      <c r="AL47" s="141"/>
      <c r="AM47" s="143"/>
      <c r="AN47" s="144">
        <f t="shared" ref="AN47" si="33">AN31</f>
        <v>2</v>
      </c>
      <c r="AO47" s="141"/>
      <c r="AP47" s="143"/>
      <c r="AQ47" s="144">
        <f t="shared" ref="AQ47" si="34">AQ31</f>
        <v>9</v>
      </c>
      <c r="AR47" s="141"/>
      <c r="AS47" s="141"/>
      <c r="AT47" s="134">
        <f>IF(OR(OR(misech1j3=arrivé1,misech2j3=arrivé1,misech3j3=arrivé1),OR(misech1j3=arrivé2,misech2j3=arrivé2,misech3j3=arrivé2),OR(misech1j3=arrivé3,misech2j3=arrivé3,misech3j3=arrivé3)),$BY47*$N$37*$AH47/$U$37,"")</f>
        <v>507.375</v>
      </c>
      <c r="AU47" s="135"/>
      <c r="AV47" s="170"/>
      <c r="AW47" s="171" t="str">
        <f>IF(OR(misech1j3=arrivé1,misech2j3=arrivé2,misech3j3=arrivé3),$BY47*$N$38*$AH47/$U$38,"")</f>
        <v/>
      </c>
      <c r="AX47" s="171"/>
      <c r="AY47" s="171"/>
      <c r="AZ47" s="171" t="str">
        <f>IF(OR(AND(misech1j3=arrivé1,misech2j3=arrivé3),AND(misech1j3=arrivé1,misech3j3=arrivé2),AND(misech2j3=arrivé2,misech1j3=arrivé3),AND(misech2j3=arrivé2,misech3j3=arrivé1),AND(misech3j3=arrivé3,misech1j3=arrivé2),AND(misech3j3=arrivé3,misech2j3=arrivé1),AND(misech1j3=arrivé2,misech2j3=arrivé3),AND(misech1j3=arrivé3,misech2j3=arrivé1),AND(misech1j3=arrivé2,misech2j3=arrivé1),AND(misech1j3=arrivé2,misech3j3=arrivé1),AND(misech1j3=arrivé3,misech3j3=arrivé1),AND(misech1j3=arrivé2,misech3j3=arrivé3),AND(misech1j3=arrivé3,misech2j3=arrivé2),AND(misech1j3=arrivé3,misech3j3=arrivé2)),BY47*N39*misej3/U39,"")</f>
        <v/>
      </c>
      <c r="BA47" s="171"/>
      <c r="BB47" s="171"/>
      <c r="BC47" s="171" t="str">
        <f>IF(OR(AND(misech1j3=arrivé1,misech2j3=arrivé2),AND(misech1j3=arrivé1,misech3j3=arrivé3),AND(misech2j3=arrivé2,misech3j3=arrivé3)),$BY47*$N$40*$AH47/$U$40,"")</f>
        <v/>
      </c>
      <c r="BD47" s="171"/>
      <c r="BE47" s="171"/>
      <c r="BF47" s="171" t="str">
        <f>IF(OR(AND(misech1j3=arrivé1,misech2j3=arrivé3,misech3j3=arrivé2),AND(misech1j3=arrivé2,misech2j3=arrivé1,misech3j3=arrivé3),AND(misech1j3=arrivé2,misech2j3=arrivé3,misech3j3=arrivé1),AND(misech1j3=arrivé3,misech2j3=arrivé2,misech3j3=arrivé1),AND(misech1j3=arrivé3,misech2j3=arrivé1,misech3j3=arrivé2)),$BY47*$N$41*misej3,"")</f>
        <v/>
      </c>
      <c r="BG47" s="171"/>
      <c r="BH47" s="171"/>
      <c r="BI47" s="171" t="str">
        <f>IF(AND(misech1j3=arrivé1,misech2j3=arrivé2,misech3j3=arrivé3),$BY47*misej8*$U$42,"")</f>
        <v/>
      </c>
      <c r="BJ47" s="171"/>
      <c r="BK47" s="174"/>
      <c r="BL47" s="5">
        <f t="shared" si="28"/>
        <v>507.375</v>
      </c>
      <c r="BM47" s="6" t="str">
        <f t="shared" si="11"/>
        <v/>
      </c>
      <c r="BN47" s="6">
        <f t="shared" si="12"/>
        <v>41</v>
      </c>
      <c r="BO47" s="6" t="str">
        <f t="shared" si="13"/>
        <v/>
      </c>
      <c r="BP47" s="6" t="str">
        <f t="shared" si="14"/>
        <v/>
      </c>
      <c r="BQ47" s="6" t="str">
        <f t="shared" si="15"/>
        <v/>
      </c>
      <c r="BR47" s="6" t="str">
        <f t="shared" si="16"/>
        <v/>
      </c>
      <c r="BS47" s="6" t="str">
        <f t="shared" si="17"/>
        <v/>
      </c>
      <c r="BT47" s="6" t="str">
        <f t="shared" si="18"/>
        <v/>
      </c>
      <c r="BU47" s="6" t="str">
        <f t="shared" si="19"/>
        <v/>
      </c>
      <c r="BV47" s="6" t="str">
        <f t="shared" si="20"/>
        <v/>
      </c>
      <c r="BW47" s="6" t="str">
        <f t="shared" si="21"/>
        <v/>
      </c>
      <c r="BX47" s="6" t="str">
        <f t="shared" si="22"/>
        <v/>
      </c>
      <c r="BY47" s="5">
        <f t="shared" si="29"/>
        <v>41</v>
      </c>
      <c r="BZ47" s="5"/>
      <c r="CA47" s="5"/>
    </row>
    <row r="48" spans="2:79" hidden="1">
      <c r="N48" s="18"/>
      <c r="O48" s="18"/>
      <c r="P48" s="18"/>
      <c r="Q48" s="18"/>
      <c r="R48" s="18"/>
      <c r="S48" s="18"/>
      <c r="T48" s="18"/>
      <c r="U48" s="18"/>
      <c r="V48" s="18"/>
      <c r="Z48" s="5"/>
      <c r="AA48" s="134" t="s">
        <v>33</v>
      </c>
      <c r="AB48" s="135"/>
      <c r="AC48" s="135"/>
      <c r="AD48" s="136"/>
      <c r="AE48" s="137">
        <f t="shared" ref="AE48" si="35">AE32</f>
        <v>486</v>
      </c>
      <c r="AF48" s="138"/>
      <c r="AG48" s="139"/>
      <c r="AH48" s="140">
        <f t="shared" ref="AH48" si="36">AH32</f>
        <v>44</v>
      </c>
      <c r="AI48" s="141"/>
      <c r="AJ48" s="142"/>
      <c r="AK48" s="140">
        <f t="shared" ref="AK48" si="37">AK32</f>
        <v>4</v>
      </c>
      <c r="AL48" s="141"/>
      <c r="AM48" s="143"/>
      <c r="AN48" s="144">
        <f t="shared" ref="AN48" si="38">AN32</f>
        <v>12</v>
      </c>
      <c r="AO48" s="141"/>
      <c r="AP48" s="143"/>
      <c r="AQ48" s="144">
        <f t="shared" ref="AQ48" si="39">AQ32</f>
        <v>2</v>
      </c>
      <c r="AR48" s="141"/>
      <c r="AS48" s="141"/>
      <c r="AT48" s="134">
        <f>IF(OR(OR(misech1j4=arrivé1,misech2j4=arrivé1,misech3j4=arrivé1),OR(misech1j4=arrivé2,misech2j4=arrivé2,misech3j4=arrivé2),OR(misech1j4=arrivé3,misech2j4=arrivé3,misech3j4=arrivé3)),$BY48*$N$37*$AH48/$U$37,"")</f>
        <v>45.1</v>
      </c>
      <c r="AU48" s="135"/>
      <c r="AV48" s="170"/>
      <c r="AW48" s="171">
        <f>IF(OR(misech1j4=arrivé1,misech2j4=arrivé2,misech3j4=arrivé3),$BY48*$N$38*$AH48/$U$38,"")</f>
        <v>90.2</v>
      </c>
      <c r="AX48" s="171"/>
      <c r="AY48" s="171"/>
      <c r="AZ48" s="171" t="str">
        <f>IF(OR(AND(misech1j4=arrivé1,misech2j4=arrivé3),AND(misech1j4=arrivé1,misech3j4=arrivé2),AND(misech2j4=arrivé2,misech1j4=arrivé3),AND(misech2j4=arrivé2,misech3j4=arrivé1),AND(misech3j4=arrivé3,misech1j4=arrivé2),AND(misech3j4=arrivé3,misech2j4=arrivé1),AND(misech1j4=arrivé2,misech2j4=arrivé3),AND(misech1j4=arrivé3,misech2j4=arrivé1),AND(misech1j4=arrivé2,misech2j4=arrivé1),AND(misech1j4=arrivé2,misech3j4=arrivé1),AND(misech1j4=arrivé3,misech3j4=arrivé1),AND(misech1j4=arrivé2,misech3j3=arrivé3),AND(misech1j4=arrivé3,misech2j4=arrivé2),AND(misech1j4=arrivé3,misech3j4=arrivé2)),BY48*N39*misej4/U39,"")</f>
        <v/>
      </c>
      <c r="BA48" s="171"/>
      <c r="BB48" s="171"/>
      <c r="BC48" s="171" t="str">
        <f>IF(OR(AND(misech1j4=arrivé1,misech2j4=arrivé2),AND(misech1j4=arrivé1,misech3j4=arrivé3),AND(misech2j4=arrivé2,misech3j4=arrivé3)),$BY48*$N$40*$AH48/$U$40,"")</f>
        <v/>
      </c>
      <c r="BD48" s="171"/>
      <c r="BE48" s="171"/>
      <c r="BF48" s="171" t="str">
        <f>IF(OR(AND(misech1j4=arrivé1,misech2j4=arrivé3,misech3j4=arrivé2),AND(misech1j4=arrivé2,misech2j4=arrivé1,misech3j4=arrivé3),AND(misech1j4=arrivé2,misech2j4=arrivé3,misech3j4=arrivé1),AND(misech1j4=arrivé3,misech2j4=arrivé2,misech3j4=arrivé1),AND(misech1j4=arrivé3,misech2j4=arrivé1,misech3j4=arrivé2)),$BY48*$N$41*misej4,"")</f>
        <v/>
      </c>
      <c r="BG48" s="171"/>
      <c r="BH48" s="171"/>
      <c r="BI48" s="171" t="str">
        <f>IF(AND(misech1j4=arrivé1,misech2j4=arrivé2,misech3j4=arrivé3),$BY48*misej8*$U$42,"")</f>
        <v/>
      </c>
      <c r="BJ48" s="171"/>
      <c r="BK48" s="174"/>
      <c r="BL48" s="5">
        <f t="shared" si="28"/>
        <v>90.2</v>
      </c>
      <c r="BM48" s="6" t="str">
        <f t="shared" si="11"/>
        <v/>
      </c>
      <c r="BN48" s="6">
        <f t="shared" si="12"/>
        <v>41</v>
      </c>
      <c r="BO48" s="6" t="str">
        <f t="shared" si="13"/>
        <v/>
      </c>
      <c r="BP48" s="6" t="str">
        <f t="shared" si="14"/>
        <v/>
      </c>
      <c r="BQ48" s="6" t="str">
        <f t="shared" si="15"/>
        <v/>
      </c>
      <c r="BR48" s="6" t="str">
        <f t="shared" si="16"/>
        <v/>
      </c>
      <c r="BS48" s="6" t="str">
        <f t="shared" si="17"/>
        <v/>
      </c>
      <c r="BT48" s="6" t="str">
        <f t="shared" si="18"/>
        <v/>
      </c>
      <c r="BU48" s="6" t="str">
        <f t="shared" si="19"/>
        <v/>
      </c>
      <c r="BV48" s="6" t="str">
        <f t="shared" si="20"/>
        <v/>
      </c>
      <c r="BW48" s="6" t="str">
        <f t="shared" si="21"/>
        <v/>
      </c>
      <c r="BX48" s="6" t="str">
        <f t="shared" si="22"/>
        <v/>
      </c>
      <c r="BY48" s="5">
        <f t="shared" si="29"/>
        <v>41</v>
      </c>
      <c r="BZ48" s="5"/>
      <c r="CA48" s="5"/>
    </row>
    <row r="49" spans="14:79" hidden="1">
      <c r="N49" s="18"/>
      <c r="O49" s="18"/>
      <c r="P49" s="18"/>
      <c r="Q49" s="18"/>
      <c r="R49" s="18"/>
      <c r="S49" s="18"/>
      <c r="T49" s="18"/>
      <c r="U49" s="18"/>
      <c r="V49" s="18"/>
      <c r="Z49" s="5"/>
      <c r="AA49" s="134" t="s">
        <v>20</v>
      </c>
      <c r="AB49" s="135"/>
      <c r="AC49" s="135"/>
      <c r="AD49" s="136"/>
      <c r="AE49" s="137">
        <f t="shared" ref="AE49" si="40">AE33</f>
        <v>170</v>
      </c>
      <c r="AF49" s="138"/>
      <c r="AG49" s="139"/>
      <c r="AH49" s="140">
        <f t="shared" ref="AH49" si="41">AH33</f>
        <v>18</v>
      </c>
      <c r="AI49" s="141"/>
      <c r="AJ49" s="142"/>
      <c r="AK49" s="140">
        <f t="shared" ref="AK49" si="42">AK33</f>
        <v>10</v>
      </c>
      <c r="AL49" s="141"/>
      <c r="AM49" s="143"/>
      <c r="AN49" s="144">
        <f t="shared" ref="AN49" si="43">AN33</f>
        <v>7</v>
      </c>
      <c r="AO49" s="141"/>
      <c r="AP49" s="143"/>
      <c r="AQ49" s="144">
        <f t="shared" ref="AQ49" si="44">AQ33</f>
        <v>12</v>
      </c>
      <c r="AR49" s="141"/>
      <c r="AS49" s="141"/>
      <c r="AT49" s="134">
        <f>IF(OR(OR(misech1j5=arrivé1,misech2j5=arrivé1,misech3j5=arrivé1),OR(misech1j5=arrivé2,misech2j5=arrivé2,misech3j5=arrivé2),OR(misech1j5=arrivé3,misech2j5=arrivé3,misech3j5=arrivé3)),$BY49*$N$37*$AH49/$U$37,"")</f>
        <v>0.9</v>
      </c>
      <c r="AU49" s="135"/>
      <c r="AV49" s="170"/>
      <c r="AW49" s="171">
        <f>IF(OR(misech1j5=arrivé1,misech2j5=arrivé2,misech3j5=arrivé3),$BY49*$N$38*$AH49/$U$38,"")</f>
        <v>1.8</v>
      </c>
      <c r="AX49" s="171"/>
      <c r="AY49" s="171"/>
      <c r="AZ49" s="171" t="str">
        <f>IF(OR(AND(misech1j5=arrivé1,misech2j5=arrivé3),AND(misech1j5=arrivé1,misech3j5=arrivé2),AND(misech2j5=arrivé2,misech1j5=arrivé3),AND(misech2j5=arrivé2,misech3j5=arrivé1),AND(misech3j5=arrivé3,misech1j5=arrivé2),AND(misech3j5=arrivé3,misech2j5=arrivé1),AND(misech1j5=arrivé2,misech2j5=arrivé3),AND(misech1j5=arrivé3,misech2j5=arrivé1),AND(misech1j5=arrivé2,misech2j5=arrivé1),AND(misech1j5=arrivé2,misech3j5=arrivé1),AND(misech1j5=arrivé3,misech3j5=arrivé1),AND(misech1j5=arrivé2,misech3j3=arrivé3),AND(misech1j5=arrivé3,misech2j5=arrivé2),AND(misech1j5=arrivé3,misech3j5=arrivé2)),BY49*N39*misej5/U39,"")</f>
        <v/>
      </c>
      <c r="BA49" s="171"/>
      <c r="BB49" s="171"/>
      <c r="BC49" s="171" t="str">
        <f>IF(OR(AND(misech1j5=arrivé1,misech2j5=arrivé2),AND(misech1j5=arrivé1,misech3j5=arrivé3),AND(misech2j5=arrivé2,misech3j5=arrivé3)),$BY49*$N$40*$AH49/$U$40,"")</f>
        <v/>
      </c>
      <c r="BD49" s="171"/>
      <c r="BE49" s="171"/>
      <c r="BF49" s="171" t="str">
        <f>IF(OR(AND(misech1j5=arrivé1,misech2j5=arrivé3,misech3j5=arrivé2),AND(misech1j5=arrivé2,misech2j5=arrivé1,misech3j5=arrivé3),AND(misech1j5=arrivé2,misech2j5=arrivé3,misech3j5=arrivé1),AND(misech1j5=arrivé3,misech2j5=arrivé2,misech3j5=arrivé1),AND(misech1j5=arrivé3,misech2j5=arrivé1,misech3j5=arrivé2)),$BY49*$N$41*misej5,"")</f>
        <v/>
      </c>
      <c r="BG49" s="171"/>
      <c r="BH49" s="171"/>
      <c r="BI49" s="171" t="str">
        <f>IF(AND(misech1j5=arrivé1,misech2j5=arrivé2,misech3j5=arrivé3),$BY49*misej8*$U$42,"")</f>
        <v/>
      </c>
      <c r="BJ49" s="171"/>
      <c r="BK49" s="174"/>
      <c r="BL49" s="5">
        <f t="shared" si="28"/>
        <v>1.8</v>
      </c>
      <c r="BM49" s="6" t="str">
        <f t="shared" si="11"/>
        <v/>
      </c>
      <c r="BN49" s="6" t="str">
        <f t="shared" si="12"/>
        <v/>
      </c>
      <c r="BO49" s="6" t="str">
        <f t="shared" si="13"/>
        <v/>
      </c>
      <c r="BP49" s="6" t="str">
        <f t="shared" si="14"/>
        <v/>
      </c>
      <c r="BQ49" s="6" t="str">
        <f t="shared" si="15"/>
        <v/>
      </c>
      <c r="BR49" s="6" t="str">
        <f t="shared" si="16"/>
        <v/>
      </c>
      <c r="BS49" s="6">
        <f t="shared" si="17"/>
        <v>2</v>
      </c>
      <c r="BT49" s="6" t="str">
        <f t="shared" si="18"/>
        <v/>
      </c>
      <c r="BU49" s="6" t="str">
        <f t="shared" si="19"/>
        <v/>
      </c>
      <c r="BV49" s="6" t="str">
        <f t="shared" si="20"/>
        <v/>
      </c>
      <c r="BW49" s="6" t="str">
        <f t="shared" si="21"/>
        <v/>
      </c>
      <c r="BX49" s="6" t="str">
        <f t="shared" si="22"/>
        <v/>
      </c>
      <c r="BY49" s="5">
        <f t="shared" si="29"/>
        <v>2</v>
      </c>
      <c r="BZ49" s="5"/>
      <c r="CA49" s="5"/>
    </row>
    <row r="50" spans="14:79" hidden="1">
      <c r="N50" s="17"/>
      <c r="O50" s="17"/>
      <c r="P50" s="17"/>
      <c r="Q50" s="17"/>
      <c r="R50" s="17"/>
      <c r="S50" s="17"/>
      <c r="T50" s="17"/>
      <c r="U50" s="17"/>
      <c r="V50" s="17"/>
      <c r="Z50" s="5"/>
      <c r="AA50" s="134" t="s">
        <v>35</v>
      </c>
      <c r="AB50" s="135"/>
      <c r="AC50" s="135"/>
      <c r="AD50" s="136"/>
      <c r="AE50" s="137">
        <f t="shared" ref="AE50" si="45">AE34</f>
        <v>387</v>
      </c>
      <c r="AF50" s="138"/>
      <c r="AG50" s="139"/>
      <c r="AH50" s="140">
        <f t="shared" ref="AH50" si="46">AH34</f>
        <v>35</v>
      </c>
      <c r="AI50" s="141"/>
      <c r="AJ50" s="142"/>
      <c r="AK50" s="140">
        <f t="shared" ref="AK50" si="47">AK34</f>
        <v>5</v>
      </c>
      <c r="AL50" s="141"/>
      <c r="AM50" s="143"/>
      <c r="AN50" s="144">
        <f t="shared" ref="AN50" si="48">AN34</f>
        <v>11</v>
      </c>
      <c r="AO50" s="141"/>
      <c r="AP50" s="143"/>
      <c r="AQ50" s="144">
        <f t="shared" ref="AQ50" si="49">AQ34</f>
        <v>2</v>
      </c>
      <c r="AR50" s="141"/>
      <c r="AS50" s="141"/>
      <c r="AT50" s="134">
        <f>IF(OR(OR(misech1j6=arrivé1,misech2j6=arrivé1,misech3j6=arrivé1),OR(misech1j6=arrivé2,misech2j6=arrivé2,misech3j6=arrivé2),OR(misech1j6=arrivé3,misech2j6=arrivé3,misech3j6=arrivé3)),$BY50*$N$37*$AH50/$U$37,"")</f>
        <v>35.875</v>
      </c>
      <c r="AU50" s="135"/>
      <c r="AV50" s="170"/>
      <c r="AW50" s="171">
        <f>IF(OR(misech1j6=arrivé1,misech2j6=arrivé2,misech3j6=arrivé3),$BY50*$N$38*$AH50/$U$38,"")</f>
        <v>71.75</v>
      </c>
      <c r="AX50" s="171"/>
      <c r="AY50" s="171"/>
      <c r="AZ50" s="171" t="str">
        <f>IF(OR(AND(misech1j6=arrivé1,misech2j6=arrivé3),AND(misech1j6=arrivé1,misech3j6=arrivé2),AND(misech2j6=arrivé2,misech1j6=arrivé3),AND(misech2j6=arrivé2,misech3j6=arrivé1),AND(misech3j6=arrivé3,misech1j6=arrivé2),AND(misech3j6=arrivé3,misech2j6=arrivé1),AND(misech1j6=arrivé2,misech2j6=arrivé3),AND(misech1j6=arrivé3,misech2j6=arrivé1),AND(misech1j6=arrivé2,misech2j6=arrivé1),AND(misech1j6=arrivé2,misech3j6=arrivé1),AND(misech1j6=arrivé3,misech3j6=arrivé1),AND(misech1j6=arrivé2,misech3j3=arrivé3),AND(misech1j6=arrivé3,misech2j6=arrivé2),AND(misech1j6=arrivé3,misech3j6=arrivé2)),BY50*N39*misej6/U39,"")</f>
        <v/>
      </c>
      <c r="BA50" s="171"/>
      <c r="BB50" s="171"/>
      <c r="BC50" s="171" t="str">
        <f>IF(OR(AND(misech1j5=arrivé1,misech2j5=arrivé2),AND(misech1j5=arrivé1,misech3j5=arrivé3),AND(misech2j5=arrivé2,misech3j5=arrivé3)),$BY50*$N$40*$AH50/$U$40,"")</f>
        <v/>
      </c>
      <c r="BD50" s="171"/>
      <c r="BE50" s="171"/>
      <c r="BF50" s="171" t="str">
        <f>IF(OR(AND(misech1j6=arrivé1,misech2j6=arrivé3,misech3j6=arrivé2),AND(misech1j6=arrivé2,misech2j6=arrivé1,misech3j6=arrivé3),AND(misech1j6=arrivé2,misech2j6=arrivé3,misech3j6=arrivé1),AND(misech1j6=arrivé3,misech2j6=arrivé2,misech3j6=arrivé1),AND(misech1j6=arrivé3,misech2j6=arrivé1,misech3j6=arrivé2)),$BY50*$N$41*misej6,"")</f>
        <v/>
      </c>
      <c r="BG50" s="171"/>
      <c r="BH50" s="171"/>
      <c r="BI50" s="171" t="str">
        <f>IF(AND(misech1j6=arrivé1,misech2j6=arrivé2,misech3j6=arrivé3),$BY50*misej8*$U$42,"")</f>
        <v/>
      </c>
      <c r="BJ50" s="171"/>
      <c r="BK50" s="174"/>
      <c r="BL50" s="5">
        <f t="shared" si="28"/>
        <v>71.75</v>
      </c>
      <c r="BM50" s="6" t="str">
        <f t="shared" si="11"/>
        <v/>
      </c>
      <c r="BN50" s="6">
        <f t="shared" si="12"/>
        <v>41</v>
      </c>
      <c r="BO50" s="6" t="str">
        <f t="shared" si="13"/>
        <v/>
      </c>
      <c r="BP50" s="6" t="str">
        <f t="shared" si="14"/>
        <v/>
      </c>
      <c r="BQ50" s="6" t="str">
        <f t="shared" si="15"/>
        <v/>
      </c>
      <c r="BR50" s="6" t="str">
        <f t="shared" si="16"/>
        <v/>
      </c>
      <c r="BS50" s="6" t="str">
        <f t="shared" si="17"/>
        <v/>
      </c>
      <c r="BT50" s="6" t="str">
        <f t="shared" si="18"/>
        <v/>
      </c>
      <c r="BU50" s="6" t="str">
        <f t="shared" si="19"/>
        <v/>
      </c>
      <c r="BV50" s="6" t="str">
        <f t="shared" si="20"/>
        <v/>
      </c>
      <c r="BW50" s="6" t="str">
        <f t="shared" si="21"/>
        <v/>
      </c>
      <c r="BX50" s="6" t="str">
        <f t="shared" si="22"/>
        <v/>
      </c>
      <c r="BY50" s="5">
        <f t="shared" si="29"/>
        <v>41</v>
      </c>
      <c r="BZ50" s="5"/>
      <c r="CA50" s="5"/>
    </row>
    <row r="51" spans="14:79" hidden="1">
      <c r="Z51" s="5"/>
      <c r="AA51" s="134" t="s">
        <v>38</v>
      </c>
      <c r="AB51" s="135"/>
      <c r="AC51" s="135"/>
      <c r="AD51" s="136"/>
      <c r="AE51" s="137">
        <f t="shared" ref="AE51" si="50">AE35</f>
        <v>254</v>
      </c>
      <c r="AF51" s="138"/>
      <c r="AG51" s="139"/>
      <c r="AH51" s="140">
        <f t="shared" ref="AH51" si="51">AH35</f>
        <v>22</v>
      </c>
      <c r="AI51" s="141"/>
      <c r="AJ51" s="142"/>
      <c r="AK51" s="140">
        <f t="shared" ref="AK51" si="52">AK35</f>
        <v>2</v>
      </c>
      <c r="AL51" s="141"/>
      <c r="AM51" s="143"/>
      <c r="AN51" s="144">
        <f t="shared" ref="AN51" si="53">AN35</f>
        <v>7</v>
      </c>
      <c r="AO51" s="141"/>
      <c r="AP51" s="143"/>
      <c r="AQ51" s="144">
        <f t="shared" ref="AQ51" si="54">AQ35</f>
        <v>1</v>
      </c>
      <c r="AR51" s="141"/>
      <c r="AS51" s="141"/>
      <c r="AT51" s="134">
        <f>IF(OR(OR(misech1j7=arrivé1,misech2j7=arrivé1,misech3j7=arrivé1),OR(misech1j7=arrivé2,misech2j7=arrivé2,misech3j7=arrivé2),OR(misech1j7=arrivé3,misech2j7=arrivé3,misech3j7=arrivé3)),$BY51*$N$37*$AH51/$U$37,"")</f>
        <v>23.65</v>
      </c>
      <c r="AU51" s="135"/>
      <c r="AV51" s="170"/>
      <c r="AW51" s="171">
        <f>IF(OR(misech1j7=arrivé1,misech2j7=arrivé2,misech3j7=arrivé3),$BY51*$N$38*$AH51/$U$38,"")</f>
        <v>47.3</v>
      </c>
      <c r="AX51" s="171"/>
      <c r="AY51" s="171"/>
      <c r="AZ51" s="171">
        <f>IF(OR(AND(misech1j7=arrivé1,misech2j7=arrivé3),AND(misech1j7=arrivé1,misech3j7=arrivé2),AND(misech2j7=arrivé2,misech1j7=arrivé3),AND(misech2j7=arrivé2,misech3j7=arrivé1),AND(misech3j7=arrivé3,misech1j7=arrivé2),AND(misech3j7=arrivé3,misech2j7=arrivé1),AND(misech1j7=arrivé2,misech2j7=arrivé3),AND(misech1j7=arrivé3,misech2j7=arrivé1),AND(misech1j7=arrivé2,misech2j7=arrivé1),AND(misech1j7=arrivé2,misech3j7=arrivé1),AND(misech1j7=arrivé3,misech3j7=arrivé1),AND(misech1j7=arrivé2,misech3j3=arrivé3),AND(misech1j7=arrivé3,misech2j7=arrivé2),AND(misech1j7=arrivé3,misech3j7=arrivé2)),BY51*N39*misej7/U39,"")</f>
        <v>47.3</v>
      </c>
      <c r="BA51" s="171"/>
      <c r="BB51" s="171"/>
      <c r="BC51" s="171" t="str">
        <f>IF(OR(AND(misech1j7=arrivé1,misech2j7=arrivé2),AND(misech1j7=arrivé1,misech3j7=arrivé3),AND(misech2j7=arrivé2,misech3j7=arrivé3)),$BY51*$N$40*$AH51/$U$40,"")</f>
        <v/>
      </c>
      <c r="BD51" s="171"/>
      <c r="BE51" s="171"/>
      <c r="BF51" s="171" t="str">
        <f>IF(OR(AND(misech1j7=arrivé1,misech2j7=arrivé3,misech3j7=arrivé2),AND(misech1j7=arrivé2,misech2j7=arrivé1,misech3j7=arrivé3),AND(misech1j7=arrivé2,misech2j7=arrivé3,misech3j7=arrivé1),AND(misech1j7=arrivé3,misech2j7=arrivé2,misech3j7=arrivé1),AND(misech1j7=arrivé3,misech2j7=arrivé1,misech3j7=arrivé2)),$BY51*$N$41*misej7,"")</f>
        <v/>
      </c>
      <c r="BG51" s="171"/>
      <c r="BH51" s="171"/>
      <c r="BI51" s="171" t="str">
        <f>IF(AND(misech1j7=arrivé1,misech2j7=arrivé2,misech3j7=arrivé3),$BY51*misej8*$U$42,"")</f>
        <v/>
      </c>
      <c r="BJ51" s="171"/>
      <c r="BK51" s="174"/>
      <c r="BL51" s="5">
        <f t="shared" si="28"/>
        <v>47.3</v>
      </c>
      <c r="BM51" s="6" t="str">
        <f t="shared" si="11"/>
        <v/>
      </c>
      <c r="BN51" s="6">
        <f t="shared" si="12"/>
        <v>41</v>
      </c>
      <c r="BO51" s="6" t="str">
        <f t="shared" si="13"/>
        <v/>
      </c>
      <c r="BP51" s="6" t="str">
        <f t="shared" si="14"/>
        <v/>
      </c>
      <c r="BQ51" s="6" t="str">
        <f t="shared" si="15"/>
        <v/>
      </c>
      <c r="BR51" s="6" t="str">
        <f t="shared" si="16"/>
        <v/>
      </c>
      <c r="BS51" s="6">
        <f t="shared" si="17"/>
        <v>2</v>
      </c>
      <c r="BT51" s="6" t="str">
        <f t="shared" si="18"/>
        <v/>
      </c>
      <c r="BU51" s="6" t="str">
        <f t="shared" si="19"/>
        <v/>
      </c>
      <c r="BV51" s="6" t="str">
        <f t="shared" si="20"/>
        <v/>
      </c>
      <c r="BW51" s="6" t="str">
        <f t="shared" si="21"/>
        <v/>
      </c>
      <c r="BX51" s="6" t="str">
        <f t="shared" si="22"/>
        <v/>
      </c>
      <c r="BY51" s="5">
        <f t="shared" si="29"/>
        <v>43</v>
      </c>
      <c r="BZ51" s="5"/>
      <c r="CA51" s="5"/>
    </row>
    <row r="52" spans="14:79" ht="15" hidden="1" thickBot="1">
      <c r="Z52" s="5"/>
      <c r="AA52" s="157" t="s">
        <v>21</v>
      </c>
      <c r="AB52" s="158"/>
      <c r="AC52" s="158"/>
      <c r="AD52" s="159"/>
      <c r="AE52" s="160">
        <f t="shared" ref="AE52" si="55">AE36</f>
        <v>186</v>
      </c>
      <c r="AF52" s="161"/>
      <c r="AG52" s="162"/>
      <c r="AH52" s="163">
        <f t="shared" ref="AH52" si="56">AH36</f>
        <v>20</v>
      </c>
      <c r="AI52" s="164"/>
      <c r="AJ52" s="165"/>
      <c r="AK52" s="163">
        <f t="shared" ref="AK52" si="57">AK36</f>
        <v>10</v>
      </c>
      <c r="AL52" s="164"/>
      <c r="AM52" s="166"/>
      <c r="AN52" s="167">
        <f t="shared" ref="AN52" si="58">AN36</f>
        <v>3</v>
      </c>
      <c r="AO52" s="164"/>
      <c r="AP52" s="166"/>
      <c r="AQ52" s="167">
        <f t="shared" ref="AQ52" si="59">AQ36</f>
        <v>6</v>
      </c>
      <c r="AR52" s="164"/>
      <c r="AS52" s="164"/>
      <c r="AT52" s="157" t="str">
        <f>IF(OR(OR(misech1j8=arrivé1,misech2j8=arrivé1,misech3j8=arrivé1),OR(misech1j8=arrivé2,misech2j8=arrivé2,misech3j8=arrivé2),OR(misech1j8=arrivé3,misech2j8=arrivé3,misech3j8=arrivé3)),$BY52*$N$37*$AH52/$U$37,"")</f>
        <v/>
      </c>
      <c r="AU52" s="158"/>
      <c r="AV52" s="172"/>
      <c r="AW52" s="173" t="str">
        <f>IF(OR(misech1j8=arrivé1,misech2j8=arrivé2,misech3j8=arrivé3),$BY52*$N$38*$AH52/$U$38,"")</f>
        <v/>
      </c>
      <c r="AX52" s="173"/>
      <c r="AY52" s="173"/>
      <c r="AZ52" s="173" t="str">
        <f>IF(OR(AND(misech1j8=arrivé1,misech2j8=arrivé3),AND(misech1j8=arrivé1,misech3j8=arrivé2),AND(misech2j8=arrivé2,misech1j8=arrivé3),AND(misech2j8=arrivé2,misech3j8=arrivé1),AND(misech3j8=arrivé3,misech1j8=arrivé2),AND(misech3j8=arrivé3,misech2j8=arrivé1),AND(misech1j8=arrivé2,misech2j8=arrivé3),AND(misech1j8=arrivé3,misech2j8=arrivé1),AND(misech1j8=arrivé2,misech2j8=arrivé1),AND(misech1j8=arrivé2,misech3j8=arrivé1),AND(misech1j8=arrivé3,misech3j8=arrivé1),AND(misech1j8=arrivé2,misech3j3=arrivé3),AND(misech1j8=arrivé3,misech2j8=arrivé2),AND(misech1j8=arrivé3,misech3j8=arrivé2)),BY52*N39*misej8/U39,"")</f>
        <v/>
      </c>
      <c r="BA52" s="173"/>
      <c r="BB52" s="173"/>
      <c r="BC52" s="173" t="str">
        <f>IF(OR(AND(misech1j8=arrivé1,misech2j8=arrivé2),AND(misech1j8=arrivé1,misech3j8=arrivé3),AND(misech2j8=arrivé2,misech3j8=arrivé3)),$BY52*$N$40*$AH52/$U$40,"")</f>
        <v/>
      </c>
      <c r="BD52" s="173"/>
      <c r="BE52" s="173"/>
      <c r="BF52" s="173" t="str">
        <f>IF(OR(AND(misech1j8=arrivé1,misech2j8=arrivé3,misech3j8=arrivé2),AND(misech1j8=arrivé2,misech2j8=arrivé1,misech3j8=arrivé3),AND(misech1j8=arrivé2,misech2j8=arrivé3,misech3j8=arrivé1),AND(misech1j8=arrivé3,misech2j8=arrivé2,misech3j8=arrivé1),AND(misech1j8=arrivé3,misech2j8=arrivé1,misech3j8=arrivé2)),$BY52*$N$41*misej8,"")</f>
        <v/>
      </c>
      <c r="BG52" s="173"/>
      <c r="BH52" s="173"/>
      <c r="BI52" s="173" t="str">
        <f>IF(AND(misech1j8=arrivé1,misech2j8=arrivé2,misech3j8=arrivé3),$BY52*misej8*$U$42,"")</f>
        <v/>
      </c>
      <c r="BJ52" s="173"/>
      <c r="BK52" s="177"/>
      <c r="BL52" s="5">
        <f t="shared" si="28"/>
        <v>0</v>
      </c>
      <c r="BM52" s="6" t="str">
        <f t="shared" si="11"/>
        <v/>
      </c>
      <c r="BN52" s="6" t="str">
        <f t="shared" si="12"/>
        <v/>
      </c>
      <c r="BO52" s="6" t="str">
        <f t="shared" si="13"/>
        <v/>
      </c>
      <c r="BP52" s="6" t="str">
        <f t="shared" si="14"/>
        <v/>
      </c>
      <c r="BQ52" s="6" t="str">
        <f t="shared" si="15"/>
        <v/>
      </c>
      <c r="BR52" s="6" t="str">
        <f t="shared" si="16"/>
        <v/>
      </c>
      <c r="BS52" s="6" t="str">
        <f t="shared" si="17"/>
        <v/>
      </c>
      <c r="BT52" s="6" t="str">
        <f t="shared" si="18"/>
        <v/>
      </c>
      <c r="BU52" s="6" t="str">
        <f t="shared" si="19"/>
        <v/>
      </c>
      <c r="BV52" s="6" t="str">
        <f t="shared" si="20"/>
        <v/>
      </c>
      <c r="BW52" s="6" t="str">
        <f t="shared" si="21"/>
        <v/>
      </c>
      <c r="BX52" s="6" t="str">
        <f t="shared" si="22"/>
        <v/>
      </c>
      <c r="BY52" s="5">
        <f t="shared" si="29"/>
        <v>0</v>
      </c>
      <c r="BZ52" s="5"/>
      <c r="CA52" s="5"/>
    </row>
    <row r="53" spans="14:79"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</row>
  </sheetData>
  <sheetProtection selectLockedCells="1"/>
  <mergeCells count="295">
    <mergeCell ref="BC52:BE52"/>
    <mergeCell ref="BF52:BH52"/>
    <mergeCell ref="BI52:BK52"/>
    <mergeCell ref="AC40:AW40"/>
    <mergeCell ref="BC50:BE50"/>
    <mergeCell ref="BF50:BH50"/>
    <mergeCell ref="BI50:BK50"/>
    <mergeCell ref="AT51:AV51"/>
    <mergeCell ref="AW51:AY51"/>
    <mergeCell ref="AZ51:BB51"/>
    <mergeCell ref="BC51:BE51"/>
    <mergeCell ref="BF51:BH51"/>
    <mergeCell ref="BI51:BK51"/>
    <mergeCell ref="BC48:BE48"/>
    <mergeCell ref="BF48:BH48"/>
    <mergeCell ref="BI48:BK48"/>
    <mergeCell ref="AT49:AV49"/>
    <mergeCell ref="AW49:AY49"/>
    <mergeCell ref="AZ49:BB49"/>
    <mergeCell ref="BC49:BE49"/>
    <mergeCell ref="BF49:BH49"/>
    <mergeCell ref="BI49:BK49"/>
    <mergeCell ref="BC46:BE46"/>
    <mergeCell ref="BF46:BH46"/>
    <mergeCell ref="BI46:BK46"/>
    <mergeCell ref="AT47:AV47"/>
    <mergeCell ref="AW47:AY47"/>
    <mergeCell ref="AZ47:BB47"/>
    <mergeCell ref="BC47:BE47"/>
    <mergeCell ref="BF47:BH47"/>
    <mergeCell ref="BI47:BK47"/>
    <mergeCell ref="BC44:BE44"/>
    <mergeCell ref="BF44:BH44"/>
    <mergeCell ref="BI44:BK44"/>
    <mergeCell ref="AT45:AV45"/>
    <mergeCell ref="AW45:AY45"/>
    <mergeCell ref="AZ45:BB45"/>
    <mergeCell ref="BC45:BE45"/>
    <mergeCell ref="BF45:BH45"/>
    <mergeCell ref="BI45:BK45"/>
    <mergeCell ref="AT50:AV50"/>
    <mergeCell ref="AW50:AY50"/>
    <mergeCell ref="AZ50:BB50"/>
    <mergeCell ref="AT52:AV52"/>
    <mergeCell ref="AW52:AY52"/>
    <mergeCell ref="AZ52:BB52"/>
    <mergeCell ref="AA50:AD50"/>
    <mergeCell ref="AE50:AG50"/>
    <mergeCell ref="AH50:AJ50"/>
    <mergeCell ref="AT44:AV44"/>
    <mergeCell ref="AW44:AY44"/>
    <mergeCell ref="AZ44:BB44"/>
    <mergeCell ref="AT46:AV46"/>
    <mergeCell ref="AW46:AY46"/>
    <mergeCell ref="AZ46:BB46"/>
    <mergeCell ref="AT48:AV48"/>
    <mergeCell ref="AW48:AY48"/>
    <mergeCell ref="AZ48:BB48"/>
    <mergeCell ref="AA51:AD51"/>
    <mergeCell ref="AE51:AG51"/>
    <mergeCell ref="AH51:AJ51"/>
    <mergeCell ref="AK51:AM51"/>
    <mergeCell ref="AN51:AP51"/>
    <mergeCell ref="AQ51:AS51"/>
    <mergeCell ref="AA52:AD52"/>
    <mergeCell ref="AE52:AG52"/>
    <mergeCell ref="AH52:AJ52"/>
    <mergeCell ref="AK52:AM52"/>
    <mergeCell ref="AN52:AP52"/>
    <mergeCell ref="AQ52:AS52"/>
    <mergeCell ref="AA49:AD49"/>
    <mergeCell ref="AE49:AG49"/>
    <mergeCell ref="AH49:AJ49"/>
    <mergeCell ref="AK49:AM49"/>
    <mergeCell ref="AN49:AP49"/>
    <mergeCell ref="AQ49:AS49"/>
    <mergeCell ref="AK50:AM50"/>
    <mergeCell ref="AN50:AP50"/>
    <mergeCell ref="AQ50:AS50"/>
    <mergeCell ref="AA45:AD45"/>
    <mergeCell ref="AE45:AG45"/>
    <mergeCell ref="AH45:AJ45"/>
    <mergeCell ref="AK45:AM45"/>
    <mergeCell ref="AN45:AP45"/>
    <mergeCell ref="AQ45:AS45"/>
    <mergeCell ref="AA46:AD46"/>
    <mergeCell ref="AE46:AG46"/>
    <mergeCell ref="AH46:AJ46"/>
    <mergeCell ref="AK46:AM46"/>
    <mergeCell ref="AN46:AP46"/>
    <mergeCell ref="AQ46:AS46"/>
    <mergeCell ref="AA47:AD47"/>
    <mergeCell ref="AE47:AG47"/>
    <mergeCell ref="AH47:AJ47"/>
    <mergeCell ref="AK47:AM47"/>
    <mergeCell ref="AN47:AP47"/>
    <mergeCell ref="AQ47:AS47"/>
    <mergeCell ref="AA48:AD48"/>
    <mergeCell ref="AE48:AG48"/>
    <mergeCell ref="AH48:AJ48"/>
    <mergeCell ref="AK48:AM48"/>
    <mergeCell ref="AN48:AP48"/>
    <mergeCell ref="AQ48:AS48"/>
    <mergeCell ref="U39:V39"/>
    <mergeCell ref="U40:V40"/>
    <mergeCell ref="W42:Z42"/>
    <mergeCell ref="B38:M38"/>
    <mergeCell ref="W38:Z38"/>
    <mergeCell ref="B37:M37"/>
    <mergeCell ref="W37:Z37"/>
    <mergeCell ref="N37:O37"/>
    <mergeCell ref="N38:O38"/>
    <mergeCell ref="N39:O39"/>
    <mergeCell ref="N40:O40"/>
    <mergeCell ref="N41:O41"/>
    <mergeCell ref="N42:O42"/>
    <mergeCell ref="P37:T37"/>
    <mergeCell ref="P38:T38"/>
    <mergeCell ref="P39:T39"/>
    <mergeCell ref="P40:T40"/>
    <mergeCell ref="P41:T41"/>
    <mergeCell ref="P42:T42"/>
    <mergeCell ref="U41:V41"/>
    <mergeCell ref="U42:V42"/>
    <mergeCell ref="BP34:BQ34"/>
    <mergeCell ref="BP33:BQ33"/>
    <mergeCell ref="AQ31:AS31"/>
    <mergeCell ref="AN32:AP32"/>
    <mergeCell ref="AQ32:AS32"/>
    <mergeCell ref="AN33:AP33"/>
    <mergeCell ref="AQ33:AS33"/>
    <mergeCell ref="AN34:AP34"/>
    <mergeCell ref="AQ34:AS34"/>
    <mergeCell ref="AW31:AY31"/>
    <mergeCell ref="AW32:AY32"/>
    <mergeCell ref="AW33:AY33"/>
    <mergeCell ref="AW34:AY34"/>
    <mergeCell ref="AN28:AP28"/>
    <mergeCell ref="AQ28:AS28"/>
    <mergeCell ref="AN29:AP29"/>
    <mergeCell ref="AQ29:AS29"/>
    <mergeCell ref="AN30:AP30"/>
    <mergeCell ref="AQ30:AS30"/>
    <mergeCell ref="AE29:AG29"/>
    <mergeCell ref="BR32:BS32"/>
    <mergeCell ref="BR31:BS31"/>
    <mergeCell ref="AH29:AJ29"/>
    <mergeCell ref="AK29:AM29"/>
    <mergeCell ref="AH30:AJ30"/>
    <mergeCell ref="AK30:AM30"/>
    <mergeCell ref="AH31:AJ31"/>
    <mergeCell ref="AW28:AY28"/>
    <mergeCell ref="AW29:AY29"/>
    <mergeCell ref="AW30:AY30"/>
    <mergeCell ref="B36:V36"/>
    <mergeCell ref="B42:M42"/>
    <mergeCell ref="B41:M41"/>
    <mergeCell ref="B40:M40"/>
    <mergeCell ref="B39:M39"/>
    <mergeCell ref="AA35:AD35"/>
    <mergeCell ref="AA36:AD36"/>
    <mergeCell ref="BE35:BJ38"/>
    <mergeCell ref="AZ35:BD38"/>
    <mergeCell ref="AT36:AV36"/>
    <mergeCell ref="AZ39:BD42"/>
    <mergeCell ref="BE39:BJ42"/>
    <mergeCell ref="W36:Z36"/>
    <mergeCell ref="W39:Z39"/>
    <mergeCell ref="W40:Z40"/>
    <mergeCell ref="W41:Z41"/>
    <mergeCell ref="AN35:AP35"/>
    <mergeCell ref="AQ35:AS35"/>
    <mergeCell ref="AA38:AD38"/>
    <mergeCell ref="AW37:AY37"/>
    <mergeCell ref="AW35:AY35"/>
    <mergeCell ref="AW36:AY36"/>
    <mergeCell ref="U37:V37"/>
    <mergeCell ref="U38:V38"/>
    <mergeCell ref="AK31:AM31"/>
    <mergeCell ref="AE31:AG31"/>
    <mergeCell ref="AE30:AG30"/>
    <mergeCell ref="AN36:AP36"/>
    <mergeCell ref="AN31:AP31"/>
    <mergeCell ref="AH36:AJ36"/>
    <mergeCell ref="AK36:AM36"/>
    <mergeCell ref="AE35:AG35"/>
    <mergeCell ref="AE36:AG36"/>
    <mergeCell ref="BR10:BS10"/>
    <mergeCell ref="AT33:AV33"/>
    <mergeCell ref="AH34:AJ34"/>
    <mergeCell ref="AK34:AM34"/>
    <mergeCell ref="AH35:AJ35"/>
    <mergeCell ref="AK35:AM35"/>
    <mergeCell ref="AT34:AV34"/>
    <mergeCell ref="AT35:AV35"/>
    <mergeCell ref="AA29:AD29"/>
    <mergeCell ref="AA31:AD31"/>
    <mergeCell ref="AA30:AD30"/>
    <mergeCell ref="AA32:AD32"/>
    <mergeCell ref="AA33:AD33"/>
    <mergeCell ref="AA34:AD34"/>
    <mergeCell ref="AH32:AJ32"/>
    <mergeCell ref="AK32:AM32"/>
    <mergeCell ref="AH33:AJ33"/>
    <mergeCell ref="AK33:AM33"/>
    <mergeCell ref="AE32:AG32"/>
    <mergeCell ref="AE33:AG33"/>
    <mergeCell ref="AE34:AG34"/>
    <mergeCell ref="AE28:AG28"/>
    <mergeCell ref="AH28:AJ28"/>
    <mergeCell ref="AK28:AM28"/>
    <mergeCell ref="BT21:BU21"/>
    <mergeCell ref="BR4:BS4"/>
    <mergeCell ref="BR5:BS5"/>
    <mergeCell ref="BR6:BS6"/>
    <mergeCell ref="BR7:BS7"/>
    <mergeCell ref="BR8:BS8"/>
    <mergeCell ref="BP4:BQ4"/>
    <mergeCell ref="BP26:BQ26"/>
    <mergeCell ref="BP24:BQ24"/>
    <mergeCell ref="BP22:BQ22"/>
    <mergeCell ref="BP20:BQ20"/>
    <mergeCell ref="BP18:BQ18"/>
    <mergeCell ref="BP16:BQ16"/>
    <mergeCell ref="BP14:BQ14"/>
    <mergeCell ref="BP12:BQ12"/>
    <mergeCell ref="BP10:BQ10"/>
    <mergeCell ref="BP8:BQ8"/>
    <mergeCell ref="BP6:BQ6"/>
    <mergeCell ref="BR14:BS14"/>
    <mergeCell ref="BR15:BS15"/>
    <mergeCell ref="BR16:BS16"/>
    <mergeCell ref="BR17:BS17"/>
    <mergeCell ref="BR18:BS18"/>
    <mergeCell ref="BR9:BS9"/>
    <mergeCell ref="AT32:AV32"/>
    <mergeCell ref="BT4:BU4"/>
    <mergeCell ref="BT5:BU5"/>
    <mergeCell ref="BT6:BU6"/>
    <mergeCell ref="BT7:BU7"/>
    <mergeCell ref="BT8:BU8"/>
    <mergeCell ref="BT9:BU9"/>
    <mergeCell ref="BT10:BU10"/>
    <mergeCell ref="BT11:BU11"/>
    <mergeCell ref="BT12:BU12"/>
    <mergeCell ref="BT13:BU13"/>
    <mergeCell ref="BT14:BU14"/>
    <mergeCell ref="BT15:BU15"/>
    <mergeCell ref="BT16:BU16"/>
    <mergeCell ref="BR19:BS19"/>
    <mergeCell ref="BR20:BS20"/>
    <mergeCell ref="BR21:BS21"/>
    <mergeCell ref="BR11:BS11"/>
    <mergeCell ref="BR12:BS12"/>
    <mergeCell ref="BR13:BS13"/>
    <mergeCell ref="BT17:BU17"/>
    <mergeCell ref="BT18:BU18"/>
    <mergeCell ref="BT19:BU19"/>
    <mergeCell ref="BT20:BU20"/>
    <mergeCell ref="BP35:BQ35"/>
    <mergeCell ref="AT28:AV28"/>
    <mergeCell ref="BO31:BQ31"/>
    <mergeCell ref="BP29:BQ29"/>
    <mergeCell ref="BR29:BS29"/>
    <mergeCell ref="BT29:BU29"/>
    <mergeCell ref="BB31:BH32"/>
    <mergeCell ref="BI31:BN32"/>
    <mergeCell ref="BT22:BU22"/>
    <mergeCell ref="BT23:BU23"/>
    <mergeCell ref="BT24:BU24"/>
    <mergeCell ref="BT25:BU25"/>
    <mergeCell ref="BT26:BU26"/>
    <mergeCell ref="BR22:BS22"/>
    <mergeCell ref="BR23:BS23"/>
    <mergeCell ref="BI29:BN30"/>
    <mergeCell ref="BB29:BH30"/>
    <mergeCell ref="BR25:BS25"/>
    <mergeCell ref="BR26:BS26"/>
    <mergeCell ref="BR24:BS24"/>
    <mergeCell ref="BP32:BQ32"/>
    <mergeCell ref="AT29:AV29"/>
    <mergeCell ref="AT30:AV30"/>
    <mergeCell ref="AT31:AV31"/>
    <mergeCell ref="BP43:BQ43"/>
    <mergeCell ref="BP42:BQ42"/>
    <mergeCell ref="BP41:BQ41"/>
    <mergeCell ref="BP40:BQ40"/>
    <mergeCell ref="BP39:BQ39"/>
    <mergeCell ref="BP38:BQ38"/>
    <mergeCell ref="BP37:BQ37"/>
    <mergeCell ref="BP36:BQ36"/>
    <mergeCell ref="AQ36:AS36"/>
    <mergeCell ref="AC41:AW42"/>
    <mergeCell ref="AH37:AJ37"/>
    <mergeCell ref="AT37:AV37"/>
  </mergeCells>
  <conditionalFormatting sqref="B29:W35">
    <cfRule type="top10" dxfId="18" priority="39" rank="3"/>
    <cfRule type="top10" dxfId="17" priority="40" bottom="1" rank="3"/>
  </conditionalFormatting>
  <conditionalFormatting sqref="AE29:AG36">
    <cfRule type="top10" dxfId="16" priority="36" bottom="1" rank="1"/>
    <cfRule type="top10" dxfId="15" priority="37" rank="1"/>
  </conditionalFormatting>
  <conditionalFormatting sqref="BI31:BN32">
    <cfRule type="cellIs" dxfId="14" priority="32" operator="equal">
      <formula>"0 0 0"</formula>
    </cfRule>
  </conditionalFormatting>
  <conditionalFormatting sqref="AK29:AM36 AK45:AM52">
    <cfRule type="cellIs" dxfId="13" priority="21" operator="equal">
      <formula>$CA$14</formula>
    </cfRule>
    <cfRule type="cellIs" dxfId="12" priority="22" operator="equal">
      <formula>$BZ$14</formula>
    </cfRule>
    <cfRule type="cellIs" dxfId="11" priority="23" operator="equal">
      <formula>$BY$14</formula>
    </cfRule>
  </conditionalFormatting>
  <conditionalFormatting sqref="AN29:AP36 AN45:AP52">
    <cfRule type="cellIs" dxfId="10" priority="18" operator="equal">
      <formula>$CA$14</formula>
    </cfRule>
    <cfRule type="cellIs" dxfId="9" priority="19" operator="equal">
      <formula>$BY$14</formula>
    </cfRule>
    <cfRule type="cellIs" dxfId="8" priority="20" operator="equal">
      <formula>$BZ$14</formula>
    </cfRule>
  </conditionalFormatting>
  <conditionalFormatting sqref="AQ29:AS36 AQ45:AS52">
    <cfRule type="cellIs" dxfId="7" priority="13" operator="equal">
      <formula>$BZ$14</formula>
    </cfRule>
    <cfRule type="cellIs" dxfId="6" priority="16" operator="equal">
      <formula>$BY$14</formula>
    </cfRule>
    <cfRule type="cellIs" dxfId="5" priority="17" operator="equal">
      <formula>$CA$14</formula>
    </cfRule>
  </conditionalFormatting>
  <conditionalFormatting sqref="BP32:BQ43">
    <cfRule type="top10" dxfId="4" priority="14" bottom="1" rank="3"/>
    <cfRule type="top10" dxfId="3" priority="15" rank="3"/>
  </conditionalFormatting>
  <conditionalFormatting sqref="AK29:AS36 AK45:AS52">
    <cfRule type="cellIs" dxfId="2" priority="24" operator="equal">
      <formula>0</formula>
    </cfRule>
  </conditionalFormatting>
  <conditionalFormatting sqref="AE45:AG52">
    <cfRule type="top10" dxfId="1" priority="11" bottom="1" rank="1"/>
    <cfRule type="top10" dxfId="0" priority="12" rank="1"/>
  </conditionalFormatting>
  <pageMargins left="0.7" right="0.7" top="0.75" bottom="0.75" header="0.3" footer="0.3"/>
  <pageSetup paperSize="9" orientation="portrait" verticalDpi="0" r:id="rId1"/>
  <ignoredErrors>
    <ignoredError sqref="AB36:AD36 AB30:AD30 AB31 AB32:AD32 AB33:AD33 AB34:AD34 AB35:AD35 AD31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47</vt:i4>
      </vt:variant>
    </vt:vector>
  </HeadingPairs>
  <TitlesOfParts>
    <vt:vector size="48" baseType="lpstr">
      <vt:lpstr>Feuil1</vt:lpstr>
      <vt:lpstr>arrivé1</vt:lpstr>
      <vt:lpstr>arrivé2</vt:lpstr>
      <vt:lpstr>arrivé3</vt:lpstr>
      <vt:lpstr>cotecheval1</vt:lpstr>
      <vt:lpstr>cotecheval10</vt:lpstr>
      <vt:lpstr>cotecheval11</vt:lpstr>
      <vt:lpstr>cotecheval12</vt:lpstr>
      <vt:lpstr>cotecheval2</vt:lpstr>
      <vt:lpstr>cotecheval3</vt:lpstr>
      <vt:lpstr>cotecheval4</vt:lpstr>
      <vt:lpstr>cotecheval5</vt:lpstr>
      <vt:lpstr>cotecheval6</vt:lpstr>
      <vt:lpstr>cotecheval7</vt:lpstr>
      <vt:lpstr>cotecheval8</vt:lpstr>
      <vt:lpstr>cotecheval9</vt:lpstr>
      <vt:lpstr>misech1j1</vt:lpstr>
      <vt:lpstr>misech1j2</vt:lpstr>
      <vt:lpstr>misech1j3</vt:lpstr>
      <vt:lpstr>misech1j4</vt:lpstr>
      <vt:lpstr>misech1j5</vt:lpstr>
      <vt:lpstr>misech1j6</vt:lpstr>
      <vt:lpstr>misech1j7</vt:lpstr>
      <vt:lpstr>misech1j8</vt:lpstr>
      <vt:lpstr>misech2j1</vt:lpstr>
      <vt:lpstr>misech2j2</vt:lpstr>
      <vt:lpstr>misech2j3</vt:lpstr>
      <vt:lpstr>misech2j4</vt:lpstr>
      <vt:lpstr>misech2j5</vt:lpstr>
      <vt:lpstr>misech2j6</vt:lpstr>
      <vt:lpstr>misech2j7</vt:lpstr>
      <vt:lpstr>misech2j8</vt:lpstr>
      <vt:lpstr>misech3j1</vt:lpstr>
      <vt:lpstr>misech3j2</vt:lpstr>
      <vt:lpstr>misech3j3</vt:lpstr>
      <vt:lpstr>misech3j4</vt:lpstr>
      <vt:lpstr>misech3j5</vt:lpstr>
      <vt:lpstr>misech3j6</vt:lpstr>
      <vt:lpstr>misech3j7</vt:lpstr>
      <vt:lpstr>misech3j8</vt:lpstr>
      <vt:lpstr>misej1</vt:lpstr>
      <vt:lpstr>misej2</vt:lpstr>
      <vt:lpstr>misej3</vt:lpstr>
      <vt:lpstr>misej4</vt:lpstr>
      <vt:lpstr>misej5</vt:lpstr>
      <vt:lpstr>misej6</vt:lpstr>
      <vt:lpstr>misej7</vt:lpstr>
      <vt:lpstr>misej8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Jimmy</cp:lastModifiedBy>
  <dcterms:created xsi:type="dcterms:W3CDTF">2013-07-17T13:30:35Z</dcterms:created>
  <dcterms:modified xsi:type="dcterms:W3CDTF">2014-03-27T12:23:47Z</dcterms:modified>
</cp:coreProperties>
</file>