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4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5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harts/chart6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drawings/drawing5.xml" ContentType="application/vnd.openxmlformats-officedocument.drawing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pivotTables/pivotTable7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nbl\Desktop\A TRAVAILLER\WE\"/>
    </mc:Choice>
  </mc:AlternateContent>
  <bookViews>
    <workbookView xWindow="7125" yWindow="330" windowWidth="8175" windowHeight="5325" tabRatio="389" firstSheet="1" activeTab="2"/>
  </bookViews>
  <sheets>
    <sheet name="Evolution LBU" sheetId="14" r:id="rId1"/>
    <sheet name="Fonds propres" sheetId="18" r:id="rId2"/>
    <sheet name="SYNTHESE" sheetId="26" r:id="rId3"/>
    <sheet name="Données initiales" sheetId="1" r:id="rId4"/>
    <sheet name="Feuil4" sheetId="22" r:id="rId5"/>
    <sheet name="Répartition bassin" sheetId="7" r:id="rId6"/>
    <sheet name="Répartition commune" sheetId="6" r:id="rId7"/>
    <sheet name="avant 2011" sheetId="2" r:id="rId8"/>
    <sheet name="Perimètre SALVIA" sheetId="24" r:id="rId9"/>
  </sheets>
  <definedNames>
    <definedName name="_xlnm._FilterDatabase" localSheetId="3" hidden="1">'Données initiales'!$A$1:$JZ$118</definedName>
    <definedName name="_xlnm._FilterDatabase" localSheetId="4" hidden="1">Feuil4!$A$1:$H$1</definedName>
    <definedName name="_xlnm._FilterDatabase" localSheetId="8" hidden="1">'Perimètre SALVIA'!$A$1:$L$117</definedName>
    <definedName name="Arrangeur" localSheetId="8">'Perimètre SALVIA'!#REF!</definedName>
    <definedName name="Arrangeur">'Données initiales'!$BN$24:$BN$115</definedName>
    <definedName name="Arrêté_LBU" localSheetId="8">'Perimètre SALVIA'!#REF!</definedName>
    <definedName name="Arrêté_LBU">'Données initiales'!$BU$24:$BU$115</definedName>
    <definedName name="Ass" localSheetId="8">'Perimètre SALVIA'!$G$2:$G$114</definedName>
    <definedName name="Ass">'Données initiales'!$G$2:$G$115</definedName>
    <definedName name="Avancement" localSheetId="8">'Perimètre SALVIA'!$H$2:$H$114</definedName>
    <definedName name="Avancement">'Données initiales'!$H$2:$H$115</definedName>
    <definedName name="Bdgt" localSheetId="8">'Perimètre SALVIA'!#REF!</definedName>
    <definedName name="Bdgt">'Données initiales'!$FQ$4:$FQ$115</definedName>
    <definedName name="HonoS" localSheetId="8">'Perimètre SALVIA'!#REF!</definedName>
    <definedName name="HonoS">'Données initiales'!$DD$24:$DD$52</definedName>
    <definedName name="_xlnm.Print_Titles" localSheetId="3">'Données initiales'!$A:$A,'Données initiales'!$1:$1</definedName>
    <definedName name="_xlnm.Print_Titles" localSheetId="8">'Perimètre SALVIA'!$A:$A,'Perimètre SALVIA'!$1:$1</definedName>
    <definedName name="LBU">'Données initiales'!$GL$2:$GL$115</definedName>
    <definedName name="Livraison" localSheetId="8">'Perimètre SALVIA'!#REF!</definedName>
    <definedName name="Livraison">'Données initiales'!$EV$2:$EV$115</definedName>
    <definedName name="LLS" localSheetId="8">'Perimètre SALVIA'!$K$25:$K$114</definedName>
    <definedName name="LLS">'Données initiales'!$AE$24:$AE$115</definedName>
    <definedName name="LLTS" localSheetId="8">'Perimètre SALVIA'!$L$25:$L$114</definedName>
    <definedName name="LLTS">'Données initiales'!$AF$24:$AF$115</definedName>
    <definedName name="Nlgts" localSheetId="8">'Perimètre SALVIA'!$J$2:$J$114</definedName>
    <definedName name="Nlgts">'Données initiales'!$AD$2:$AD$115</definedName>
    <definedName name="Notaire" localSheetId="8">'Perimètre SALVIA'!#REF!</definedName>
    <definedName name="Notaire">'Données initiales'!$DB$2:$DB$115</definedName>
    <definedName name="OS" localSheetId="8">'Perimètre SALVIA'!#REF!</definedName>
    <definedName name="OS">'Données initiales'!$EA$2:$EA$115</definedName>
    <definedName name="Prog" localSheetId="8">'Perimètre SALVIA'!$D$2:$D$114</definedName>
    <definedName name="Prog">'Données initiales'!$D$2:$D$115</definedName>
    <definedName name="Px_Foncier">'Données initiales'!$P$2:$P$115</definedName>
    <definedName name="RO" localSheetId="8">'Perimètre SALVIA'!$F$2:$F$114</definedName>
    <definedName name="RO">'Données initiales'!$F$2:$F$115</definedName>
    <definedName name="Type">'Données initiales'!$AC$2:$AC$115</definedName>
    <definedName name="Ville" localSheetId="8">'Perimètre SALVIA'!$B$2:$B$114</definedName>
    <definedName name="Ville">'Données initiales'!$B$2:$B$115</definedName>
    <definedName name="_xlnm.Print_Area" localSheetId="7">'avant 2011'!$A$1:$N$25</definedName>
    <definedName name="_xlnm.Print_Area" localSheetId="3">'Données initiales'!$A$1:$KC$244</definedName>
    <definedName name="_xlnm.Print_Area" localSheetId="8">'Perimètre SALVIA'!$A$1:$M$119</definedName>
  </definedNames>
  <calcPr calcId="152511"/>
  <pivotCaches>
    <pivotCache cacheId="0" r:id="rId10"/>
    <pivotCache cacheId="1" r:id="rId11"/>
    <pivotCache cacheId="9" r:id="rId12"/>
  </pivotCaches>
</workbook>
</file>

<file path=xl/calcChain.xml><?xml version="1.0" encoding="utf-8"?>
<calcChain xmlns="http://schemas.openxmlformats.org/spreadsheetml/2006/main">
  <c r="ID65" i="1" l="1"/>
  <c r="HH65" i="1"/>
  <c r="ID64" i="1"/>
  <c r="E28" i="7"/>
  <c r="D27" i="7"/>
  <c r="K18" i="7"/>
  <c r="I20" i="7"/>
  <c r="H19" i="7"/>
  <c r="K20" i="7"/>
  <c r="I18" i="7"/>
  <c r="K19" i="7"/>
  <c r="E27" i="7"/>
  <c r="D26" i="7"/>
  <c r="J20" i="7"/>
  <c r="I19" i="7"/>
  <c r="H18" i="7"/>
  <c r="E26" i="7"/>
  <c r="J19" i="7"/>
  <c r="D28" i="7"/>
  <c r="J18" i="7"/>
  <c r="H20" i="7"/>
  <c r="J21" i="7" l="1"/>
  <c r="H21" i="7"/>
  <c r="I21" i="7"/>
  <c r="K21" i="7"/>
  <c r="JD55" i="1"/>
  <c r="HB90" i="1" l="1"/>
  <c r="HB89" i="1"/>
  <c r="HB88" i="1"/>
  <c r="HB87" i="1"/>
  <c r="HB86" i="1"/>
  <c r="HB85" i="1"/>
  <c r="GE87" i="1"/>
  <c r="F11" i="18"/>
  <c r="F7" i="18"/>
  <c r="F9" i="18"/>
  <c r="F12" i="18"/>
  <c r="F8" i="18"/>
  <c r="F10" i="18"/>
  <c r="F6" i="18"/>
  <c r="F5" i="18"/>
  <c r="F4" i="18"/>
  <c r="EN34" i="1" l="1"/>
  <c r="EN33" i="1"/>
  <c r="FE25" i="1" l="1"/>
  <c r="EU25" i="1"/>
  <c r="JQ79" i="1" l="1"/>
  <c r="JD79" i="1"/>
  <c r="IS79" i="1"/>
  <c r="IH79" i="1"/>
  <c r="HV79" i="1"/>
  <c r="HY79" i="1" s="1"/>
  <c r="HU79" i="1"/>
  <c r="HS79" i="1"/>
  <c r="HQ79" i="1"/>
  <c r="HR79" i="1" s="1"/>
  <c r="HM79" i="1"/>
  <c r="HO79" i="1" s="1"/>
  <c r="HI79" i="1"/>
  <c r="GR79" i="1"/>
  <c r="GI79" i="1"/>
  <c r="GD79" i="1"/>
  <c r="FX79" i="1"/>
  <c r="FR79" i="1"/>
  <c r="FY79" i="1" s="1"/>
  <c r="FQ79" i="1"/>
  <c r="GO79" i="1" s="1"/>
  <c r="CH79" i="1"/>
  <c r="CG79" i="1"/>
  <c r="AD79" i="1"/>
  <c r="GZ79" i="1" s="1"/>
  <c r="Y79" i="1"/>
  <c r="Q71" i="1"/>
  <c r="T71" i="1" s="1"/>
  <c r="S71" i="1"/>
  <c r="AD71" i="1"/>
  <c r="R71" i="1" s="1"/>
  <c r="AH71" i="1"/>
  <c r="CG71" i="1"/>
  <c r="CH71" i="1"/>
  <c r="DU71" i="1"/>
  <c r="ED71" i="1"/>
  <c r="EN71" i="1"/>
  <c r="EE71" i="1" s="1"/>
  <c r="EG71" i="1" s="1"/>
  <c r="EO71" i="1"/>
  <c r="FQ71" i="1"/>
  <c r="FT71" i="1" s="1"/>
  <c r="FX71" i="1"/>
  <c r="GB71" i="1"/>
  <c r="GD71" i="1" s="1"/>
  <c r="GF71" i="1"/>
  <c r="GI71" i="1" s="1"/>
  <c r="GM71" i="1"/>
  <c r="GR71" i="1" s="1"/>
  <c r="HK71" i="1"/>
  <c r="HL71" i="1"/>
  <c r="HM71" i="1" s="1"/>
  <c r="HN71" i="1" s="1"/>
  <c r="ID71" i="1"/>
  <c r="IH71" i="1"/>
  <c r="IT71" i="1"/>
  <c r="IU71" i="1" s="1"/>
  <c r="JQ71" i="1"/>
  <c r="GU71" i="1" l="1"/>
  <c r="HC71" i="1"/>
  <c r="HG71" i="1"/>
  <c r="HG79" i="1"/>
  <c r="GT71" i="1"/>
  <c r="EU71" i="1"/>
  <c r="EV71" i="1" s="1"/>
  <c r="EF71" i="1" s="1"/>
  <c r="GO71" i="1"/>
  <c r="FS79" i="1"/>
  <c r="FT79" i="1"/>
  <c r="GZ71" i="1"/>
  <c r="GJ71" i="1"/>
  <c r="AI71" i="1"/>
  <c r="HC79" i="1"/>
  <c r="W71" i="1"/>
  <c r="GS71" i="1"/>
  <c r="FU71" i="1"/>
  <c r="GC71" i="1"/>
  <c r="U71" i="1"/>
  <c r="AI79" i="1"/>
  <c r="GT79" i="1"/>
  <c r="GJ79" i="1"/>
  <c r="GC79" i="1"/>
  <c r="GU79" i="1"/>
  <c r="HB79" i="1"/>
  <c r="FU79" i="1"/>
  <c r="GS79" i="1"/>
  <c r="IE79" i="1"/>
  <c r="IF79" i="1" s="1"/>
  <c r="II79" i="1" s="1"/>
  <c r="IJ79" i="1" s="1"/>
  <c r="IB79" i="1"/>
  <c r="HZ79" i="1"/>
  <c r="IA79" i="1" s="1"/>
  <c r="HX79" i="1"/>
  <c r="Y71" i="1"/>
  <c r="HP71" i="1"/>
  <c r="HS71" i="1" s="1"/>
  <c r="HB71" i="1"/>
  <c r="FR71" i="1"/>
  <c r="IV71" i="1"/>
  <c r="HO71" i="1"/>
  <c r="V71" i="1"/>
  <c r="HM90" i="1"/>
  <c r="HM89" i="1"/>
  <c r="IK79" i="1" l="1"/>
  <c r="HT71" i="1"/>
  <c r="HV71" i="1" s="1"/>
  <c r="HQ71" i="1"/>
  <c r="HR71" i="1" s="1"/>
  <c r="IY71" i="1"/>
  <c r="IW71" i="1"/>
  <c r="FS71" i="1"/>
  <c r="FY71" i="1"/>
  <c r="GE66" i="1"/>
  <c r="IN79" i="1" l="1"/>
  <c r="IL79" i="1"/>
  <c r="HY71" i="1"/>
  <c r="IE71" i="1" s="1"/>
  <c r="IF71" i="1" s="1"/>
  <c r="II71" i="1" s="1"/>
  <c r="IJ71" i="1" s="1"/>
  <c r="HW71" i="1"/>
  <c r="IZ71" i="1"/>
  <c r="JA71" i="1" s="1"/>
  <c r="HU71" i="1"/>
  <c r="IX71" i="1"/>
  <c r="JE71" i="1"/>
  <c r="JF71" i="1" s="1"/>
  <c r="JB71" i="1"/>
  <c r="GP120" i="1"/>
  <c r="GQ89" i="1"/>
  <c r="FQ89" i="1" s="1"/>
  <c r="FQ90" i="1"/>
  <c r="FQ88" i="1"/>
  <c r="FQ85" i="1"/>
  <c r="FQ92" i="1"/>
  <c r="FQ86" i="1"/>
  <c r="FQ87" i="1"/>
  <c r="IO79" i="1" l="1"/>
  <c r="IP79" i="1" s="1"/>
  <c r="IM79" i="1"/>
  <c r="IT79" i="1"/>
  <c r="IQ79" i="1"/>
  <c r="IK71" i="1"/>
  <c r="IL71" i="1" s="1"/>
  <c r="IO71" i="1" s="1"/>
  <c r="IP71" i="1" s="1"/>
  <c r="IB71" i="1"/>
  <c r="IQ71" i="1"/>
  <c r="HX71" i="1"/>
  <c r="HZ71" i="1"/>
  <c r="IA71" i="1" s="1"/>
  <c r="JG71" i="1"/>
  <c r="FQ66" i="1"/>
  <c r="FQ78" i="1"/>
  <c r="FQ82" i="1"/>
  <c r="FQ58" i="1"/>
  <c r="FQ80" i="1"/>
  <c r="FQ83" i="1"/>
  <c r="FQ63" i="1"/>
  <c r="FT63" i="1" s="1"/>
  <c r="FQ103" i="1"/>
  <c r="FQ61" i="1"/>
  <c r="FQ68" i="1"/>
  <c r="FQ67" i="1"/>
  <c r="FQ115" i="1"/>
  <c r="FQ76" i="1"/>
  <c r="FQ73" i="1"/>
  <c r="FQ75" i="1"/>
  <c r="FQ74" i="1"/>
  <c r="FQ84" i="1"/>
  <c r="FQ72" i="1"/>
  <c r="FQ65" i="1"/>
  <c r="FQ70" i="1"/>
  <c r="FQ62" i="1"/>
  <c r="IV79" i="1" l="1"/>
  <c r="IU79" i="1"/>
  <c r="JH71" i="1"/>
  <c r="JJ71" i="1" s="1"/>
  <c r="IM71" i="1"/>
  <c r="GT87" i="1"/>
  <c r="GT89" i="1"/>
  <c r="GT90" i="1"/>
  <c r="GT88" i="1"/>
  <c r="GT85" i="1"/>
  <c r="GT86" i="1"/>
  <c r="GT45" i="1"/>
  <c r="GS87" i="1"/>
  <c r="GS89" i="1"/>
  <c r="GS90" i="1"/>
  <c r="GS88" i="1"/>
  <c r="GS85" i="1"/>
  <c r="GS86" i="1"/>
  <c r="GS45" i="1"/>
  <c r="GO87" i="1"/>
  <c r="GO89" i="1"/>
  <c r="GO90" i="1"/>
  <c r="GO88" i="1"/>
  <c r="GO85" i="1"/>
  <c r="GO86" i="1"/>
  <c r="GJ87" i="1"/>
  <c r="GJ89" i="1"/>
  <c r="GJ90" i="1"/>
  <c r="GJ88" i="1"/>
  <c r="GJ85" i="1"/>
  <c r="GJ86" i="1"/>
  <c r="GJ45" i="1"/>
  <c r="GC87" i="1"/>
  <c r="GC89" i="1"/>
  <c r="GC90" i="1"/>
  <c r="GC88" i="1"/>
  <c r="GC85" i="1"/>
  <c r="GC86" i="1"/>
  <c r="GC45" i="1"/>
  <c r="FU87" i="1"/>
  <c r="FU89" i="1"/>
  <c r="FU90" i="1"/>
  <c r="FU88" i="1"/>
  <c r="FU85" i="1"/>
  <c r="FU86" i="1"/>
  <c r="FT87" i="1"/>
  <c r="FT89" i="1"/>
  <c r="FT90" i="1"/>
  <c r="FT88" i="1"/>
  <c r="FT85" i="1"/>
  <c r="FT86" i="1"/>
  <c r="IW79" i="1" l="1"/>
  <c r="IX79" i="1" s="1"/>
  <c r="IY79" i="1"/>
  <c r="JK71" i="1"/>
  <c r="JL71" i="1" s="1"/>
  <c r="JI71" i="1"/>
  <c r="GO67" i="1"/>
  <c r="FT67" i="1"/>
  <c r="FQ64" i="1"/>
  <c r="JE79" i="1" l="1"/>
  <c r="JB79" i="1"/>
  <c r="IZ79" i="1"/>
  <c r="JA79" i="1" s="1"/>
  <c r="JN71" i="1"/>
  <c r="JO71" i="1" s="1"/>
  <c r="JP71" i="1" s="1"/>
  <c r="JM71" i="1"/>
  <c r="JR71" i="1" s="1"/>
  <c r="GO64" i="1"/>
  <c r="FT64" i="1"/>
  <c r="HI59" i="1"/>
  <c r="IS59" i="1"/>
  <c r="HI58" i="1"/>
  <c r="HI63" i="1"/>
  <c r="HI92" i="1"/>
  <c r="HI60" i="1"/>
  <c r="HI52" i="1"/>
  <c r="JX39" i="1"/>
  <c r="HI39" i="1" s="1"/>
  <c r="HI57" i="1"/>
  <c r="HI56" i="1"/>
  <c r="HI81" i="1"/>
  <c r="HI50" i="1"/>
  <c r="HI42" i="1"/>
  <c r="HI45" i="1"/>
  <c r="HI47" i="1"/>
  <c r="HI43" i="1"/>
  <c r="HI37" i="1"/>
  <c r="HI38" i="1"/>
  <c r="JG79" i="1" l="1"/>
  <c r="JF79" i="1"/>
  <c r="HI44" i="1"/>
  <c r="HI49" i="1"/>
  <c r="JH79" i="1" l="1"/>
  <c r="JJ79" i="1" s="1"/>
  <c r="IN57" i="1"/>
  <c r="IO57" i="1" s="1"/>
  <c r="JK79" i="1" l="1"/>
  <c r="JI79" i="1"/>
  <c r="HI41" i="1"/>
  <c r="JN79" i="1" l="1"/>
  <c r="JO79" i="1" s="1"/>
  <c r="JP79" i="1" s="1"/>
  <c r="JM79" i="1"/>
  <c r="JR79" i="1" s="1"/>
  <c r="JL79" i="1"/>
  <c r="EU26" i="1"/>
  <c r="EV26" i="1" s="1"/>
  <c r="HI51" i="1" l="1"/>
  <c r="HI55" i="1" l="1"/>
  <c r="JT56" i="1" l="1"/>
  <c r="HH39" i="1"/>
  <c r="HI40" i="1"/>
  <c r="HI54" i="1"/>
  <c r="HH40" i="1"/>
  <c r="HI78" i="1" l="1"/>
  <c r="HI53" i="1" l="1"/>
  <c r="HI64" i="1"/>
  <c r="CG44" i="1" l="1"/>
  <c r="CH44" i="1" s="1"/>
  <c r="CF41" i="1"/>
  <c r="CG41" i="1" s="1"/>
  <c r="HI67" i="1" l="1"/>
  <c r="EN49" i="1" l="1"/>
  <c r="EU49" i="1" s="1"/>
  <c r="EV49" i="1" s="1"/>
  <c r="HH52" i="1" l="1"/>
  <c r="CH9" i="1" l="1"/>
  <c r="CH10" i="1"/>
  <c r="CH7" i="1"/>
  <c r="CH8" i="1"/>
  <c r="CH6" i="1"/>
  <c r="CH3" i="1"/>
  <c r="CH4" i="1"/>
  <c r="CH5" i="1"/>
  <c r="CH13" i="1"/>
  <c r="CH11" i="1"/>
  <c r="CH19" i="1"/>
  <c r="CH15" i="1"/>
  <c r="CH20" i="1"/>
  <c r="CH31" i="1"/>
  <c r="CH22" i="1"/>
  <c r="CH14" i="1"/>
  <c r="CH21" i="1"/>
  <c r="CH16" i="1"/>
  <c r="CH17" i="1"/>
  <c r="CH12" i="1"/>
  <c r="CH30" i="1"/>
  <c r="CH18" i="1"/>
  <c r="CH23" i="1"/>
  <c r="CH24" i="1"/>
  <c r="CH35" i="1"/>
  <c r="CH26" i="1"/>
  <c r="CH25" i="1"/>
  <c r="CH37" i="1"/>
  <c r="CH38" i="1"/>
  <c r="CH29" i="1"/>
  <c r="CH27" i="1"/>
  <c r="CH28" i="1"/>
  <c r="CH41" i="1"/>
  <c r="CH49" i="1"/>
  <c r="CH32" i="1"/>
  <c r="CH36" i="1"/>
  <c r="CH34" i="1"/>
  <c r="CH33" i="1"/>
  <c r="CH45" i="1"/>
  <c r="CH46" i="1"/>
  <c r="CH47" i="1"/>
  <c r="CH50" i="1"/>
  <c r="CH43" i="1"/>
  <c r="CH42" i="1"/>
  <c r="CH51" i="1"/>
  <c r="CH40" i="1"/>
  <c r="CH39" i="1"/>
  <c r="CH53" i="1"/>
  <c r="CH54" i="1"/>
  <c r="CH55" i="1"/>
  <c r="CH57" i="1"/>
  <c r="CH81" i="1"/>
  <c r="CH48" i="1"/>
  <c r="CH52" i="1"/>
  <c r="CH115" i="1"/>
  <c r="CH56" i="1"/>
  <c r="CH60" i="1"/>
  <c r="CH100" i="1"/>
  <c r="CH92" i="1"/>
  <c r="CH64" i="1"/>
  <c r="CH62" i="1"/>
  <c r="CH65" i="1"/>
  <c r="CH84" i="1"/>
  <c r="CH86" i="1"/>
  <c r="CH85" i="1"/>
  <c r="CH88" i="1"/>
  <c r="CH90" i="1"/>
  <c r="CH89" i="1"/>
  <c r="CH67" i="1"/>
  <c r="CH61" i="1"/>
  <c r="CH103" i="1"/>
  <c r="CH63" i="1"/>
  <c r="CH68" i="1"/>
  <c r="CH83" i="1"/>
  <c r="CH87" i="1"/>
  <c r="CH82" i="1"/>
  <c r="CH58" i="1"/>
  <c r="CH78" i="1"/>
  <c r="CH66" i="1"/>
  <c r="CH59" i="1"/>
  <c r="CH80" i="1"/>
  <c r="CH98" i="1"/>
  <c r="CH97" i="1"/>
  <c r="CH99" i="1"/>
  <c r="CH95" i="1"/>
  <c r="CH108" i="1"/>
  <c r="CH106" i="1"/>
  <c r="CH109" i="1"/>
  <c r="CH110" i="1"/>
  <c r="CH113" i="1"/>
  <c r="CH112" i="1"/>
  <c r="CH111" i="1"/>
  <c r="CH72" i="1"/>
  <c r="CH69" i="1"/>
  <c r="CH91" i="1"/>
  <c r="CH102" i="1"/>
  <c r="CH101" i="1"/>
  <c r="CH74" i="1"/>
  <c r="CH75" i="1"/>
  <c r="CH73" i="1"/>
  <c r="CH93" i="1"/>
  <c r="CH77" i="1"/>
  <c r="CH94" i="1"/>
  <c r="CH104" i="1"/>
  <c r="CH70" i="1"/>
  <c r="CH107" i="1"/>
  <c r="CH96" i="1"/>
  <c r="CH76" i="1"/>
  <c r="CH114" i="1"/>
  <c r="CH105" i="1"/>
  <c r="CH2" i="1"/>
  <c r="CG2" i="1"/>
  <c r="CG9" i="1"/>
  <c r="CG10" i="1"/>
  <c r="CG7" i="1"/>
  <c r="CG8" i="1"/>
  <c r="CG6" i="1"/>
  <c r="CG3" i="1"/>
  <c r="CG4" i="1"/>
  <c r="CG5" i="1"/>
  <c r="CG13" i="1"/>
  <c r="CG11" i="1"/>
  <c r="CG19" i="1"/>
  <c r="CG15" i="1"/>
  <c r="CI15" i="1" s="1"/>
  <c r="CG20" i="1"/>
  <c r="CI20" i="1" s="1"/>
  <c r="CG31" i="1"/>
  <c r="CI31" i="1" s="1"/>
  <c r="CG22" i="1"/>
  <c r="CI22" i="1" s="1"/>
  <c r="CG14" i="1"/>
  <c r="CI14" i="1" s="1"/>
  <c r="CG21" i="1"/>
  <c r="CI21" i="1" s="1"/>
  <c r="CG16" i="1"/>
  <c r="CI16" i="1" s="1"/>
  <c r="CG17" i="1"/>
  <c r="CI17" i="1" s="1"/>
  <c r="CG12" i="1"/>
  <c r="CI12" i="1" s="1"/>
  <c r="CG30" i="1"/>
  <c r="CI30" i="1" s="1"/>
  <c r="CG18" i="1"/>
  <c r="CG23" i="1"/>
  <c r="CG24" i="1"/>
  <c r="CG35" i="1"/>
  <c r="CG26" i="1"/>
  <c r="CG25" i="1"/>
  <c r="CI25" i="1" s="1"/>
  <c r="CG37" i="1"/>
  <c r="CG38" i="1"/>
  <c r="CG29" i="1"/>
  <c r="CI29" i="1" s="1"/>
  <c r="CG27" i="1"/>
  <c r="CI27" i="1" s="1"/>
  <c r="CG28" i="1"/>
  <c r="CI28" i="1" s="1"/>
  <c r="CG49" i="1"/>
  <c r="CG32" i="1"/>
  <c r="CI32" i="1" s="1"/>
  <c r="CG36" i="1"/>
  <c r="CG34" i="1"/>
  <c r="CG33" i="1"/>
  <c r="CG45" i="1"/>
  <c r="CG46" i="1"/>
  <c r="CG47" i="1"/>
  <c r="CG50" i="1"/>
  <c r="CG43" i="1"/>
  <c r="CG42" i="1"/>
  <c r="CG51" i="1"/>
  <c r="CG40" i="1"/>
  <c r="CG39" i="1"/>
  <c r="CG53" i="1"/>
  <c r="CG54" i="1"/>
  <c r="CG55" i="1"/>
  <c r="CG57" i="1"/>
  <c r="CG81" i="1"/>
  <c r="CG48" i="1"/>
  <c r="CG52" i="1"/>
  <c r="CG115" i="1"/>
  <c r="CG56" i="1"/>
  <c r="CG60" i="1"/>
  <c r="CG100" i="1"/>
  <c r="CG92" i="1"/>
  <c r="CG64" i="1"/>
  <c r="CG62" i="1"/>
  <c r="CG65" i="1"/>
  <c r="CG84" i="1"/>
  <c r="CG86" i="1"/>
  <c r="CG85" i="1"/>
  <c r="CG88" i="1"/>
  <c r="CG90" i="1"/>
  <c r="CG89" i="1"/>
  <c r="CG67" i="1"/>
  <c r="CG61" i="1"/>
  <c r="CG103" i="1"/>
  <c r="CG63" i="1"/>
  <c r="CG68" i="1"/>
  <c r="CG83" i="1"/>
  <c r="CG87" i="1"/>
  <c r="CG82" i="1"/>
  <c r="CG58" i="1"/>
  <c r="CG78" i="1"/>
  <c r="CG66" i="1"/>
  <c r="CG59" i="1"/>
  <c r="CG80" i="1"/>
  <c r="CG98" i="1"/>
  <c r="CG97" i="1"/>
  <c r="CG99" i="1"/>
  <c r="CG95" i="1"/>
  <c r="CG108" i="1"/>
  <c r="CG106" i="1"/>
  <c r="CG109" i="1"/>
  <c r="CG110" i="1"/>
  <c r="CG113" i="1"/>
  <c r="CG112" i="1"/>
  <c r="CG111" i="1"/>
  <c r="CG72" i="1"/>
  <c r="CG69" i="1"/>
  <c r="CG91" i="1"/>
  <c r="CG102" i="1"/>
  <c r="CG101" i="1"/>
  <c r="CG74" i="1"/>
  <c r="CG75" i="1"/>
  <c r="CG73" i="1"/>
  <c r="CG93" i="1"/>
  <c r="CG77" i="1"/>
  <c r="CG94" i="1"/>
  <c r="CG104" i="1"/>
  <c r="CG70" i="1"/>
  <c r="CG107" i="1"/>
  <c r="CG96" i="1"/>
  <c r="CG76" i="1"/>
  <c r="CG114" i="1"/>
  <c r="CG105" i="1"/>
  <c r="CI11" i="1" l="1"/>
  <c r="CI13" i="1"/>
  <c r="CI19" i="1"/>
  <c r="IK57" i="1"/>
  <c r="FQ53" i="1" l="1"/>
  <c r="H168" i="24" l="1"/>
  <c r="G168" i="24"/>
  <c r="F168" i="24"/>
  <c r="E168" i="24"/>
  <c r="D168" i="24"/>
  <c r="H166" i="24"/>
  <c r="G166" i="24"/>
  <c r="F166" i="24"/>
  <c r="E166" i="24"/>
  <c r="D166" i="24"/>
  <c r="H165" i="24"/>
  <c r="G165" i="24"/>
  <c r="F165" i="24"/>
  <c r="E165" i="24"/>
  <c r="D165" i="24"/>
  <c r="H164" i="24"/>
  <c r="G164" i="24"/>
  <c r="F164" i="24"/>
  <c r="E164" i="24"/>
  <c r="D164" i="24"/>
  <c r="H163" i="24"/>
  <c r="G163" i="24"/>
  <c r="F163" i="24"/>
  <c r="E163" i="24"/>
  <c r="D163" i="24"/>
  <c r="H162" i="24"/>
  <c r="G162" i="24"/>
  <c r="F162" i="24"/>
  <c r="E162" i="24"/>
  <c r="D162" i="24"/>
  <c r="H161" i="24"/>
  <c r="G161" i="24"/>
  <c r="F161" i="24"/>
  <c r="E161" i="24"/>
  <c r="D161" i="24"/>
  <c r="H160" i="24"/>
  <c r="G160" i="24"/>
  <c r="F160" i="24"/>
  <c r="E160" i="24"/>
  <c r="D160" i="24"/>
  <c r="H159" i="24"/>
  <c r="G159" i="24"/>
  <c r="F159" i="24"/>
  <c r="E159" i="24"/>
  <c r="D159" i="24"/>
  <c r="H158" i="24"/>
  <c r="G158" i="24"/>
  <c r="F158" i="24"/>
  <c r="E158" i="24"/>
  <c r="D158" i="24"/>
  <c r="H157" i="24"/>
  <c r="G157" i="24"/>
  <c r="F157" i="24"/>
  <c r="E157" i="24"/>
  <c r="D157" i="24"/>
  <c r="H156" i="24"/>
  <c r="G156" i="24"/>
  <c r="F156" i="24"/>
  <c r="E156" i="24"/>
  <c r="D156" i="24"/>
  <c r="J147" i="24"/>
  <c r="I147" i="24"/>
  <c r="F147" i="24"/>
  <c r="E147" i="24"/>
  <c r="D147" i="24"/>
  <c r="C147" i="24"/>
  <c r="B147" i="24"/>
  <c r="F146" i="24"/>
  <c r="E146" i="24"/>
  <c r="D146" i="24"/>
  <c r="C146" i="24"/>
  <c r="B146" i="24"/>
  <c r="F145" i="24"/>
  <c r="E145" i="24"/>
  <c r="D145" i="24"/>
  <c r="C145" i="24"/>
  <c r="B145" i="24"/>
  <c r="F144" i="24"/>
  <c r="E144" i="24"/>
  <c r="D144" i="24"/>
  <c r="C144" i="24"/>
  <c r="B144" i="24"/>
  <c r="F143" i="24"/>
  <c r="E143" i="24"/>
  <c r="D143" i="24"/>
  <c r="C143" i="24"/>
  <c r="B143" i="24"/>
  <c r="F142" i="24"/>
  <c r="E142" i="24"/>
  <c r="D142" i="24"/>
  <c r="C142" i="24"/>
  <c r="B142" i="24"/>
  <c r="F141" i="24"/>
  <c r="E141" i="24"/>
  <c r="D141" i="24"/>
  <c r="C141" i="24"/>
  <c r="B141" i="24"/>
  <c r="C136" i="24"/>
  <c r="B136" i="24"/>
  <c r="C135" i="24"/>
  <c r="B135" i="24"/>
  <c r="C134" i="24"/>
  <c r="B134" i="24"/>
  <c r="C133" i="24"/>
  <c r="B133" i="24"/>
  <c r="C132" i="24"/>
  <c r="B132" i="24"/>
  <c r="C131" i="24"/>
  <c r="B131" i="24"/>
  <c r="C130" i="24"/>
  <c r="B130" i="24"/>
  <c r="C129" i="24"/>
  <c r="B129" i="24"/>
  <c r="C128" i="24"/>
  <c r="B128" i="24"/>
  <c r="C127" i="24"/>
  <c r="B127" i="24"/>
  <c r="C126" i="24"/>
  <c r="B126" i="24"/>
  <c r="J121" i="24"/>
  <c r="L120" i="24"/>
  <c r="K120" i="24"/>
  <c r="L119" i="24"/>
  <c r="K119" i="24"/>
  <c r="J119" i="24"/>
  <c r="E116" i="24"/>
  <c r="L115" i="24"/>
  <c r="K115" i="24"/>
  <c r="J115" i="24"/>
  <c r="J114" i="24"/>
  <c r="J113" i="24"/>
  <c r="J112" i="24"/>
  <c r="J111" i="24"/>
  <c r="J110" i="24"/>
  <c r="J109" i="24"/>
  <c r="J108" i="24"/>
  <c r="J107" i="24"/>
  <c r="J106" i="24"/>
  <c r="J105" i="24"/>
  <c r="L104" i="24"/>
  <c r="J104" i="24"/>
  <c r="L103" i="24"/>
  <c r="J103" i="24"/>
  <c r="L102" i="24"/>
  <c r="J102" i="24"/>
  <c r="J101" i="24"/>
  <c r="J100" i="24"/>
  <c r="J99" i="24"/>
  <c r="L97" i="24"/>
  <c r="J97" i="24"/>
  <c r="J80" i="24"/>
  <c r="J79" i="24"/>
  <c r="L78" i="24"/>
  <c r="J78" i="24"/>
  <c r="L77" i="24"/>
  <c r="J77" i="24"/>
  <c r="J76" i="24"/>
  <c r="J75" i="24"/>
  <c r="J74" i="24"/>
  <c r="J73" i="24"/>
  <c r="J72" i="24"/>
  <c r="J71" i="24"/>
  <c r="J70" i="24"/>
  <c r="J69" i="24"/>
  <c r="J68" i="24"/>
  <c r="J67" i="24"/>
  <c r="J66" i="24"/>
  <c r="J65" i="24"/>
  <c r="J64" i="24"/>
  <c r="J63" i="24"/>
  <c r="J62" i="24"/>
  <c r="J61" i="24"/>
  <c r="J60" i="24"/>
  <c r="J59" i="24"/>
  <c r="J58" i="24"/>
  <c r="J57" i="24"/>
  <c r="J56" i="24"/>
  <c r="J55" i="24"/>
  <c r="J54" i="24"/>
  <c r="J53" i="24"/>
  <c r="J52" i="24"/>
  <c r="J51" i="24"/>
  <c r="L50" i="24"/>
  <c r="J50" i="24"/>
  <c r="J49" i="24"/>
  <c r="J48" i="24"/>
  <c r="J47" i="24"/>
  <c r="J46" i="24"/>
  <c r="J45" i="24"/>
  <c r="J44" i="24"/>
  <c r="J42" i="24"/>
  <c r="J41" i="24"/>
  <c r="J40" i="24"/>
  <c r="J39" i="24"/>
  <c r="L38" i="24"/>
  <c r="J38" i="24"/>
  <c r="L37" i="24"/>
  <c r="J37" i="24"/>
  <c r="J36" i="24"/>
  <c r="J35" i="24"/>
  <c r="J34" i="24"/>
  <c r="J33" i="24"/>
  <c r="J32" i="24"/>
  <c r="J31" i="24"/>
  <c r="J30" i="24"/>
  <c r="J29" i="24"/>
  <c r="J28" i="24"/>
  <c r="J27" i="24"/>
  <c r="J26" i="24"/>
  <c r="J25" i="24"/>
  <c r="J24" i="24"/>
  <c r="J23" i="24"/>
  <c r="J22" i="24"/>
  <c r="J21" i="24"/>
  <c r="J20" i="24"/>
  <c r="J19" i="24"/>
  <c r="J18" i="24"/>
  <c r="J17" i="24"/>
  <c r="J16" i="24"/>
  <c r="J15" i="24"/>
  <c r="J14" i="24"/>
  <c r="J13" i="24"/>
  <c r="J12" i="24"/>
  <c r="J11" i="24"/>
  <c r="J10" i="24"/>
  <c r="J9" i="24"/>
  <c r="J8" i="24"/>
  <c r="J7" i="24"/>
  <c r="J6" i="24"/>
  <c r="J5" i="24"/>
  <c r="J4" i="24"/>
  <c r="J3" i="24"/>
  <c r="J2" i="24"/>
  <c r="M20" i="2"/>
  <c r="L20" i="2"/>
  <c r="K20" i="2"/>
  <c r="J20" i="2"/>
  <c r="I20" i="2"/>
  <c r="H20" i="2"/>
  <c r="G20" i="2"/>
  <c r="F20" i="2"/>
  <c r="E20" i="2"/>
  <c r="D20" i="2"/>
  <c r="C20" i="2"/>
  <c r="M18" i="2"/>
  <c r="L18" i="2"/>
  <c r="K18" i="2"/>
  <c r="J18" i="2"/>
  <c r="I18" i="2"/>
  <c r="H18" i="2"/>
  <c r="G18" i="2"/>
  <c r="F18" i="2"/>
  <c r="E18" i="2"/>
  <c r="D18" i="2"/>
  <c r="C18" i="2"/>
  <c r="M17" i="2"/>
  <c r="L17" i="2"/>
  <c r="K17" i="2"/>
  <c r="I17" i="2"/>
  <c r="H17" i="2"/>
  <c r="E17" i="2"/>
  <c r="M16" i="2"/>
  <c r="L16" i="2"/>
  <c r="K16" i="2"/>
  <c r="I16" i="2"/>
  <c r="H16" i="2"/>
  <c r="E16" i="2"/>
  <c r="M15" i="2"/>
  <c r="L15" i="2"/>
  <c r="K15" i="2"/>
  <c r="I15" i="2"/>
  <c r="H15" i="2"/>
  <c r="E15" i="2"/>
  <c r="M13" i="2"/>
  <c r="L13" i="2"/>
  <c r="K13" i="2"/>
  <c r="J13" i="2"/>
  <c r="I13" i="2"/>
  <c r="H13" i="2"/>
  <c r="G13" i="2"/>
  <c r="F13" i="2"/>
  <c r="E13" i="2"/>
  <c r="D13" i="2"/>
  <c r="C13" i="2"/>
  <c r="M12" i="2"/>
  <c r="L12" i="2"/>
  <c r="K12" i="2"/>
  <c r="J12" i="2"/>
  <c r="I12" i="2"/>
  <c r="H12" i="2"/>
  <c r="E12" i="2"/>
  <c r="M11" i="2"/>
  <c r="L11" i="2"/>
  <c r="K11" i="2"/>
  <c r="I11" i="2"/>
  <c r="H11" i="2"/>
  <c r="E11" i="2"/>
  <c r="M10" i="2"/>
  <c r="L10" i="2"/>
  <c r="K10" i="2"/>
  <c r="I10" i="2"/>
  <c r="H10" i="2"/>
  <c r="E10" i="2"/>
  <c r="M9" i="2"/>
  <c r="L9" i="2"/>
  <c r="K9" i="2"/>
  <c r="J9" i="2"/>
  <c r="I9" i="2"/>
  <c r="H9" i="2"/>
  <c r="E9" i="2"/>
  <c r="M8" i="2"/>
  <c r="L8" i="2"/>
  <c r="K8" i="2"/>
  <c r="I8" i="2"/>
  <c r="H8" i="2"/>
  <c r="E8" i="2"/>
  <c r="M6" i="2"/>
  <c r="L6" i="2"/>
  <c r="K6" i="2"/>
  <c r="J6" i="2"/>
  <c r="I6" i="2"/>
  <c r="H6" i="2"/>
  <c r="G6" i="2"/>
  <c r="F6" i="2"/>
  <c r="E6" i="2"/>
  <c r="D6" i="2"/>
  <c r="M5" i="2"/>
  <c r="L5" i="2"/>
  <c r="K5" i="2"/>
  <c r="J5" i="2"/>
  <c r="I5" i="2"/>
  <c r="H5" i="2"/>
  <c r="G5" i="2"/>
  <c r="E5" i="2"/>
  <c r="D5" i="2"/>
  <c r="M4" i="2"/>
  <c r="L4" i="2"/>
  <c r="K4" i="2"/>
  <c r="J4" i="2"/>
  <c r="I4" i="2"/>
  <c r="H4" i="2"/>
  <c r="E4" i="2"/>
  <c r="M3" i="2"/>
  <c r="L3" i="2"/>
  <c r="K3" i="2"/>
  <c r="J3" i="2"/>
  <c r="I3" i="2"/>
  <c r="H3" i="2"/>
  <c r="G3" i="2"/>
  <c r="E3" i="2"/>
  <c r="D3" i="2"/>
  <c r="M2" i="2"/>
  <c r="L2" i="2"/>
  <c r="K2" i="2"/>
  <c r="J2" i="2"/>
  <c r="I2" i="2"/>
  <c r="H2" i="2"/>
  <c r="E2" i="2"/>
  <c r="J232" i="1"/>
  <c r="I232" i="1"/>
  <c r="H232" i="1"/>
  <c r="G232" i="1"/>
  <c r="F232" i="1"/>
  <c r="E232" i="1"/>
  <c r="D232" i="1"/>
  <c r="J231" i="1"/>
  <c r="I231" i="1"/>
  <c r="H231" i="1"/>
  <c r="G231" i="1"/>
  <c r="F231" i="1"/>
  <c r="E231" i="1"/>
  <c r="D231" i="1"/>
  <c r="J230" i="1"/>
  <c r="I230" i="1"/>
  <c r="H230" i="1"/>
  <c r="G230" i="1"/>
  <c r="F230" i="1"/>
  <c r="E230" i="1"/>
  <c r="D230" i="1"/>
  <c r="J229" i="1"/>
  <c r="I229" i="1"/>
  <c r="H229" i="1"/>
  <c r="G229" i="1"/>
  <c r="F229" i="1"/>
  <c r="E229" i="1"/>
  <c r="D229" i="1"/>
  <c r="J228" i="1"/>
  <c r="I228" i="1"/>
  <c r="H228" i="1"/>
  <c r="G228" i="1"/>
  <c r="F228" i="1"/>
  <c r="E228" i="1"/>
  <c r="D228" i="1"/>
  <c r="J227" i="1"/>
  <c r="I227" i="1"/>
  <c r="H227" i="1"/>
  <c r="G227" i="1"/>
  <c r="F227" i="1"/>
  <c r="E227" i="1"/>
  <c r="D227" i="1"/>
  <c r="J226" i="1"/>
  <c r="I226" i="1"/>
  <c r="H226" i="1"/>
  <c r="G226" i="1"/>
  <c r="F226" i="1"/>
  <c r="E226" i="1"/>
  <c r="D226" i="1"/>
  <c r="J225" i="1"/>
  <c r="I225" i="1"/>
  <c r="H225" i="1"/>
  <c r="G225" i="1"/>
  <c r="F225" i="1"/>
  <c r="E225" i="1"/>
  <c r="D225" i="1"/>
  <c r="J224" i="1"/>
  <c r="I224" i="1"/>
  <c r="H224" i="1"/>
  <c r="G224" i="1"/>
  <c r="F224" i="1"/>
  <c r="E224" i="1"/>
  <c r="D224" i="1"/>
  <c r="J223" i="1"/>
  <c r="I223" i="1"/>
  <c r="H223" i="1"/>
  <c r="G223" i="1"/>
  <c r="F223" i="1"/>
  <c r="E223" i="1"/>
  <c r="D223" i="1"/>
  <c r="O147" i="1"/>
  <c r="F218" i="1"/>
  <c r="E218" i="1"/>
  <c r="D218" i="1"/>
  <c r="C218" i="1"/>
  <c r="B218" i="1"/>
  <c r="O146" i="1"/>
  <c r="F217" i="1"/>
  <c r="E217" i="1"/>
  <c r="D217" i="1"/>
  <c r="C217" i="1"/>
  <c r="B217" i="1"/>
  <c r="O145" i="1"/>
  <c r="F216" i="1"/>
  <c r="E216" i="1"/>
  <c r="D216" i="1"/>
  <c r="C216" i="1"/>
  <c r="B216" i="1"/>
  <c r="O144" i="1"/>
  <c r="F215" i="1"/>
  <c r="E215" i="1"/>
  <c r="D215" i="1"/>
  <c r="C215" i="1"/>
  <c r="B215" i="1"/>
  <c r="O143" i="1"/>
  <c r="F214" i="1"/>
  <c r="E214" i="1"/>
  <c r="D214" i="1"/>
  <c r="C214" i="1"/>
  <c r="B214" i="1"/>
  <c r="BY142" i="1"/>
  <c r="O142" i="1"/>
  <c r="F213" i="1"/>
  <c r="E213" i="1"/>
  <c r="D213" i="1"/>
  <c r="C213" i="1"/>
  <c r="B213" i="1"/>
  <c r="B209" i="1"/>
  <c r="B208" i="1"/>
  <c r="B207" i="1"/>
  <c r="B206" i="1"/>
  <c r="B205" i="1"/>
  <c r="B204" i="1"/>
  <c r="GS130" i="1"/>
  <c r="B203" i="1"/>
  <c r="GQ129" i="1"/>
  <c r="GP129" i="1"/>
  <c r="B202" i="1"/>
  <c r="GS128" i="1"/>
  <c r="B201" i="1"/>
  <c r="GS127" i="1"/>
  <c r="GT126" i="1" s="1"/>
  <c r="B200" i="1"/>
  <c r="GQ126" i="1"/>
  <c r="GP126" i="1"/>
  <c r="AL126" i="1"/>
  <c r="GS125" i="1"/>
  <c r="GS124" i="1"/>
  <c r="GQ123" i="1"/>
  <c r="GP123" i="1"/>
  <c r="ED121" i="1"/>
  <c r="HF120" i="1"/>
  <c r="HE120" i="1"/>
  <c r="HD120" i="1"/>
  <c r="HA120" i="1"/>
  <c r="GX120" i="1"/>
  <c r="GQ120" i="1"/>
  <c r="GN120" i="1"/>
  <c r="GH120" i="1"/>
  <c r="GG120" i="1"/>
  <c r="AG120" i="1"/>
  <c r="AE120" i="1"/>
  <c r="E117" i="1"/>
  <c r="HF116" i="1"/>
  <c r="HE116" i="1"/>
  <c r="HA116" i="1"/>
  <c r="GX116" i="1"/>
  <c r="GH116" i="1"/>
  <c r="GG116" i="1"/>
  <c r="AE116" i="1"/>
  <c r="JQ105" i="1"/>
  <c r="JD105" i="1"/>
  <c r="IS105" i="1"/>
  <c r="IH105" i="1"/>
  <c r="ID105" i="1"/>
  <c r="HL105" i="1"/>
  <c r="HM105" i="1" s="1"/>
  <c r="HN105" i="1" s="1"/>
  <c r="HK105" i="1"/>
  <c r="FQ105" i="1"/>
  <c r="HC105" i="1" s="1"/>
  <c r="AD105" i="1"/>
  <c r="HB105" i="1" s="1"/>
  <c r="Y105" i="1"/>
  <c r="JQ76" i="1"/>
  <c r="IT76" i="1"/>
  <c r="IH76" i="1"/>
  <c r="ID76" i="1"/>
  <c r="HL76" i="1"/>
  <c r="HK76" i="1"/>
  <c r="EO76" i="1"/>
  <c r="EN76" i="1"/>
  <c r="EE76" i="1" s="1"/>
  <c r="EG76" i="1" s="1"/>
  <c r="ED76" i="1"/>
  <c r="DU76" i="1"/>
  <c r="AD76" i="1"/>
  <c r="Y76" i="1"/>
  <c r="JQ96" i="1"/>
  <c r="IT96" i="1"/>
  <c r="IU96" i="1" s="1"/>
  <c r="IH96" i="1"/>
  <c r="ID96" i="1"/>
  <c r="HL96" i="1"/>
  <c r="HP96" i="1" s="1"/>
  <c r="HT96" i="1" s="1"/>
  <c r="HK96" i="1"/>
  <c r="AD96" i="1"/>
  <c r="JQ107" i="1"/>
  <c r="IT107" i="1"/>
  <c r="IH107" i="1"/>
  <c r="ID107" i="1"/>
  <c r="HL107" i="1"/>
  <c r="HM107" i="1" s="1"/>
  <c r="HN107" i="1" s="1"/>
  <c r="HK107" i="1"/>
  <c r="HG107" i="1"/>
  <c r="HC107" i="1"/>
  <c r="AD107" i="1"/>
  <c r="JQ70" i="1"/>
  <c r="JD70" i="1"/>
  <c r="IS70" i="1"/>
  <c r="IH70" i="1"/>
  <c r="ID70" i="1"/>
  <c r="HL70" i="1"/>
  <c r="HP70" i="1" s="1"/>
  <c r="HK70" i="1"/>
  <c r="GR70" i="1"/>
  <c r="GF70" i="1"/>
  <c r="GI70" i="1" s="1"/>
  <c r="GD70" i="1"/>
  <c r="FX70" i="1"/>
  <c r="EO70" i="1"/>
  <c r="EN70" i="1"/>
  <c r="EE70" i="1" s="1"/>
  <c r="EG70" i="1" s="1"/>
  <c r="ED70" i="1"/>
  <c r="AD70" i="1"/>
  <c r="Y70" i="1"/>
  <c r="U70" i="1"/>
  <c r="T70" i="1"/>
  <c r="S70" i="1"/>
  <c r="JH104" i="1"/>
  <c r="IL104" i="1"/>
  <c r="HM104" i="1"/>
  <c r="AD104" i="1"/>
  <c r="JQ94" i="1"/>
  <c r="IT94" i="1"/>
  <c r="IU94" i="1" s="1"/>
  <c r="IH94" i="1"/>
  <c r="ID94" i="1"/>
  <c r="HL94" i="1"/>
  <c r="HM94" i="1" s="1"/>
  <c r="HN94" i="1" s="1"/>
  <c r="HK94" i="1"/>
  <c r="AD94" i="1"/>
  <c r="JQ77" i="1"/>
  <c r="IT77" i="1"/>
  <c r="IU77" i="1" s="1"/>
  <c r="IH77" i="1"/>
  <c r="ID77" i="1"/>
  <c r="HL77" i="1"/>
  <c r="HP77" i="1" s="1"/>
  <c r="HT77" i="1" s="1"/>
  <c r="HV77" i="1" s="1"/>
  <c r="HK77" i="1"/>
  <c r="AD77" i="1"/>
  <c r="JQ93" i="1"/>
  <c r="IT93" i="1"/>
  <c r="IH93" i="1"/>
  <c r="ID93" i="1"/>
  <c r="HL93" i="1"/>
  <c r="HM93" i="1" s="1"/>
  <c r="HN93" i="1" s="1"/>
  <c r="HK93" i="1"/>
  <c r="GR93" i="1"/>
  <c r="GF93" i="1"/>
  <c r="GD93" i="1"/>
  <c r="FX93" i="1"/>
  <c r="FQ93" i="1"/>
  <c r="HG93" i="1" s="1"/>
  <c r="AD93" i="1"/>
  <c r="JQ73" i="1"/>
  <c r="JN73" i="1"/>
  <c r="JO73" i="1" s="1"/>
  <c r="JP73" i="1" s="1"/>
  <c r="JM73" i="1"/>
  <c r="JH73" i="1"/>
  <c r="JJ73" i="1" s="1"/>
  <c r="JL73" i="1" s="1"/>
  <c r="JG73" i="1"/>
  <c r="JF73" i="1"/>
  <c r="JB73" i="1"/>
  <c r="IZ73" i="1"/>
  <c r="JA73" i="1" s="1"/>
  <c r="IX73" i="1"/>
  <c r="IU73" i="1"/>
  <c r="IQ73" i="1"/>
  <c r="IL73" i="1"/>
  <c r="IO73" i="1" s="1"/>
  <c r="IP73" i="1" s="1"/>
  <c r="IJ73" i="1"/>
  <c r="IB73" i="1"/>
  <c r="HZ73" i="1"/>
  <c r="IA73" i="1" s="1"/>
  <c r="HV73" i="1"/>
  <c r="HX73" i="1" s="1"/>
  <c r="HU73" i="1"/>
  <c r="HS73" i="1"/>
  <c r="HQ73" i="1"/>
  <c r="HR73" i="1" s="1"/>
  <c r="HM73" i="1"/>
  <c r="HO73" i="1" s="1"/>
  <c r="GM73" i="1"/>
  <c r="GF73" i="1"/>
  <c r="GD73" i="1"/>
  <c r="FX73" i="1"/>
  <c r="EO73" i="1"/>
  <c r="EN73" i="1"/>
  <c r="ED73" i="1"/>
  <c r="AF73" i="1"/>
  <c r="AD73" i="1"/>
  <c r="Y73" i="1"/>
  <c r="JQ75" i="1"/>
  <c r="JN75" i="1"/>
  <c r="JO75" i="1" s="1"/>
  <c r="JP75" i="1" s="1"/>
  <c r="JM75" i="1"/>
  <c r="JH75" i="1"/>
  <c r="JJ75" i="1" s="1"/>
  <c r="JL75" i="1" s="1"/>
  <c r="JG75" i="1"/>
  <c r="JF75" i="1"/>
  <c r="JB75" i="1"/>
  <c r="IZ75" i="1"/>
  <c r="JA75" i="1" s="1"/>
  <c r="IX75" i="1"/>
  <c r="IU75" i="1"/>
  <c r="IQ75" i="1"/>
  <c r="IL75" i="1"/>
  <c r="IO75" i="1" s="1"/>
  <c r="IP75" i="1" s="1"/>
  <c r="IJ75" i="1"/>
  <c r="IB75" i="1"/>
  <c r="HZ75" i="1"/>
  <c r="IA75" i="1" s="1"/>
  <c r="HV75" i="1"/>
  <c r="HX75" i="1" s="1"/>
  <c r="HU75" i="1"/>
  <c r="HS75" i="1"/>
  <c r="HQ75" i="1"/>
  <c r="HR75" i="1" s="1"/>
  <c r="HM75" i="1"/>
  <c r="HO75" i="1" s="1"/>
  <c r="GM75" i="1"/>
  <c r="FR75" i="1" s="1"/>
  <c r="GI75" i="1"/>
  <c r="FX75" i="1"/>
  <c r="EO75" i="1"/>
  <c r="EN75" i="1"/>
  <c r="ED75" i="1"/>
  <c r="AH75" i="1"/>
  <c r="AF75" i="1"/>
  <c r="AD75" i="1" s="1"/>
  <c r="JQ74" i="1"/>
  <c r="JN74" i="1"/>
  <c r="JO74" i="1" s="1"/>
  <c r="JP74" i="1" s="1"/>
  <c r="JM74" i="1"/>
  <c r="JH74" i="1"/>
  <c r="JJ74" i="1" s="1"/>
  <c r="JL74" i="1" s="1"/>
  <c r="JG74" i="1"/>
  <c r="JF74" i="1"/>
  <c r="JB74" i="1"/>
  <c r="IZ74" i="1"/>
  <c r="JA74" i="1" s="1"/>
  <c r="IX74" i="1"/>
  <c r="IU74" i="1"/>
  <c r="IQ74" i="1"/>
  <c r="IL74" i="1"/>
  <c r="IO74" i="1" s="1"/>
  <c r="IP74" i="1" s="1"/>
  <c r="IJ74" i="1"/>
  <c r="IB74" i="1"/>
  <c r="HZ74" i="1"/>
  <c r="IA74" i="1" s="1"/>
  <c r="HV74" i="1"/>
  <c r="HX74" i="1" s="1"/>
  <c r="HU74" i="1"/>
  <c r="HS74" i="1"/>
  <c r="HQ74" i="1"/>
  <c r="HR74" i="1" s="1"/>
  <c r="HM74" i="1"/>
  <c r="HO74" i="1" s="1"/>
  <c r="GM74" i="1"/>
  <c r="GI74" i="1"/>
  <c r="FX74" i="1"/>
  <c r="EO74" i="1"/>
  <c r="EN74" i="1"/>
  <c r="EE74" i="1" s="1"/>
  <c r="EG74" i="1" s="1"/>
  <c r="ED74" i="1"/>
  <c r="AH74" i="1"/>
  <c r="AF74" i="1"/>
  <c r="AD74" i="1" s="1"/>
  <c r="JH101" i="1"/>
  <c r="IL101" i="1"/>
  <c r="HM101" i="1"/>
  <c r="AD101" i="1"/>
  <c r="JH102" i="1"/>
  <c r="IL102" i="1"/>
  <c r="HM102" i="1"/>
  <c r="AD102" i="1"/>
  <c r="JQ91" i="1"/>
  <c r="IT91" i="1"/>
  <c r="IH91" i="1"/>
  <c r="ID91" i="1"/>
  <c r="HL91" i="1"/>
  <c r="HP91" i="1" s="1"/>
  <c r="HK91" i="1"/>
  <c r="AD91" i="1"/>
  <c r="JQ87" i="1"/>
  <c r="IT87" i="1"/>
  <c r="IH87" i="1"/>
  <c r="ID87" i="1"/>
  <c r="HK87" i="1"/>
  <c r="HG87" i="1"/>
  <c r="HC87" i="1"/>
  <c r="GZ87" i="1"/>
  <c r="GR87" i="1"/>
  <c r="GU87" i="1" s="1"/>
  <c r="JQ72" i="1"/>
  <c r="JN72" i="1"/>
  <c r="JO72" i="1" s="1"/>
  <c r="JP72" i="1" s="1"/>
  <c r="JM72" i="1"/>
  <c r="JH72" i="1"/>
  <c r="JG72" i="1"/>
  <c r="JF72" i="1"/>
  <c r="JB72" i="1"/>
  <c r="IZ72" i="1"/>
  <c r="JA72" i="1" s="1"/>
  <c r="IX72" i="1"/>
  <c r="IU72" i="1"/>
  <c r="IQ72" i="1"/>
  <c r="IL72" i="1"/>
  <c r="IJ72" i="1"/>
  <c r="IB72" i="1"/>
  <c r="HZ72" i="1"/>
  <c r="IA72" i="1" s="1"/>
  <c r="HV72" i="1"/>
  <c r="HX72" i="1" s="1"/>
  <c r="HU72" i="1"/>
  <c r="HS72" i="1"/>
  <c r="HQ72" i="1"/>
  <c r="HR72" i="1" s="1"/>
  <c r="HM72" i="1"/>
  <c r="HO72" i="1" s="1"/>
  <c r="GM72" i="1"/>
  <c r="GR72" i="1" s="1"/>
  <c r="GF72" i="1"/>
  <c r="GI72" i="1" s="1"/>
  <c r="GD72" i="1"/>
  <c r="FX72" i="1"/>
  <c r="EO72" i="1"/>
  <c r="EN72" i="1"/>
  <c r="EE72" i="1" s="1"/>
  <c r="EG72" i="1" s="1"/>
  <c r="ED72" i="1"/>
  <c r="AF72" i="1"/>
  <c r="AD72" i="1" s="1"/>
  <c r="Y72" i="1"/>
  <c r="JQ111" i="1"/>
  <c r="IT111" i="1"/>
  <c r="IV111" i="1" s="1"/>
  <c r="IH111" i="1"/>
  <c r="ID111" i="1"/>
  <c r="HL111" i="1"/>
  <c r="HK111" i="1"/>
  <c r="HB111" i="1"/>
  <c r="GZ111" i="1"/>
  <c r="JQ112" i="1"/>
  <c r="IT112" i="1"/>
  <c r="IH112" i="1"/>
  <c r="ID112" i="1"/>
  <c r="HL112" i="1"/>
  <c r="HP112" i="1" s="1"/>
  <c r="HK112" i="1"/>
  <c r="HB112" i="1"/>
  <c r="GZ112" i="1"/>
  <c r="JQ113" i="1"/>
  <c r="IT113" i="1"/>
  <c r="IH113" i="1"/>
  <c r="ID113" i="1"/>
  <c r="HL113" i="1"/>
  <c r="HM113" i="1" s="1"/>
  <c r="HN113" i="1" s="1"/>
  <c r="HK113" i="1"/>
  <c r="HB113" i="1"/>
  <c r="GZ113" i="1"/>
  <c r="JQ110" i="1"/>
  <c r="IT110" i="1"/>
  <c r="IV110" i="1" s="1"/>
  <c r="IY110" i="1" s="1"/>
  <c r="IH110" i="1"/>
  <c r="ID110" i="1"/>
  <c r="HL110" i="1"/>
  <c r="HP110" i="1" s="1"/>
  <c r="HT110" i="1" s="1"/>
  <c r="HK110" i="1"/>
  <c r="HB110" i="1"/>
  <c r="GZ110" i="1"/>
  <c r="JQ109" i="1"/>
  <c r="IT109" i="1"/>
  <c r="IU109" i="1" s="1"/>
  <c r="IH109" i="1"/>
  <c r="ID109" i="1"/>
  <c r="HL109" i="1"/>
  <c r="HM109" i="1" s="1"/>
  <c r="HN109" i="1" s="1"/>
  <c r="HK109" i="1"/>
  <c r="HB109" i="1"/>
  <c r="GZ109" i="1"/>
  <c r="JQ106" i="1"/>
  <c r="IT106" i="1"/>
  <c r="IH106" i="1"/>
  <c r="ID106" i="1"/>
  <c r="HL106" i="1"/>
  <c r="HP106" i="1" s="1"/>
  <c r="HT106" i="1" s="1"/>
  <c r="HK106" i="1"/>
  <c r="HG106" i="1"/>
  <c r="HC106" i="1"/>
  <c r="HB106" i="1"/>
  <c r="GZ106" i="1"/>
  <c r="JQ108" i="1"/>
  <c r="IT108" i="1"/>
  <c r="IH108" i="1"/>
  <c r="ID108" i="1"/>
  <c r="HL108" i="1"/>
  <c r="HM108" i="1" s="1"/>
  <c r="HN108" i="1" s="1"/>
  <c r="HK108" i="1"/>
  <c r="HG108" i="1"/>
  <c r="HC108" i="1"/>
  <c r="HB108" i="1"/>
  <c r="GZ108" i="1"/>
  <c r="JQ95" i="1"/>
  <c r="IT95" i="1"/>
  <c r="IH95" i="1"/>
  <c r="ID95" i="1"/>
  <c r="HL95" i="1"/>
  <c r="HK95" i="1"/>
  <c r="HG95" i="1"/>
  <c r="HC95" i="1"/>
  <c r="HB95" i="1"/>
  <c r="GZ95" i="1"/>
  <c r="JQ99" i="1"/>
  <c r="IT99" i="1"/>
  <c r="IH99" i="1"/>
  <c r="ID99" i="1"/>
  <c r="HL99" i="1"/>
  <c r="HP99" i="1" s="1"/>
  <c r="HT99" i="1" s="1"/>
  <c r="HK99" i="1"/>
  <c r="HG99" i="1"/>
  <c r="HC99" i="1"/>
  <c r="HB99" i="1"/>
  <c r="GZ99" i="1"/>
  <c r="JQ97" i="1"/>
  <c r="IT97" i="1"/>
  <c r="IV97" i="1" s="1"/>
  <c r="IH97" i="1"/>
  <c r="ID97" i="1"/>
  <c r="HL97" i="1"/>
  <c r="HM97" i="1" s="1"/>
  <c r="HN97" i="1" s="1"/>
  <c r="HK97" i="1"/>
  <c r="HG97" i="1"/>
  <c r="HC97" i="1"/>
  <c r="HB97" i="1"/>
  <c r="GZ97" i="1"/>
  <c r="GO97" i="1"/>
  <c r="JQ98" i="1"/>
  <c r="IT98" i="1"/>
  <c r="IV98" i="1" s="1"/>
  <c r="IH98" i="1"/>
  <c r="ID98" i="1"/>
  <c r="HL98" i="1"/>
  <c r="HP98" i="1" s="1"/>
  <c r="HK98" i="1"/>
  <c r="HG98" i="1"/>
  <c r="HC98" i="1"/>
  <c r="HB98" i="1"/>
  <c r="GZ98" i="1"/>
  <c r="GO98" i="1"/>
  <c r="JQ89" i="1"/>
  <c r="IT89" i="1"/>
  <c r="IH89" i="1"/>
  <c r="ID89" i="1"/>
  <c r="HK89" i="1"/>
  <c r="HG89" i="1"/>
  <c r="HC89" i="1"/>
  <c r="GZ89" i="1"/>
  <c r="GR89" i="1"/>
  <c r="GU89" i="1" s="1"/>
  <c r="JQ90" i="1"/>
  <c r="IT90" i="1"/>
  <c r="IV90" i="1" s="1"/>
  <c r="IH90" i="1"/>
  <c r="ID90" i="1"/>
  <c r="HK90" i="1"/>
  <c r="HG90" i="1"/>
  <c r="HC90" i="1"/>
  <c r="GZ90" i="1"/>
  <c r="GR90" i="1"/>
  <c r="GU90" i="1" s="1"/>
  <c r="JQ88" i="1"/>
  <c r="IT88" i="1"/>
  <c r="IV88" i="1" s="1"/>
  <c r="IY88" i="1" s="1"/>
  <c r="JE88" i="1" s="1"/>
  <c r="JG88" i="1" s="1"/>
  <c r="JH88" i="1" s="1"/>
  <c r="JI88" i="1" s="1"/>
  <c r="IH88" i="1"/>
  <c r="ID88" i="1"/>
  <c r="HP88" i="1"/>
  <c r="HK88" i="1"/>
  <c r="HG88" i="1"/>
  <c r="HC88" i="1"/>
  <c r="GZ88" i="1"/>
  <c r="GR88" i="1"/>
  <c r="GU88" i="1" s="1"/>
  <c r="JQ85" i="1"/>
  <c r="IT85" i="1"/>
  <c r="IV85" i="1" s="1"/>
  <c r="IH85" i="1"/>
  <c r="ID85" i="1"/>
  <c r="HL85" i="1"/>
  <c r="HP85" i="1" s="1"/>
  <c r="HK85" i="1"/>
  <c r="HG85" i="1"/>
  <c r="HC85" i="1"/>
  <c r="GZ85" i="1"/>
  <c r="GR85" i="1"/>
  <c r="GU85" i="1" s="1"/>
  <c r="JQ86" i="1"/>
  <c r="IT86" i="1"/>
  <c r="IH86" i="1"/>
  <c r="ID86" i="1"/>
  <c r="HK86" i="1"/>
  <c r="HG86" i="1"/>
  <c r="HC86" i="1"/>
  <c r="GZ86" i="1"/>
  <c r="GR86" i="1"/>
  <c r="GU86" i="1" s="1"/>
  <c r="GD86" i="1"/>
  <c r="JQ84" i="1"/>
  <c r="IT84" i="1"/>
  <c r="IH84" i="1"/>
  <c r="ID84" i="1"/>
  <c r="HL84" i="1"/>
  <c r="HP84" i="1" s="1"/>
  <c r="HK84" i="1"/>
  <c r="GR84" i="1"/>
  <c r="GI84" i="1"/>
  <c r="FY84" i="1"/>
  <c r="FX84" i="1"/>
  <c r="AD84" i="1"/>
  <c r="JQ83" i="1"/>
  <c r="IT83" i="1"/>
  <c r="IV83" i="1" s="1"/>
  <c r="IH83" i="1"/>
  <c r="ID83" i="1"/>
  <c r="HL83" i="1"/>
  <c r="HP83" i="1" s="1"/>
  <c r="HK83" i="1"/>
  <c r="GR83" i="1"/>
  <c r="GI83" i="1"/>
  <c r="GD83" i="1"/>
  <c r="FY83" i="1"/>
  <c r="FX83" i="1"/>
  <c r="AD83" i="1"/>
  <c r="JQ68" i="1"/>
  <c r="JN68" i="1"/>
  <c r="JO68" i="1" s="1"/>
  <c r="JP68" i="1" s="1"/>
  <c r="JM68" i="1"/>
  <c r="JH68" i="1"/>
  <c r="JJ68" i="1" s="1"/>
  <c r="JL68" i="1" s="1"/>
  <c r="JG68" i="1"/>
  <c r="JF68" i="1"/>
  <c r="JB68" i="1"/>
  <c r="IZ68" i="1"/>
  <c r="JA68" i="1" s="1"/>
  <c r="IX68" i="1"/>
  <c r="IU68" i="1"/>
  <c r="IQ68" i="1"/>
  <c r="IL68" i="1"/>
  <c r="IO68" i="1" s="1"/>
  <c r="IP68" i="1" s="1"/>
  <c r="IJ68" i="1"/>
  <c r="IB68" i="1"/>
  <c r="HZ68" i="1"/>
  <c r="IA68" i="1" s="1"/>
  <c r="HV68" i="1"/>
  <c r="HX68" i="1" s="1"/>
  <c r="HU68" i="1"/>
  <c r="HS68" i="1"/>
  <c r="HQ68" i="1"/>
  <c r="HR68" i="1" s="1"/>
  <c r="HM68" i="1"/>
  <c r="HO68" i="1" s="1"/>
  <c r="GR68" i="1"/>
  <c r="GI68" i="1"/>
  <c r="FX68" i="1"/>
  <c r="FR68" i="1"/>
  <c r="EO68" i="1"/>
  <c r="EN68" i="1"/>
  <c r="ED68" i="1"/>
  <c r="Y68" i="1"/>
  <c r="AF68" i="1"/>
  <c r="AD68" i="1" s="1"/>
  <c r="JQ69" i="1"/>
  <c r="IT69" i="1"/>
  <c r="IV69" i="1" s="1"/>
  <c r="IW69" i="1" s="1"/>
  <c r="IH69" i="1"/>
  <c r="ID69" i="1"/>
  <c r="HL69" i="1"/>
  <c r="HP69" i="1" s="1"/>
  <c r="HK69" i="1"/>
  <c r="GL69" i="1"/>
  <c r="FQ69" i="1" s="1"/>
  <c r="GF69" i="1"/>
  <c r="FR69" i="1" s="1"/>
  <c r="GD69" i="1"/>
  <c r="FX69" i="1"/>
  <c r="EO69" i="1"/>
  <c r="EN69" i="1"/>
  <c r="EU69" i="1" s="1"/>
  <c r="EV69" i="1" s="1"/>
  <c r="EF69" i="1" s="1"/>
  <c r="ED69" i="1"/>
  <c r="AF69" i="1"/>
  <c r="Y69" i="1"/>
  <c r="JQ63" i="1"/>
  <c r="IT63" i="1"/>
  <c r="IH63" i="1"/>
  <c r="ID63" i="1"/>
  <c r="HL63" i="1"/>
  <c r="HP63" i="1" s="1"/>
  <c r="GR63" i="1"/>
  <c r="GI63" i="1"/>
  <c r="FX63" i="1"/>
  <c r="FR63" i="1"/>
  <c r="AD63" i="1"/>
  <c r="JH103" i="1"/>
  <c r="IL103" i="1"/>
  <c r="GR103" i="1"/>
  <c r="GI103" i="1"/>
  <c r="GD103" i="1"/>
  <c r="FX103" i="1"/>
  <c r="FR103" i="1"/>
  <c r="AD103" i="1"/>
  <c r="JQ65" i="1"/>
  <c r="JD65" i="1"/>
  <c r="IS65" i="1"/>
  <c r="IH65" i="1"/>
  <c r="HI65" i="1" s="1"/>
  <c r="IK65" i="1"/>
  <c r="IL65" i="1" s="1"/>
  <c r="HV65" i="1"/>
  <c r="HU65" i="1"/>
  <c r="HS65" i="1"/>
  <c r="HQ65" i="1"/>
  <c r="HR65" i="1" s="1"/>
  <c r="HM65" i="1"/>
  <c r="HO65" i="1" s="1"/>
  <c r="GR65" i="1"/>
  <c r="GI65" i="1"/>
  <c r="GD65" i="1"/>
  <c r="FX65" i="1"/>
  <c r="FR65" i="1"/>
  <c r="FY65" i="1" s="1"/>
  <c r="AD65" i="1"/>
  <c r="Y65" i="1"/>
  <c r="JH62" i="1"/>
  <c r="IL62" i="1"/>
  <c r="GR62" i="1"/>
  <c r="GF62" i="1"/>
  <c r="FR62" i="1" s="1"/>
  <c r="GD62" i="1"/>
  <c r="FX62" i="1"/>
  <c r="AD62" i="1"/>
  <c r="JQ64" i="1"/>
  <c r="JD64" i="1"/>
  <c r="IS64" i="1"/>
  <c r="HV64" i="1"/>
  <c r="HX64" i="1" s="1"/>
  <c r="HU64" i="1"/>
  <c r="HS64" i="1"/>
  <c r="HQ64" i="1"/>
  <c r="HR64" i="1" s="1"/>
  <c r="HM64" i="1"/>
  <c r="HO64" i="1" s="1"/>
  <c r="GR64" i="1"/>
  <c r="GI64" i="1"/>
  <c r="FY64" i="1"/>
  <c r="FX64" i="1"/>
  <c r="HG64" i="1"/>
  <c r="AN64" i="1"/>
  <c r="AM64" i="1"/>
  <c r="AL64" i="1"/>
  <c r="AK64" i="1"/>
  <c r="AJ64" i="1"/>
  <c r="AD64" i="1"/>
  <c r="Y64" i="1"/>
  <c r="JQ92" i="1"/>
  <c r="JD92" i="1"/>
  <c r="IS92" i="1"/>
  <c r="IH92" i="1"/>
  <c r="ID92" i="1"/>
  <c r="HP92" i="1"/>
  <c r="HT92" i="1" s="1"/>
  <c r="HV92" i="1" s="1"/>
  <c r="HY92" i="1" s="1"/>
  <c r="HM92" i="1"/>
  <c r="HO92" i="1" s="1"/>
  <c r="GR92" i="1"/>
  <c r="GI92" i="1"/>
  <c r="GD92" i="1"/>
  <c r="FY92" i="1"/>
  <c r="FX92" i="1"/>
  <c r="AD92" i="1"/>
  <c r="Y92" i="1"/>
  <c r="JH61" i="1"/>
  <c r="GR61" i="1"/>
  <c r="GI61" i="1"/>
  <c r="GD61" i="1"/>
  <c r="FY61" i="1"/>
  <c r="FX61" i="1"/>
  <c r="AD61" i="1"/>
  <c r="Y61" i="1"/>
  <c r="U61" i="1"/>
  <c r="T61" i="1"/>
  <c r="S61" i="1"/>
  <c r="JH100" i="1"/>
  <c r="GL100" i="1"/>
  <c r="FQ100" i="1"/>
  <c r="AD100" i="1"/>
  <c r="JQ80" i="1"/>
  <c r="JN80" i="1"/>
  <c r="JO80" i="1" s="1"/>
  <c r="JP80" i="1" s="1"/>
  <c r="JM80" i="1"/>
  <c r="JH80" i="1"/>
  <c r="JJ80" i="1" s="1"/>
  <c r="JL80" i="1" s="1"/>
  <c r="JG80" i="1"/>
  <c r="JF80" i="1"/>
  <c r="JB80" i="1"/>
  <c r="IZ80" i="1"/>
  <c r="JA80" i="1" s="1"/>
  <c r="IX80" i="1"/>
  <c r="IU80" i="1"/>
  <c r="IQ80" i="1"/>
  <c r="IO80" i="1"/>
  <c r="IP80" i="1" s="1"/>
  <c r="IM80" i="1"/>
  <c r="IJ80" i="1"/>
  <c r="IB80" i="1"/>
  <c r="HZ80" i="1"/>
  <c r="IA80" i="1" s="1"/>
  <c r="HV80" i="1"/>
  <c r="HX80" i="1" s="1"/>
  <c r="HU80" i="1"/>
  <c r="HS80" i="1"/>
  <c r="HQ80" i="1"/>
  <c r="HR80" i="1" s="1"/>
  <c r="HM80" i="1"/>
  <c r="HO80" i="1" s="1"/>
  <c r="GM80" i="1"/>
  <c r="GR80" i="1" s="1"/>
  <c r="GF80" i="1"/>
  <c r="GB80" i="1"/>
  <c r="FX80" i="1"/>
  <c r="EO80" i="1"/>
  <c r="EN80" i="1"/>
  <c r="EE80" i="1" s="1"/>
  <c r="EG80" i="1" s="1"/>
  <c r="ED80" i="1"/>
  <c r="DU80" i="1"/>
  <c r="AN80" i="1"/>
  <c r="AM80" i="1"/>
  <c r="AL80" i="1"/>
  <c r="AK80" i="1"/>
  <c r="AH80" i="1"/>
  <c r="AD80" i="1"/>
  <c r="T80" i="1"/>
  <c r="S80" i="1"/>
  <c r="JQ59" i="1"/>
  <c r="IT59" i="1"/>
  <c r="IV59" i="1" s="1"/>
  <c r="IY59" i="1" s="1"/>
  <c r="IQ59" i="1"/>
  <c r="IO59" i="1"/>
  <c r="IP59" i="1" s="1"/>
  <c r="IK59" i="1"/>
  <c r="IM59" i="1" s="1"/>
  <c r="IJ59" i="1"/>
  <c r="IB59" i="1"/>
  <c r="HZ59" i="1"/>
  <c r="IA59" i="1" s="1"/>
  <c r="HV59" i="1"/>
  <c r="HX59" i="1" s="1"/>
  <c r="HU59" i="1"/>
  <c r="HS59" i="1"/>
  <c r="HQ59" i="1"/>
  <c r="HR59" i="1" s="1"/>
  <c r="HM59" i="1"/>
  <c r="HO59" i="1" s="1"/>
  <c r="GM59" i="1"/>
  <c r="GB59" i="1"/>
  <c r="GD59" i="1" s="1"/>
  <c r="FW59" i="1"/>
  <c r="FX59" i="1" s="1"/>
  <c r="EO59" i="1"/>
  <c r="EN59" i="1"/>
  <c r="ED59" i="1"/>
  <c r="DU59" i="1"/>
  <c r="AN59" i="1"/>
  <c r="AM59" i="1"/>
  <c r="AL59" i="1"/>
  <c r="AK59" i="1"/>
  <c r="AH59" i="1"/>
  <c r="AD59" i="1"/>
  <c r="T59" i="1"/>
  <c r="S59" i="1"/>
  <c r="JQ66" i="1"/>
  <c r="IS66" i="1"/>
  <c r="IH66" i="1"/>
  <c r="HU66" i="1"/>
  <c r="HS66" i="1"/>
  <c r="HQ66" i="1"/>
  <c r="HR66" i="1" s="1"/>
  <c r="HM66" i="1"/>
  <c r="HO66" i="1" s="1"/>
  <c r="GR66" i="1"/>
  <c r="GI66" i="1"/>
  <c r="GD66" i="1"/>
  <c r="FX66" i="1"/>
  <c r="FR66" i="1"/>
  <c r="AD66" i="1"/>
  <c r="Y66" i="1"/>
  <c r="JQ78" i="1"/>
  <c r="JD78" i="1"/>
  <c r="IS78" i="1"/>
  <c r="IH78" i="1"/>
  <c r="HV78" i="1"/>
  <c r="HS78" i="1"/>
  <c r="HQ78" i="1"/>
  <c r="HR78" i="1" s="1"/>
  <c r="HM78" i="1"/>
  <c r="HO78" i="1" s="1"/>
  <c r="GR78" i="1"/>
  <c r="GI78" i="1"/>
  <c r="GD78" i="1"/>
  <c r="FX78" i="1"/>
  <c r="FR78" i="1"/>
  <c r="FY78" i="1" s="1"/>
  <c r="AD78" i="1"/>
  <c r="Y78" i="1"/>
  <c r="JQ58" i="1"/>
  <c r="II58" i="1"/>
  <c r="IB58" i="1"/>
  <c r="HZ58" i="1"/>
  <c r="IA58" i="1" s="1"/>
  <c r="HX58" i="1"/>
  <c r="HU58" i="1"/>
  <c r="HS58" i="1"/>
  <c r="HQ58" i="1"/>
  <c r="HR58" i="1" s="1"/>
  <c r="HM58" i="1"/>
  <c r="HO58" i="1" s="1"/>
  <c r="GM58" i="1"/>
  <c r="GR58" i="1" s="1"/>
  <c r="GF58" i="1"/>
  <c r="GI58" i="1" s="1"/>
  <c r="GB58" i="1"/>
  <c r="FW58" i="1"/>
  <c r="FX58" i="1" s="1"/>
  <c r="EO58" i="1"/>
  <c r="EN58" i="1"/>
  <c r="EE58" i="1" s="1"/>
  <c r="EG58" i="1" s="1"/>
  <c r="ED58" i="1"/>
  <c r="DU58" i="1"/>
  <c r="DD58" i="1"/>
  <c r="AQ58" i="1"/>
  <c r="AN58" i="1"/>
  <c r="AM58" i="1"/>
  <c r="AD58" i="1"/>
  <c r="Y58" i="1"/>
  <c r="U58" i="1"/>
  <c r="T58" i="1"/>
  <c r="S58" i="1"/>
  <c r="JQ67" i="1"/>
  <c r="JD67" i="1"/>
  <c r="IS67" i="1"/>
  <c r="HV67" i="1"/>
  <c r="HU67" i="1"/>
  <c r="HS67" i="1"/>
  <c r="HQ67" i="1"/>
  <c r="HR67" i="1" s="1"/>
  <c r="HM67" i="1"/>
  <c r="HO67" i="1" s="1"/>
  <c r="GR67" i="1"/>
  <c r="GF67" i="1"/>
  <c r="GD67" i="1"/>
  <c r="FX67" i="1"/>
  <c r="HG67" i="1"/>
  <c r="EO67" i="1"/>
  <c r="EN67" i="1"/>
  <c r="EE67" i="1" s="1"/>
  <c r="EG67" i="1" s="1"/>
  <c r="ED67" i="1"/>
  <c r="DU67" i="1"/>
  <c r="AD67" i="1"/>
  <c r="Y67" i="1"/>
  <c r="JQ60" i="1"/>
  <c r="JD60" i="1"/>
  <c r="IS60" i="1"/>
  <c r="IN60" i="1"/>
  <c r="IK60" i="1"/>
  <c r="IM60" i="1" s="1"/>
  <c r="IJ60" i="1"/>
  <c r="IB60" i="1"/>
  <c r="HZ60" i="1"/>
  <c r="IA60" i="1" s="1"/>
  <c r="HV60" i="1"/>
  <c r="HX60" i="1" s="1"/>
  <c r="HU60" i="1"/>
  <c r="HS60" i="1"/>
  <c r="HQ60" i="1"/>
  <c r="HR60" i="1" s="1"/>
  <c r="HM60" i="1"/>
  <c r="HO60" i="1" s="1"/>
  <c r="GR60" i="1"/>
  <c r="GF60" i="1"/>
  <c r="FR60" i="1" s="1"/>
  <c r="FY60" i="1" s="1"/>
  <c r="GD60" i="1"/>
  <c r="FX60" i="1"/>
  <c r="FQ60" i="1"/>
  <c r="EO60" i="1"/>
  <c r="EN60" i="1"/>
  <c r="ED60" i="1"/>
  <c r="DU60" i="1"/>
  <c r="DD60" i="1"/>
  <c r="AQ60" i="1"/>
  <c r="AD60" i="1"/>
  <c r="Y60" i="1"/>
  <c r="U60" i="1"/>
  <c r="T60" i="1"/>
  <c r="P60" i="1"/>
  <c r="GR115" i="1"/>
  <c r="GI115" i="1"/>
  <c r="GD115" i="1"/>
  <c r="FX115" i="1"/>
  <c r="FR115" i="1"/>
  <c r="FY115" i="1" s="1"/>
  <c r="AD115" i="1"/>
  <c r="JQ56" i="1"/>
  <c r="JJ56" i="1"/>
  <c r="JG56" i="1"/>
  <c r="JI56" i="1" s="1"/>
  <c r="JF56" i="1"/>
  <c r="JB56" i="1"/>
  <c r="IZ56" i="1"/>
  <c r="JA56" i="1" s="1"/>
  <c r="IV56" i="1"/>
  <c r="IX56" i="1" s="1"/>
  <c r="IU56" i="1"/>
  <c r="IQ56" i="1"/>
  <c r="IO56" i="1"/>
  <c r="IP56" i="1" s="1"/>
  <c r="IK56" i="1"/>
  <c r="IM56" i="1" s="1"/>
  <c r="IJ56" i="1"/>
  <c r="IB56" i="1"/>
  <c r="HZ56" i="1"/>
  <c r="IA56" i="1" s="1"/>
  <c r="HV56" i="1"/>
  <c r="HX56" i="1" s="1"/>
  <c r="HU56" i="1"/>
  <c r="HS56" i="1"/>
  <c r="HQ56" i="1"/>
  <c r="HR56" i="1" s="1"/>
  <c r="HM56" i="1"/>
  <c r="HO56" i="1" s="1"/>
  <c r="GR56" i="1"/>
  <c r="GF56" i="1"/>
  <c r="FR56" i="1" s="1"/>
  <c r="GD56" i="1"/>
  <c r="FX56" i="1"/>
  <c r="FQ56" i="1"/>
  <c r="HC56" i="1" s="1"/>
  <c r="EO56" i="1"/>
  <c r="EN56" i="1"/>
  <c r="EU56" i="1" s="1"/>
  <c r="EV56" i="1" s="1"/>
  <c r="EF56" i="1" s="1"/>
  <c r="ED56" i="1"/>
  <c r="DU56" i="1"/>
  <c r="DD56" i="1"/>
  <c r="AQ56" i="1"/>
  <c r="AD56" i="1"/>
  <c r="AN56" i="1" s="1"/>
  <c r="Y56" i="1"/>
  <c r="U56" i="1"/>
  <c r="T56" i="1"/>
  <c r="P56" i="1"/>
  <c r="S56" i="1" s="1"/>
  <c r="GR82" i="1"/>
  <c r="GF82" i="1"/>
  <c r="GD82" i="1"/>
  <c r="FX82" i="1"/>
  <c r="AD82" i="1"/>
  <c r="JQ52" i="1"/>
  <c r="JD52" i="1"/>
  <c r="IK52" i="1"/>
  <c r="IM52" i="1" s="1"/>
  <c r="IJ52" i="1"/>
  <c r="IB52" i="1"/>
  <c r="HZ52" i="1"/>
  <c r="IA52" i="1" s="1"/>
  <c r="HV52" i="1"/>
  <c r="HX52" i="1" s="1"/>
  <c r="HU52" i="1"/>
  <c r="HS52" i="1"/>
  <c r="HQ52" i="1"/>
  <c r="HR52" i="1" s="1"/>
  <c r="HM52" i="1"/>
  <c r="HO52" i="1" s="1"/>
  <c r="GM52" i="1"/>
  <c r="GR52" i="1" s="1"/>
  <c r="GF52" i="1"/>
  <c r="GI52" i="1" s="1"/>
  <c r="GD52" i="1"/>
  <c r="FX52" i="1"/>
  <c r="FQ52" i="1"/>
  <c r="HC52" i="1" s="1"/>
  <c r="EO52" i="1"/>
  <c r="EN52" i="1"/>
  <c r="EE52" i="1" s="1"/>
  <c r="EG52" i="1" s="1"/>
  <c r="ED52" i="1"/>
  <c r="DU52" i="1"/>
  <c r="AD52" i="1"/>
  <c r="Y52" i="1"/>
  <c r="U52" i="1"/>
  <c r="T52" i="1"/>
  <c r="S52" i="1"/>
  <c r="JQ48" i="1"/>
  <c r="JO48" i="1"/>
  <c r="JM48" i="1"/>
  <c r="JL48" i="1"/>
  <c r="JI48" i="1"/>
  <c r="JF48" i="1"/>
  <c r="JB48" i="1"/>
  <c r="IZ48" i="1"/>
  <c r="IX48" i="1"/>
  <c r="IU48" i="1"/>
  <c r="IQ48" i="1"/>
  <c r="IO48" i="1"/>
  <c r="IM48" i="1"/>
  <c r="IJ48" i="1"/>
  <c r="IB48" i="1"/>
  <c r="HZ48" i="1"/>
  <c r="HX48" i="1"/>
  <c r="HU48" i="1"/>
  <c r="HS48" i="1"/>
  <c r="HQ48" i="1"/>
  <c r="HO48" i="1"/>
  <c r="GR48" i="1"/>
  <c r="GF48" i="1"/>
  <c r="GA48" i="1"/>
  <c r="GA120" i="1" s="1"/>
  <c r="FV48" i="1"/>
  <c r="FV120" i="1" s="1"/>
  <c r="EO48" i="1"/>
  <c r="ED48" i="1"/>
  <c r="DU48" i="1"/>
  <c r="AD48" i="1"/>
  <c r="GZ48" i="1" s="1"/>
  <c r="Y48" i="1"/>
  <c r="S48" i="1"/>
  <c r="R48" i="1"/>
  <c r="Q48" i="1"/>
  <c r="JQ81" i="1"/>
  <c r="JO81" i="1"/>
  <c r="JP81" i="1" s="1"/>
  <c r="JM81" i="1"/>
  <c r="JJ81" i="1"/>
  <c r="JL81" i="1" s="1"/>
  <c r="JG81" i="1"/>
  <c r="JI81" i="1" s="1"/>
  <c r="JF81" i="1"/>
  <c r="JB81" i="1"/>
  <c r="IZ81" i="1"/>
  <c r="JA81" i="1" s="1"/>
  <c r="IV81" i="1"/>
  <c r="IX81" i="1" s="1"/>
  <c r="IU81" i="1"/>
  <c r="IQ81" i="1"/>
  <c r="IO81" i="1"/>
  <c r="IP81" i="1" s="1"/>
  <c r="IK81" i="1"/>
  <c r="IM81" i="1" s="1"/>
  <c r="IJ81" i="1"/>
  <c r="IB81" i="1"/>
  <c r="HZ81" i="1"/>
  <c r="IA81" i="1" s="1"/>
  <c r="HV81" i="1"/>
  <c r="HX81" i="1" s="1"/>
  <c r="HU81" i="1"/>
  <c r="HS81" i="1"/>
  <c r="HQ81" i="1"/>
  <c r="HR81" i="1" s="1"/>
  <c r="HM81" i="1"/>
  <c r="HO81" i="1" s="1"/>
  <c r="GM81" i="1"/>
  <c r="GR81" i="1" s="1"/>
  <c r="GF81" i="1"/>
  <c r="GI81" i="1" s="1"/>
  <c r="GD81" i="1"/>
  <c r="FX81" i="1"/>
  <c r="FQ81" i="1"/>
  <c r="HG81" i="1" s="1"/>
  <c r="EO81" i="1"/>
  <c r="EU81" i="1"/>
  <c r="EF81" i="1" s="1"/>
  <c r="ED81" i="1"/>
  <c r="DU81" i="1"/>
  <c r="DD81" i="1"/>
  <c r="AQ81" i="1"/>
  <c r="AD81" i="1"/>
  <c r="Y81" i="1"/>
  <c r="U81" i="1"/>
  <c r="T81" i="1"/>
  <c r="S81" i="1"/>
  <c r="JQ57" i="1"/>
  <c r="JD57" i="1"/>
  <c r="IV57" i="1"/>
  <c r="IW57" i="1" s="1"/>
  <c r="IX57" i="1" s="1"/>
  <c r="IU57" i="1"/>
  <c r="IB57" i="1"/>
  <c r="HZ57" i="1"/>
  <c r="IA57" i="1" s="1"/>
  <c r="HV57" i="1"/>
  <c r="HX57" i="1" s="1"/>
  <c r="HU57" i="1"/>
  <c r="HS57" i="1"/>
  <c r="HQ57" i="1"/>
  <c r="HR57" i="1" s="1"/>
  <c r="HM57" i="1"/>
  <c r="HO57" i="1" s="1"/>
  <c r="GM57" i="1"/>
  <c r="GR57" i="1" s="1"/>
  <c r="GF57" i="1"/>
  <c r="GE57" i="1"/>
  <c r="FQ57" i="1" s="1"/>
  <c r="HG57" i="1" s="1"/>
  <c r="GD57" i="1"/>
  <c r="FX57" i="1"/>
  <c r="EO57" i="1"/>
  <c r="EN57" i="1"/>
  <c r="EU57" i="1" s="1"/>
  <c r="EV57" i="1" s="1"/>
  <c r="EF57" i="1" s="1"/>
  <c r="ED57" i="1"/>
  <c r="DU57" i="1"/>
  <c r="AD57" i="1"/>
  <c r="R57" i="1" s="1"/>
  <c r="Y57" i="1"/>
  <c r="S57" i="1"/>
  <c r="Q57" i="1"/>
  <c r="U57" i="1" s="1"/>
  <c r="JQ55" i="1"/>
  <c r="IV55" i="1"/>
  <c r="IU55" i="1"/>
  <c r="IQ55" i="1"/>
  <c r="IO55" i="1"/>
  <c r="IP55" i="1" s="1"/>
  <c r="IK55" i="1"/>
  <c r="IM55" i="1" s="1"/>
  <c r="IJ55" i="1"/>
  <c r="IB55" i="1"/>
  <c r="HZ55" i="1"/>
  <c r="IA55" i="1" s="1"/>
  <c r="HV55" i="1"/>
  <c r="HX55" i="1" s="1"/>
  <c r="HU55" i="1"/>
  <c r="HS55" i="1"/>
  <c r="HQ55" i="1"/>
  <c r="HR55" i="1" s="1"/>
  <c r="HM55" i="1"/>
  <c r="HO55" i="1" s="1"/>
  <c r="GR55" i="1"/>
  <c r="GF55" i="1"/>
  <c r="GE55" i="1"/>
  <c r="FQ55" i="1" s="1"/>
  <c r="HC55" i="1" s="1"/>
  <c r="GD55" i="1"/>
  <c r="FX55" i="1"/>
  <c r="EO55" i="1"/>
  <c r="EN55" i="1"/>
  <c r="ED55" i="1"/>
  <c r="DU55" i="1"/>
  <c r="AD55" i="1"/>
  <c r="HB55" i="1" s="1"/>
  <c r="Y55" i="1"/>
  <c r="U55" i="1"/>
  <c r="T55" i="1"/>
  <c r="S55" i="1"/>
  <c r="JQ54" i="1"/>
  <c r="IQ54" i="1"/>
  <c r="IO54" i="1"/>
  <c r="IP54" i="1" s="1"/>
  <c r="IK54" i="1"/>
  <c r="IM54" i="1" s="1"/>
  <c r="IJ54" i="1"/>
  <c r="IB54" i="1"/>
  <c r="HZ54" i="1"/>
  <c r="IA54" i="1" s="1"/>
  <c r="HV54" i="1"/>
  <c r="HX54" i="1" s="1"/>
  <c r="HU54" i="1"/>
  <c r="HS54" i="1"/>
  <c r="HQ54" i="1"/>
  <c r="HR54" i="1" s="1"/>
  <c r="HM54" i="1"/>
  <c r="HO54" i="1" s="1"/>
  <c r="GM54" i="1"/>
  <c r="GI54" i="1"/>
  <c r="GD54" i="1"/>
  <c r="FX54" i="1"/>
  <c r="FQ54" i="1"/>
  <c r="HC54" i="1" s="1"/>
  <c r="EO54" i="1"/>
  <c r="EN54" i="1"/>
  <c r="EU54" i="1" s="1"/>
  <c r="EV54" i="1" s="1"/>
  <c r="EF54" i="1" s="1"/>
  <c r="ED54" i="1"/>
  <c r="DU54" i="1"/>
  <c r="AD54" i="1"/>
  <c r="Y54" i="1"/>
  <c r="U54" i="1"/>
  <c r="T54" i="1"/>
  <c r="S54" i="1"/>
  <c r="JQ53" i="1"/>
  <c r="IV53" i="1"/>
  <c r="IW53" i="1" s="1"/>
  <c r="IX53" i="1" s="1"/>
  <c r="IU53" i="1"/>
  <c r="IQ53" i="1"/>
  <c r="IO53" i="1"/>
  <c r="IP53" i="1" s="1"/>
  <c r="IK53" i="1"/>
  <c r="IM53" i="1" s="1"/>
  <c r="IJ53" i="1"/>
  <c r="IB53" i="1"/>
  <c r="HZ53" i="1"/>
  <c r="IA53" i="1" s="1"/>
  <c r="HV53" i="1"/>
  <c r="HX53" i="1" s="1"/>
  <c r="HU53" i="1"/>
  <c r="HS53" i="1"/>
  <c r="HQ53" i="1"/>
  <c r="HR53" i="1" s="1"/>
  <c r="HM53" i="1"/>
  <c r="HO53" i="1" s="1"/>
  <c r="GM53" i="1"/>
  <c r="GF53" i="1"/>
  <c r="GD53" i="1"/>
  <c r="FX53" i="1"/>
  <c r="EO53" i="1"/>
  <c r="EN53" i="1"/>
  <c r="EU53" i="1" s="1"/>
  <c r="EV53" i="1" s="1"/>
  <c r="EF53" i="1" s="1"/>
  <c r="ED53" i="1"/>
  <c r="DU53" i="1"/>
  <c r="AD53" i="1"/>
  <c r="AK53" i="1" s="1"/>
  <c r="Y53" i="1"/>
  <c r="U53" i="1"/>
  <c r="T53" i="1"/>
  <c r="S53" i="1"/>
  <c r="JQ39" i="1"/>
  <c r="JO39" i="1"/>
  <c r="JP39" i="1" s="1"/>
  <c r="JM39" i="1"/>
  <c r="JL39" i="1"/>
  <c r="JI39" i="1"/>
  <c r="JF39" i="1"/>
  <c r="JB39" i="1"/>
  <c r="IZ39" i="1"/>
  <c r="IX39" i="1"/>
  <c r="IU39" i="1"/>
  <c r="IQ39" i="1"/>
  <c r="IO39" i="1"/>
  <c r="IP39" i="1" s="1"/>
  <c r="IM39" i="1"/>
  <c r="IJ39" i="1"/>
  <c r="IB39" i="1"/>
  <c r="HZ39" i="1"/>
  <c r="HX39" i="1"/>
  <c r="HU39" i="1"/>
  <c r="HS39" i="1"/>
  <c r="HQ39" i="1"/>
  <c r="HR39" i="1" s="1"/>
  <c r="HO39" i="1"/>
  <c r="GM39" i="1"/>
  <c r="GF39" i="1"/>
  <c r="GD39" i="1"/>
  <c r="FX39" i="1"/>
  <c r="FQ39" i="1"/>
  <c r="HC39" i="1" s="1"/>
  <c r="EO39" i="1"/>
  <c r="EN39" i="1"/>
  <c r="ED39" i="1"/>
  <c r="DU39" i="1"/>
  <c r="AD39" i="1"/>
  <c r="GZ39" i="1" s="1"/>
  <c r="U39" i="1"/>
  <c r="O39" i="1"/>
  <c r="Y39" i="1" s="1"/>
  <c r="JQ40" i="1"/>
  <c r="JO40" i="1"/>
  <c r="JP40" i="1" s="1"/>
  <c r="JM40" i="1"/>
  <c r="JJ40" i="1"/>
  <c r="JL40" i="1" s="1"/>
  <c r="JG40" i="1"/>
  <c r="JI40" i="1" s="1"/>
  <c r="JF40" i="1"/>
  <c r="JB40" i="1"/>
  <c r="IZ40" i="1"/>
  <c r="JA40" i="1" s="1"/>
  <c r="IX40" i="1"/>
  <c r="IU40" i="1"/>
  <c r="IQ40" i="1"/>
  <c r="IO40" i="1"/>
  <c r="IP40" i="1" s="1"/>
  <c r="IM40" i="1"/>
  <c r="IJ40" i="1"/>
  <c r="IB40" i="1"/>
  <c r="HZ40" i="1"/>
  <c r="IA40" i="1" s="1"/>
  <c r="HV40" i="1"/>
  <c r="HX40" i="1" s="1"/>
  <c r="HU40" i="1"/>
  <c r="HS40" i="1"/>
  <c r="HQ40" i="1"/>
  <c r="HR40" i="1" s="1"/>
  <c r="HM40" i="1"/>
  <c r="HO40" i="1" s="1"/>
  <c r="GL40" i="1"/>
  <c r="GR40" i="1" s="1"/>
  <c r="GF40" i="1"/>
  <c r="GD40" i="1"/>
  <c r="FX40" i="1"/>
  <c r="FQ40" i="1"/>
  <c r="EO40" i="1"/>
  <c r="EN40" i="1"/>
  <c r="EU40" i="1" s="1"/>
  <c r="EV40" i="1" s="1"/>
  <c r="EF40" i="1" s="1"/>
  <c r="ED40" i="1"/>
  <c r="DU40" i="1"/>
  <c r="DD40" i="1"/>
  <c r="AQ40" i="1"/>
  <c r="AF40" i="1"/>
  <c r="AD40" i="1" s="1"/>
  <c r="Y40" i="1"/>
  <c r="U40" i="1"/>
  <c r="T40" i="1"/>
  <c r="P40" i="1"/>
  <c r="JQ51" i="1"/>
  <c r="JO51" i="1"/>
  <c r="JP51" i="1" s="1"/>
  <c r="JM51" i="1"/>
  <c r="JJ51" i="1"/>
  <c r="JL51" i="1" s="1"/>
  <c r="JG51" i="1"/>
  <c r="JI51" i="1" s="1"/>
  <c r="JF51" i="1"/>
  <c r="JB51" i="1"/>
  <c r="IZ51" i="1"/>
  <c r="JA51" i="1" s="1"/>
  <c r="IV51" i="1"/>
  <c r="IX51" i="1" s="1"/>
  <c r="IU51" i="1"/>
  <c r="IQ51" i="1"/>
  <c r="IO51" i="1"/>
  <c r="IP51" i="1" s="1"/>
  <c r="IK51" i="1"/>
  <c r="IM51" i="1" s="1"/>
  <c r="IJ51" i="1"/>
  <c r="IB51" i="1"/>
  <c r="HZ51" i="1"/>
  <c r="IA51" i="1" s="1"/>
  <c r="HV51" i="1"/>
  <c r="HX51" i="1" s="1"/>
  <c r="HU51" i="1"/>
  <c r="HS51" i="1"/>
  <c r="HQ51" i="1"/>
  <c r="HR51" i="1" s="1"/>
  <c r="HM51" i="1"/>
  <c r="HO51" i="1" s="1"/>
  <c r="GR51" i="1"/>
  <c r="GF51" i="1"/>
  <c r="FR51" i="1" s="1"/>
  <c r="HC51" i="1" s="1"/>
  <c r="GD51" i="1"/>
  <c r="FX51" i="1"/>
  <c r="FQ51" i="1"/>
  <c r="EO51" i="1"/>
  <c r="EN51" i="1"/>
  <c r="ED51" i="1"/>
  <c r="DU51" i="1"/>
  <c r="AD51" i="1"/>
  <c r="U51" i="1"/>
  <c r="T51" i="1"/>
  <c r="S51" i="1"/>
  <c r="JQ42" i="1"/>
  <c r="JO42" i="1"/>
  <c r="JP42" i="1" s="1"/>
  <c r="JM42" i="1"/>
  <c r="JJ42" i="1"/>
  <c r="JL42" i="1" s="1"/>
  <c r="JG42" i="1"/>
  <c r="JI42" i="1" s="1"/>
  <c r="JF42" i="1"/>
  <c r="JB42" i="1"/>
  <c r="IZ42" i="1"/>
  <c r="JA42" i="1" s="1"/>
  <c r="IV42" i="1"/>
  <c r="IX42" i="1" s="1"/>
  <c r="IU42" i="1"/>
  <c r="IQ42" i="1"/>
  <c r="IO42" i="1"/>
  <c r="IP42" i="1" s="1"/>
  <c r="IK42" i="1"/>
  <c r="IM42" i="1" s="1"/>
  <c r="IJ42" i="1"/>
  <c r="IB42" i="1"/>
  <c r="HZ42" i="1"/>
  <c r="IA42" i="1" s="1"/>
  <c r="HV42" i="1"/>
  <c r="HX42" i="1" s="1"/>
  <c r="HU42" i="1"/>
  <c r="HS42" i="1"/>
  <c r="HQ42" i="1"/>
  <c r="HR42" i="1" s="1"/>
  <c r="HM42" i="1"/>
  <c r="HO42" i="1" s="1"/>
  <c r="GR42" i="1"/>
  <c r="GF42" i="1"/>
  <c r="GD42" i="1"/>
  <c r="FX42" i="1"/>
  <c r="FQ42" i="1"/>
  <c r="EO42" i="1"/>
  <c r="EN42" i="1"/>
  <c r="ED42" i="1"/>
  <c r="DU42" i="1"/>
  <c r="AD42" i="1"/>
  <c r="U42" i="1"/>
  <c r="T42" i="1"/>
  <c r="S42" i="1"/>
  <c r="JQ43" i="1"/>
  <c r="JO43" i="1"/>
  <c r="JP43" i="1" s="1"/>
  <c r="JM43" i="1"/>
  <c r="JJ43" i="1"/>
  <c r="JL43" i="1" s="1"/>
  <c r="JG43" i="1"/>
  <c r="JI43" i="1" s="1"/>
  <c r="JF43" i="1"/>
  <c r="JB43" i="1"/>
  <c r="IZ43" i="1"/>
  <c r="JA43" i="1" s="1"/>
  <c r="IV43" i="1"/>
  <c r="IX43" i="1" s="1"/>
  <c r="IU43" i="1"/>
  <c r="IQ43" i="1"/>
  <c r="IO43" i="1"/>
  <c r="IP43" i="1" s="1"/>
  <c r="IK43" i="1"/>
  <c r="IM43" i="1" s="1"/>
  <c r="IJ43" i="1"/>
  <c r="IB43" i="1"/>
  <c r="HZ43" i="1"/>
  <c r="IA43" i="1" s="1"/>
  <c r="HV43" i="1"/>
  <c r="HX43" i="1" s="1"/>
  <c r="HU43" i="1"/>
  <c r="HS43" i="1"/>
  <c r="HQ43" i="1"/>
  <c r="HR43" i="1" s="1"/>
  <c r="HM43" i="1"/>
  <c r="HO43" i="1" s="1"/>
  <c r="GR43" i="1"/>
  <c r="GF43" i="1"/>
  <c r="GI43" i="1" s="1"/>
  <c r="GD43" i="1"/>
  <c r="FX43" i="1"/>
  <c r="FQ43" i="1"/>
  <c r="EO43" i="1"/>
  <c r="EN43" i="1"/>
  <c r="ED43" i="1"/>
  <c r="DU43" i="1"/>
  <c r="AQ43" i="1"/>
  <c r="AD43" i="1"/>
  <c r="GC43" i="1" s="1"/>
  <c r="Y43" i="1"/>
  <c r="S43" i="1"/>
  <c r="Q43" i="1"/>
  <c r="U43" i="1" s="1"/>
  <c r="JQ50" i="1"/>
  <c r="JO50" i="1"/>
  <c r="JP50" i="1" s="1"/>
  <c r="JM50" i="1"/>
  <c r="JJ50" i="1"/>
  <c r="JL50" i="1" s="1"/>
  <c r="JG50" i="1"/>
  <c r="JI50" i="1" s="1"/>
  <c r="JF50" i="1"/>
  <c r="JB50" i="1"/>
  <c r="IZ50" i="1"/>
  <c r="JA50" i="1" s="1"/>
  <c r="IV50" i="1"/>
  <c r="IX50" i="1" s="1"/>
  <c r="IU50" i="1"/>
  <c r="IQ50" i="1"/>
  <c r="IO50" i="1"/>
  <c r="IP50" i="1" s="1"/>
  <c r="IK50" i="1"/>
  <c r="IM50" i="1" s="1"/>
  <c r="IJ50" i="1"/>
  <c r="IB50" i="1"/>
  <c r="HZ50" i="1"/>
  <c r="IA50" i="1" s="1"/>
  <c r="HV50" i="1"/>
  <c r="HX50" i="1" s="1"/>
  <c r="HU50" i="1"/>
  <c r="HS50" i="1"/>
  <c r="HQ50" i="1"/>
  <c r="HR50" i="1" s="1"/>
  <c r="HM50" i="1"/>
  <c r="HO50" i="1" s="1"/>
  <c r="GR50" i="1"/>
  <c r="GI50" i="1"/>
  <c r="GD50" i="1"/>
  <c r="FX50" i="1"/>
  <c r="FR50" i="1"/>
  <c r="HG50" i="1" s="1"/>
  <c r="FQ50" i="1"/>
  <c r="EO50" i="1"/>
  <c r="EN50" i="1"/>
  <c r="EU50" i="1" s="1"/>
  <c r="EV50" i="1" s="1"/>
  <c r="EF50" i="1" s="1"/>
  <c r="ED50" i="1"/>
  <c r="DU50" i="1"/>
  <c r="AD50" i="1"/>
  <c r="Y50" i="1"/>
  <c r="U50" i="1"/>
  <c r="T50" i="1"/>
  <c r="S50" i="1"/>
  <c r="JQ47" i="1"/>
  <c r="JO47" i="1"/>
  <c r="JP47" i="1" s="1"/>
  <c r="JM47" i="1"/>
  <c r="JJ47" i="1"/>
  <c r="JL47" i="1" s="1"/>
  <c r="JG47" i="1"/>
  <c r="JI47" i="1" s="1"/>
  <c r="JF47" i="1"/>
  <c r="JB47" i="1"/>
  <c r="IZ47" i="1"/>
  <c r="JA47" i="1" s="1"/>
  <c r="IV47" i="1"/>
  <c r="IX47" i="1" s="1"/>
  <c r="IU47" i="1"/>
  <c r="IQ47" i="1"/>
  <c r="IO47" i="1"/>
  <c r="IP47" i="1" s="1"/>
  <c r="IK47" i="1"/>
  <c r="IM47" i="1" s="1"/>
  <c r="IJ47" i="1"/>
  <c r="IB47" i="1"/>
  <c r="HZ47" i="1"/>
  <c r="IA47" i="1" s="1"/>
  <c r="HV47" i="1"/>
  <c r="HX47" i="1" s="1"/>
  <c r="HU47" i="1"/>
  <c r="HS47" i="1"/>
  <c r="HQ47" i="1"/>
  <c r="HR47" i="1" s="1"/>
  <c r="HM47" i="1"/>
  <c r="HO47" i="1" s="1"/>
  <c r="GR47" i="1"/>
  <c r="GF47" i="1"/>
  <c r="GD47" i="1"/>
  <c r="FX47" i="1"/>
  <c r="FQ47" i="1"/>
  <c r="EO47" i="1"/>
  <c r="EN47" i="1"/>
  <c r="EU47" i="1" s="1"/>
  <c r="EV47" i="1" s="1"/>
  <c r="EF47" i="1" s="1"/>
  <c r="ED47" i="1"/>
  <c r="DU47" i="1"/>
  <c r="AD47" i="1"/>
  <c r="Y47" i="1"/>
  <c r="S47" i="1"/>
  <c r="R47" i="1"/>
  <c r="Q47" i="1"/>
  <c r="JQ46" i="1"/>
  <c r="JO46" i="1"/>
  <c r="JM46" i="1"/>
  <c r="JL46" i="1"/>
  <c r="JI46" i="1"/>
  <c r="JF46" i="1"/>
  <c r="JB46" i="1"/>
  <c r="IZ46" i="1"/>
  <c r="IX46" i="1"/>
  <c r="IU46" i="1"/>
  <c r="IQ46" i="1"/>
  <c r="IO46" i="1"/>
  <c r="IM46" i="1"/>
  <c r="IJ46" i="1"/>
  <c r="IB46" i="1"/>
  <c r="HZ46" i="1"/>
  <c r="HX46" i="1"/>
  <c r="HU46" i="1"/>
  <c r="HS46" i="1"/>
  <c r="HQ46" i="1"/>
  <c r="HO46" i="1"/>
  <c r="GR46" i="1"/>
  <c r="GF46" i="1"/>
  <c r="GI46" i="1" s="1"/>
  <c r="GD46" i="1"/>
  <c r="FX46" i="1"/>
  <c r="FQ46" i="1"/>
  <c r="EO46" i="1"/>
  <c r="ED46" i="1"/>
  <c r="EN46" i="1"/>
  <c r="EU46" i="1" s="1"/>
  <c r="EV46" i="1" s="1"/>
  <c r="DU46" i="1"/>
  <c r="AD46" i="1"/>
  <c r="Y46" i="1"/>
  <c r="U46" i="1"/>
  <c r="T46" i="1"/>
  <c r="S46" i="1"/>
  <c r="JQ45" i="1"/>
  <c r="JO45" i="1"/>
  <c r="JP45" i="1" s="1"/>
  <c r="JM45" i="1"/>
  <c r="JJ45" i="1"/>
  <c r="JL45" i="1" s="1"/>
  <c r="JG45" i="1"/>
  <c r="JI45" i="1" s="1"/>
  <c r="JF45" i="1"/>
  <c r="JB45" i="1"/>
  <c r="IZ45" i="1"/>
  <c r="JA45" i="1" s="1"/>
  <c r="IV45" i="1"/>
  <c r="IX45" i="1" s="1"/>
  <c r="IU45" i="1"/>
  <c r="IQ45" i="1"/>
  <c r="IO45" i="1"/>
  <c r="IP45" i="1" s="1"/>
  <c r="IK45" i="1"/>
  <c r="IM45" i="1" s="1"/>
  <c r="IJ45" i="1"/>
  <c r="IB45" i="1"/>
  <c r="HZ45" i="1"/>
  <c r="IA45" i="1" s="1"/>
  <c r="HV45" i="1"/>
  <c r="HX45" i="1" s="1"/>
  <c r="HU45" i="1"/>
  <c r="HS45" i="1"/>
  <c r="HQ45" i="1"/>
  <c r="HR45" i="1" s="1"/>
  <c r="HM45" i="1"/>
  <c r="HO45" i="1" s="1"/>
  <c r="HB45" i="1"/>
  <c r="GZ45" i="1"/>
  <c r="GR45" i="1"/>
  <c r="GU45" i="1" s="1"/>
  <c r="GF45" i="1"/>
  <c r="FX45" i="1"/>
  <c r="FQ45" i="1"/>
  <c r="EO45" i="1"/>
  <c r="EN45" i="1"/>
  <c r="EE45" i="1" s="1"/>
  <c r="EG45" i="1" s="1"/>
  <c r="ED45" i="1"/>
  <c r="DU45" i="1"/>
  <c r="AM45" i="1"/>
  <c r="AL45" i="1"/>
  <c r="Y45" i="1"/>
  <c r="W45" i="1"/>
  <c r="V45" i="1"/>
  <c r="U45" i="1"/>
  <c r="T45" i="1"/>
  <c r="S45" i="1"/>
  <c r="R45" i="1"/>
  <c r="JQ33" i="1"/>
  <c r="JO33" i="1"/>
  <c r="JP33" i="1" s="1"/>
  <c r="JJ33" i="1"/>
  <c r="JL33" i="1" s="1"/>
  <c r="JE33" i="1"/>
  <c r="JG33" i="1" s="1"/>
  <c r="JI33" i="1" s="1"/>
  <c r="JB33" i="1"/>
  <c r="IZ33" i="1"/>
  <c r="JA33" i="1" s="1"/>
  <c r="IV33" i="1"/>
  <c r="IX33" i="1" s="1"/>
  <c r="IU33" i="1"/>
  <c r="IQ33" i="1"/>
  <c r="IO33" i="1"/>
  <c r="IP33" i="1" s="1"/>
  <c r="IK33" i="1"/>
  <c r="IM33" i="1" s="1"/>
  <c r="IJ33" i="1"/>
  <c r="IB33" i="1"/>
  <c r="HZ33" i="1"/>
  <c r="IA33" i="1" s="1"/>
  <c r="HV33" i="1"/>
  <c r="HX33" i="1" s="1"/>
  <c r="HU33" i="1"/>
  <c r="HS33" i="1"/>
  <c r="HQ33" i="1"/>
  <c r="HR33" i="1" s="1"/>
  <c r="HM33" i="1"/>
  <c r="HO33" i="1" s="1"/>
  <c r="GR33" i="1"/>
  <c r="GF33" i="1"/>
  <c r="GD33" i="1"/>
  <c r="FX33" i="1"/>
  <c r="FQ33" i="1"/>
  <c r="FY33" i="1" s="1"/>
  <c r="EO33" i="1"/>
  <c r="EU33" i="1"/>
  <c r="EV33" i="1" s="1"/>
  <c r="EI33" i="1"/>
  <c r="ED33" i="1"/>
  <c r="DU33" i="1"/>
  <c r="DD33" i="1"/>
  <c r="AQ33" i="1"/>
  <c r="AN33" i="1"/>
  <c r="AM33" i="1"/>
  <c r="AL33" i="1"/>
  <c r="AK33" i="1"/>
  <c r="AD33" i="1"/>
  <c r="GZ33" i="1" s="1"/>
  <c r="JQ34" i="1"/>
  <c r="JO34" i="1"/>
  <c r="JP34" i="1" s="1"/>
  <c r="JJ34" i="1"/>
  <c r="JL34" i="1" s="1"/>
  <c r="JE34" i="1"/>
  <c r="JG34" i="1" s="1"/>
  <c r="JI34" i="1" s="1"/>
  <c r="JB34" i="1"/>
  <c r="IZ34" i="1"/>
  <c r="JA34" i="1" s="1"/>
  <c r="IV34" i="1"/>
  <c r="IX34" i="1" s="1"/>
  <c r="IU34" i="1"/>
  <c r="IQ34" i="1"/>
  <c r="IO34" i="1"/>
  <c r="IP34" i="1" s="1"/>
  <c r="IK34" i="1"/>
  <c r="IM34" i="1" s="1"/>
  <c r="IJ34" i="1"/>
  <c r="IB34" i="1"/>
  <c r="HZ34" i="1"/>
  <c r="IA34" i="1" s="1"/>
  <c r="HV34" i="1"/>
  <c r="HX34" i="1" s="1"/>
  <c r="HU34" i="1"/>
  <c r="HS34" i="1"/>
  <c r="HQ34" i="1"/>
  <c r="HR34" i="1" s="1"/>
  <c r="HM34" i="1"/>
  <c r="HO34" i="1" s="1"/>
  <c r="GR34" i="1"/>
  <c r="GF34" i="1"/>
  <c r="FR34" i="1" s="1"/>
  <c r="FT34" i="1" s="1"/>
  <c r="GD34" i="1"/>
  <c r="FX34" i="1"/>
  <c r="FQ34" i="1"/>
  <c r="FY34" i="1" s="1"/>
  <c r="EO34" i="1"/>
  <c r="EU34" i="1"/>
  <c r="EV34" i="1" s="1"/>
  <c r="EI34" i="1"/>
  <c r="ED34" i="1"/>
  <c r="DU34" i="1"/>
  <c r="DD34" i="1"/>
  <c r="AQ34" i="1"/>
  <c r="AN34" i="1"/>
  <c r="AM34" i="1"/>
  <c r="AD34" i="1"/>
  <c r="GZ34" i="1" s="1"/>
  <c r="Y34" i="1"/>
  <c r="V34" i="1"/>
  <c r="U34" i="1"/>
  <c r="T34" i="1"/>
  <c r="S34" i="1"/>
  <c r="R34" i="1"/>
  <c r="JQ36" i="1"/>
  <c r="JO36" i="1"/>
  <c r="JP36" i="1" s="1"/>
  <c r="JM36" i="1"/>
  <c r="JL36" i="1"/>
  <c r="JI36" i="1"/>
  <c r="JF36" i="1"/>
  <c r="JB36" i="1"/>
  <c r="IZ36" i="1"/>
  <c r="IQ36" i="1"/>
  <c r="IO36" i="1"/>
  <c r="IB36" i="1"/>
  <c r="HZ36" i="1"/>
  <c r="HX36" i="1"/>
  <c r="HU36" i="1"/>
  <c r="HS36" i="1"/>
  <c r="HQ36" i="1"/>
  <c r="HO36" i="1"/>
  <c r="GM36" i="1"/>
  <c r="GR36" i="1" s="1"/>
  <c r="GF36" i="1"/>
  <c r="GD36" i="1"/>
  <c r="FX36" i="1"/>
  <c r="EO36" i="1"/>
  <c r="EN36" i="1"/>
  <c r="EU36" i="1" s="1"/>
  <c r="EV36" i="1" s="1"/>
  <c r="EI36" i="1"/>
  <c r="ED36" i="1"/>
  <c r="DU36" i="1"/>
  <c r="DD36" i="1"/>
  <c r="AQ36" i="1"/>
  <c r="AD36" i="1"/>
  <c r="Y36" i="1"/>
  <c r="U36" i="1"/>
  <c r="T36" i="1"/>
  <c r="P36" i="1"/>
  <c r="S36" i="1" s="1"/>
  <c r="JQ32" i="1"/>
  <c r="JO32" i="1"/>
  <c r="JP32" i="1" s="1"/>
  <c r="JM32" i="1"/>
  <c r="JL32" i="1"/>
  <c r="JI32" i="1"/>
  <c r="JF32" i="1"/>
  <c r="JB32" i="1"/>
  <c r="IZ32" i="1"/>
  <c r="IQ32" i="1"/>
  <c r="IO32" i="1"/>
  <c r="IB32" i="1"/>
  <c r="HZ32" i="1"/>
  <c r="HX32" i="1"/>
  <c r="HU32" i="1"/>
  <c r="HS32" i="1"/>
  <c r="HQ32" i="1"/>
  <c r="HO32" i="1"/>
  <c r="GM32" i="1"/>
  <c r="GF32" i="1"/>
  <c r="GI32" i="1" s="1"/>
  <c r="GD32" i="1"/>
  <c r="FX32" i="1"/>
  <c r="FQ32" i="1"/>
  <c r="EO32" i="1"/>
  <c r="EN32" i="1"/>
  <c r="EE32" i="1" s="1"/>
  <c r="EG32" i="1" s="1"/>
  <c r="EI32" i="1"/>
  <c r="EF32" i="1"/>
  <c r="ED32" i="1"/>
  <c r="DU32" i="1"/>
  <c r="DD32" i="1"/>
  <c r="AD32" i="1"/>
  <c r="U32" i="1"/>
  <c r="P32" i="1"/>
  <c r="O32" i="1"/>
  <c r="Y32" i="1" s="1"/>
  <c r="JQ49" i="1"/>
  <c r="JO49" i="1"/>
  <c r="JP49" i="1" s="1"/>
  <c r="JM49" i="1"/>
  <c r="JJ49" i="1"/>
  <c r="JL49" i="1" s="1"/>
  <c r="JG49" i="1"/>
  <c r="JI49" i="1" s="1"/>
  <c r="JF49" i="1"/>
  <c r="JB49" i="1"/>
  <c r="IZ49" i="1"/>
  <c r="JA49" i="1" s="1"/>
  <c r="IV49" i="1"/>
  <c r="IX49" i="1" s="1"/>
  <c r="IU49" i="1"/>
  <c r="IQ49" i="1"/>
  <c r="IO49" i="1"/>
  <c r="IP49" i="1" s="1"/>
  <c r="IM49" i="1"/>
  <c r="IJ49" i="1"/>
  <c r="IB49" i="1"/>
  <c r="HZ49" i="1"/>
  <c r="IA49" i="1" s="1"/>
  <c r="HX49" i="1"/>
  <c r="HU49" i="1"/>
  <c r="HS49" i="1"/>
  <c r="HQ49" i="1"/>
  <c r="HR49" i="1" s="1"/>
  <c r="HO49" i="1"/>
  <c r="GR49" i="1"/>
  <c r="GF49" i="1"/>
  <c r="FR49" i="1" s="1"/>
  <c r="GO49" i="1" s="1"/>
  <c r="GE49" i="1"/>
  <c r="FQ49" i="1" s="1"/>
  <c r="GD49" i="1"/>
  <c r="FX49" i="1"/>
  <c r="EO49" i="1"/>
  <c r="EI49" i="1"/>
  <c r="ED49" i="1"/>
  <c r="DU49" i="1"/>
  <c r="DD49" i="1"/>
  <c r="AH49" i="1"/>
  <c r="Y3" i="1" s="1"/>
  <c r="AF49" i="1"/>
  <c r="AD49" i="1" s="1"/>
  <c r="R49" i="1"/>
  <c r="O49" i="1"/>
  <c r="T49" i="1" s="1"/>
  <c r="JQ41" i="1"/>
  <c r="JO41" i="1"/>
  <c r="JP41" i="1" s="1"/>
  <c r="JM41" i="1"/>
  <c r="JJ41" i="1"/>
  <c r="JL41" i="1" s="1"/>
  <c r="JG41" i="1"/>
  <c r="JI41" i="1" s="1"/>
  <c r="JF41" i="1"/>
  <c r="JB41" i="1"/>
  <c r="IZ41" i="1"/>
  <c r="JA41" i="1" s="1"/>
  <c r="IV41" i="1"/>
  <c r="IX41" i="1" s="1"/>
  <c r="IU41" i="1"/>
  <c r="IQ41" i="1"/>
  <c r="IO41" i="1"/>
  <c r="IP41" i="1" s="1"/>
  <c r="IK41" i="1"/>
  <c r="IM41" i="1" s="1"/>
  <c r="IJ41" i="1"/>
  <c r="IB41" i="1"/>
  <c r="HZ41" i="1"/>
  <c r="IA41" i="1" s="1"/>
  <c r="HV41" i="1"/>
  <c r="HX41" i="1" s="1"/>
  <c r="HU41" i="1"/>
  <c r="HS41" i="1"/>
  <c r="HQ41" i="1"/>
  <c r="HR41" i="1" s="1"/>
  <c r="HM41" i="1"/>
  <c r="HO41" i="1" s="1"/>
  <c r="GR41" i="1"/>
  <c r="GF41" i="1"/>
  <c r="GD41" i="1"/>
  <c r="FX41" i="1"/>
  <c r="FQ41" i="1"/>
  <c r="EO41" i="1"/>
  <c r="EN41" i="1"/>
  <c r="EI41" i="1"/>
  <c r="ED41" i="1"/>
  <c r="DU41" i="1"/>
  <c r="DD41" i="1"/>
  <c r="AQ41" i="1"/>
  <c r="AD41" i="1"/>
  <c r="HB41" i="1" s="1"/>
  <c r="Y41" i="1"/>
  <c r="X41" i="1"/>
  <c r="U41" i="1"/>
  <c r="T41" i="1"/>
  <c r="P41" i="1"/>
  <c r="S41" i="1" s="1"/>
  <c r="JQ44" i="1"/>
  <c r="JO44" i="1"/>
  <c r="JP44" i="1" s="1"/>
  <c r="JM44" i="1"/>
  <c r="JJ44" i="1"/>
  <c r="JL44" i="1" s="1"/>
  <c r="JG44" i="1"/>
  <c r="JI44" i="1" s="1"/>
  <c r="JF44" i="1"/>
  <c r="JB44" i="1"/>
  <c r="IZ44" i="1"/>
  <c r="JA44" i="1" s="1"/>
  <c r="IV44" i="1"/>
  <c r="IX44" i="1" s="1"/>
  <c r="IU44" i="1"/>
  <c r="IQ44" i="1"/>
  <c r="IO44" i="1"/>
  <c r="IP44" i="1" s="1"/>
  <c r="IK44" i="1"/>
  <c r="IM44" i="1" s="1"/>
  <c r="IJ44" i="1"/>
  <c r="IB44" i="1"/>
  <c r="HZ44" i="1"/>
  <c r="IA44" i="1" s="1"/>
  <c r="HV44" i="1"/>
  <c r="HX44" i="1" s="1"/>
  <c r="HU44" i="1"/>
  <c r="HS44" i="1"/>
  <c r="HQ44" i="1"/>
  <c r="HR44" i="1" s="1"/>
  <c r="HM44" i="1"/>
  <c r="HO44" i="1" s="1"/>
  <c r="GR44" i="1"/>
  <c r="GF44" i="1"/>
  <c r="GD44" i="1"/>
  <c r="FX44" i="1"/>
  <c r="EO44" i="1"/>
  <c r="EN44" i="1"/>
  <c r="EU44" i="1" s="1"/>
  <c r="EV44" i="1" s="1"/>
  <c r="CI44" i="1" s="1"/>
  <c r="EI44" i="1"/>
  <c r="ED44" i="1"/>
  <c r="DU44" i="1"/>
  <c r="DD44" i="1"/>
  <c r="AQ44" i="1"/>
  <c r="AD44" i="1"/>
  <c r="HB44" i="1" s="1"/>
  <c r="Y44" i="1"/>
  <c r="U44" i="1"/>
  <c r="T44" i="1"/>
  <c r="P44" i="1"/>
  <c r="JQ28" i="1"/>
  <c r="JO28" i="1"/>
  <c r="JM28" i="1"/>
  <c r="JL28" i="1"/>
  <c r="JI28" i="1"/>
  <c r="JF28" i="1"/>
  <c r="JB28" i="1"/>
  <c r="IZ28" i="1"/>
  <c r="IX28" i="1"/>
  <c r="IU28" i="1"/>
  <c r="IQ28" i="1"/>
  <c r="IO28" i="1"/>
  <c r="IP28" i="1" s="1"/>
  <c r="IM28" i="1"/>
  <c r="IJ28" i="1"/>
  <c r="IB28" i="1"/>
  <c r="HZ28" i="1"/>
  <c r="HX28" i="1"/>
  <c r="HU28" i="1"/>
  <c r="HS28" i="1"/>
  <c r="HQ28" i="1"/>
  <c r="HM28" i="1"/>
  <c r="HO28" i="1" s="1"/>
  <c r="GR28" i="1"/>
  <c r="GF28" i="1"/>
  <c r="GD28" i="1"/>
  <c r="FX28" i="1"/>
  <c r="FQ28" i="1"/>
  <c r="FY28" i="1" s="1"/>
  <c r="EI28" i="1"/>
  <c r="EF28" i="1"/>
  <c r="EE28" i="1"/>
  <c r="ED28" i="1"/>
  <c r="DU28" i="1"/>
  <c r="DD28" i="1"/>
  <c r="CD28" i="1"/>
  <c r="AQ28" i="1"/>
  <c r="AD28" i="1"/>
  <c r="GC28" i="1" s="1"/>
  <c r="JQ27" i="1"/>
  <c r="JO27" i="1"/>
  <c r="JP27" i="1" s="1"/>
  <c r="JH27" i="1"/>
  <c r="JJ27" i="1" s="1"/>
  <c r="JL27" i="1" s="1"/>
  <c r="JE27" i="1"/>
  <c r="JB27" i="1"/>
  <c r="IZ27" i="1"/>
  <c r="JA27" i="1" s="1"/>
  <c r="IV27" i="1"/>
  <c r="IX27" i="1" s="1"/>
  <c r="IU27" i="1"/>
  <c r="IQ27" i="1"/>
  <c r="IO27" i="1"/>
  <c r="IP27" i="1" s="1"/>
  <c r="IK27" i="1"/>
  <c r="IM27" i="1" s="1"/>
  <c r="IJ27" i="1"/>
  <c r="IB27" i="1"/>
  <c r="HZ27" i="1"/>
  <c r="IA27" i="1" s="1"/>
  <c r="HX27" i="1"/>
  <c r="HU27" i="1"/>
  <c r="HS27" i="1"/>
  <c r="HQ27" i="1"/>
  <c r="HR27" i="1" s="1"/>
  <c r="HO27" i="1"/>
  <c r="GR27" i="1"/>
  <c r="GF27" i="1"/>
  <c r="GI27" i="1" s="1"/>
  <c r="GD27" i="1"/>
  <c r="FX27" i="1"/>
  <c r="FQ27" i="1"/>
  <c r="FY27" i="1" s="1"/>
  <c r="EI27" i="1"/>
  <c r="EF27" i="1"/>
  <c r="EE27" i="1"/>
  <c r="ED27" i="1"/>
  <c r="DU27" i="1"/>
  <c r="DD27" i="1"/>
  <c r="CD27" i="1"/>
  <c r="AQ27" i="1"/>
  <c r="AD27" i="1"/>
  <c r="HB27" i="1" s="1"/>
  <c r="T27" i="1"/>
  <c r="S27" i="1"/>
  <c r="JQ29" i="1"/>
  <c r="JO29" i="1"/>
  <c r="JP29" i="1" s="1"/>
  <c r="JM29" i="1"/>
  <c r="JJ29" i="1"/>
  <c r="JL29" i="1" s="1"/>
  <c r="JG29" i="1"/>
  <c r="JI29" i="1" s="1"/>
  <c r="JF29" i="1"/>
  <c r="JB29" i="1"/>
  <c r="IZ29" i="1"/>
  <c r="JA29" i="1" s="1"/>
  <c r="IV29" i="1"/>
  <c r="IX29" i="1" s="1"/>
  <c r="IU29" i="1"/>
  <c r="IQ29" i="1"/>
  <c r="IO29" i="1"/>
  <c r="IP29" i="1" s="1"/>
  <c r="IK29" i="1"/>
  <c r="IM29" i="1" s="1"/>
  <c r="IJ29" i="1"/>
  <c r="IB29" i="1"/>
  <c r="HZ29" i="1"/>
  <c r="IA29" i="1" s="1"/>
  <c r="HV29" i="1"/>
  <c r="HX29" i="1" s="1"/>
  <c r="HU29" i="1"/>
  <c r="HS29" i="1"/>
  <c r="HQ29" i="1"/>
  <c r="HR29" i="1" s="1"/>
  <c r="HM29" i="1"/>
  <c r="HO29" i="1" s="1"/>
  <c r="GR29" i="1"/>
  <c r="GF29" i="1"/>
  <c r="FR29" i="1" s="1"/>
  <c r="GD29" i="1"/>
  <c r="FX29" i="1"/>
  <c r="FQ29" i="1"/>
  <c r="FY29" i="1" s="1"/>
  <c r="EU29" i="1"/>
  <c r="EI29" i="1"/>
  <c r="EF29" i="1"/>
  <c r="EE29" i="1"/>
  <c r="EG29" i="1" s="1"/>
  <c r="ED29" i="1"/>
  <c r="DU29" i="1"/>
  <c r="DD29" i="1"/>
  <c r="CD29" i="1"/>
  <c r="AQ29" i="1"/>
  <c r="AD29" i="1"/>
  <c r="GZ29" i="1" s="1"/>
  <c r="Y29" i="1"/>
  <c r="U29" i="1"/>
  <c r="T29" i="1"/>
  <c r="S29" i="1"/>
  <c r="JQ38" i="1"/>
  <c r="JO38" i="1"/>
  <c r="JP38" i="1" s="1"/>
  <c r="JM38" i="1"/>
  <c r="JJ38" i="1"/>
  <c r="JL38" i="1" s="1"/>
  <c r="JG38" i="1"/>
  <c r="JI38" i="1" s="1"/>
  <c r="JF38" i="1"/>
  <c r="JB38" i="1"/>
  <c r="IZ38" i="1"/>
  <c r="JA38" i="1" s="1"/>
  <c r="IV38" i="1"/>
  <c r="IX38" i="1" s="1"/>
  <c r="IU38" i="1"/>
  <c r="IQ38" i="1"/>
  <c r="IO38" i="1"/>
  <c r="IP38" i="1" s="1"/>
  <c r="IK38" i="1"/>
  <c r="IM38" i="1" s="1"/>
  <c r="IJ38" i="1"/>
  <c r="IB38" i="1"/>
  <c r="HZ38" i="1"/>
  <c r="IA38" i="1" s="1"/>
  <c r="HV38" i="1"/>
  <c r="HX38" i="1" s="1"/>
  <c r="HU38" i="1"/>
  <c r="HS38" i="1"/>
  <c r="HQ38" i="1"/>
  <c r="HR38" i="1" s="1"/>
  <c r="HM38" i="1"/>
  <c r="HO38" i="1" s="1"/>
  <c r="GR38" i="1"/>
  <c r="GF38" i="1"/>
  <c r="FR38" i="1" s="1"/>
  <c r="GO38" i="1" s="1"/>
  <c r="GD38" i="1"/>
  <c r="FX38" i="1"/>
  <c r="FQ38" i="1"/>
  <c r="EO38" i="1"/>
  <c r="EU38" i="1"/>
  <c r="EV38" i="1" s="1"/>
  <c r="EI38" i="1"/>
  <c r="ED38" i="1"/>
  <c r="DD38" i="1"/>
  <c r="AQ38" i="1"/>
  <c r="AD38" i="1"/>
  <c r="GC38" i="1" s="1"/>
  <c r="Y38" i="1"/>
  <c r="U38" i="1"/>
  <c r="T38" i="1"/>
  <c r="S38" i="1"/>
  <c r="JQ37" i="1"/>
  <c r="JO37" i="1"/>
  <c r="JP37" i="1" s="1"/>
  <c r="JM37" i="1"/>
  <c r="JJ37" i="1"/>
  <c r="JL37" i="1" s="1"/>
  <c r="JG37" i="1"/>
  <c r="JI37" i="1" s="1"/>
  <c r="JF37" i="1"/>
  <c r="JB37" i="1"/>
  <c r="IZ37" i="1"/>
  <c r="JA37" i="1" s="1"/>
  <c r="IV37" i="1"/>
  <c r="IX37" i="1" s="1"/>
  <c r="IU37" i="1"/>
  <c r="IQ37" i="1"/>
  <c r="IO37" i="1"/>
  <c r="IP37" i="1" s="1"/>
  <c r="IK37" i="1"/>
  <c r="IM37" i="1" s="1"/>
  <c r="IJ37" i="1"/>
  <c r="IB37" i="1"/>
  <c r="HZ37" i="1"/>
  <c r="IA37" i="1" s="1"/>
  <c r="HV37" i="1"/>
  <c r="HX37" i="1" s="1"/>
  <c r="HU37" i="1"/>
  <c r="HS37" i="1"/>
  <c r="HQ37" i="1"/>
  <c r="HR37" i="1" s="1"/>
  <c r="HM37" i="1"/>
  <c r="HO37" i="1" s="1"/>
  <c r="GM37" i="1"/>
  <c r="GR37" i="1" s="1"/>
  <c r="GF37" i="1"/>
  <c r="GE37" i="1"/>
  <c r="FQ37" i="1" s="1"/>
  <c r="GD37" i="1"/>
  <c r="FX37" i="1"/>
  <c r="EO37" i="1"/>
  <c r="EU37" i="1"/>
  <c r="EV37" i="1" s="1"/>
  <c r="EI37" i="1"/>
  <c r="ED37" i="1"/>
  <c r="DW37" i="1"/>
  <c r="DD37" i="1"/>
  <c r="AQ37" i="1"/>
  <c r="AD37" i="1"/>
  <c r="GS37" i="1" s="1"/>
  <c r="Y37" i="1"/>
  <c r="U37" i="1"/>
  <c r="T37" i="1"/>
  <c r="P37" i="1"/>
  <c r="S37" i="1" s="1"/>
  <c r="JQ25" i="1"/>
  <c r="JO25" i="1"/>
  <c r="JP25" i="1" s="1"/>
  <c r="JM25" i="1"/>
  <c r="JJ25" i="1"/>
  <c r="JL25" i="1" s="1"/>
  <c r="JG25" i="1"/>
  <c r="JI25" i="1" s="1"/>
  <c r="JF25" i="1"/>
  <c r="JB25" i="1"/>
  <c r="IZ25" i="1"/>
  <c r="JA25" i="1" s="1"/>
  <c r="IV25" i="1"/>
  <c r="IX25" i="1" s="1"/>
  <c r="IU25" i="1"/>
  <c r="IQ25" i="1"/>
  <c r="IO25" i="1"/>
  <c r="IP25" i="1" s="1"/>
  <c r="IK25" i="1"/>
  <c r="IM25" i="1" s="1"/>
  <c r="IJ25" i="1"/>
  <c r="IB25" i="1"/>
  <c r="HZ25" i="1"/>
  <c r="IA25" i="1" s="1"/>
  <c r="HV25" i="1"/>
  <c r="HX25" i="1" s="1"/>
  <c r="HU25" i="1"/>
  <c r="HS25" i="1"/>
  <c r="HQ25" i="1"/>
  <c r="HR25" i="1" s="1"/>
  <c r="HO25" i="1"/>
  <c r="GR25" i="1"/>
  <c r="GF25" i="1"/>
  <c r="GD25" i="1"/>
  <c r="FX25" i="1"/>
  <c r="FQ25" i="1"/>
  <c r="FY25" i="1" s="1"/>
  <c r="EO25" i="1"/>
  <c r="EI25" i="1"/>
  <c r="EF25" i="1"/>
  <c r="EE25" i="1"/>
  <c r="ED25" i="1"/>
  <c r="DU25" i="1"/>
  <c r="DD25" i="1"/>
  <c r="CD25" i="1"/>
  <c r="AQ25" i="1"/>
  <c r="AD25" i="1"/>
  <c r="Y25" i="1"/>
  <c r="U25" i="1"/>
  <c r="T25" i="1"/>
  <c r="P25" i="1"/>
  <c r="S25" i="1" s="1"/>
  <c r="JQ26" i="1"/>
  <c r="JO26" i="1"/>
  <c r="JP26" i="1" s="1"/>
  <c r="JM26" i="1"/>
  <c r="JJ26" i="1"/>
  <c r="JL26" i="1" s="1"/>
  <c r="JG26" i="1"/>
  <c r="JI26" i="1" s="1"/>
  <c r="JF26" i="1"/>
  <c r="JB26" i="1"/>
  <c r="IZ26" i="1"/>
  <c r="JA26" i="1" s="1"/>
  <c r="IV26" i="1"/>
  <c r="IX26" i="1" s="1"/>
  <c r="IU26" i="1"/>
  <c r="IQ26" i="1"/>
  <c r="IO26" i="1"/>
  <c r="IP26" i="1" s="1"/>
  <c r="IK26" i="1"/>
  <c r="IM26" i="1" s="1"/>
  <c r="IJ26" i="1"/>
  <c r="IB26" i="1"/>
  <c r="HZ26" i="1"/>
  <c r="IA26" i="1" s="1"/>
  <c r="HX26" i="1"/>
  <c r="HU26" i="1"/>
  <c r="HS26" i="1"/>
  <c r="HQ26" i="1"/>
  <c r="HR26" i="1" s="1"/>
  <c r="HM26" i="1"/>
  <c r="HO26" i="1" s="1"/>
  <c r="GR26" i="1"/>
  <c r="GF26" i="1"/>
  <c r="GI26" i="1" s="1"/>
  <c r="GD26" i="1"/>
  <c r="FX26" i="1"/>
  <c r="FQ26" i="1"/>
  <c r="EO26" i="1"/>
  <c r="EI26" i="1"/>
  <c r="EE26" i="1"/>
  <c r="ED26" i="1"/>
  <c r="DU26" i="1"/>
  <c r="DD26" i="1"/>
  <c r="CD26" i="1"/>
  <c r="AQ26" i="1"/>
  <c r="AD26" i="1"/>
  <c r="GZ26" i="1" s="1"/>
  <c r="Y26" i="1"/>
  <c r="U26" i="1"/>
  <c r="T26" i="1"/>
  <c r="P26" i="1"/>
  <c r="JQ35" i="1"/>
  <c r="JO35" i="1"/>
  <c r="JP35" i="1" s="1"/>
  <c r="JM35" i="1"/>
  <c r="JJ35" i="1"/>
  <c r="JL35" i="1" s="1"/>
  <c r="JG35" i="1"/>
  <c r="JI35" i="1" s="1"/>
  <c r="JF35" i="1"/>
  <c r="JB35" i="1"/>
  <c r="IZ35" i="1"/>
  <c r="JA35" i="1" s="1"/>
  <c r="IV35" i="1"/>
  <c r="IX35" i="1" s="1"/>
  <c r="IU35" i="1"/>
  <c r="IQ35" i="1"/>
  <c r="IO35" i="1"/>
  <c r="IP35" i="1" s="1"/>
  <c r="IK35" i="1"/>
  <c r="IM35" i="1" s="1"/>
  <c r="IJ35" i="1"/>
  <c r="IB35" i="1"/>
  <c r="HZ35" i="1"/>
  <c r="IA35" i="1" s="1"/>
  <c r="HX35" i="1"/>
  <c r="HU35" i="1"/>
  <c r="HS35" i="1"/>
  <c r="HQ35" i="1"/>
  <c r="HR35" i="1" s="1"/>
  <c r="HO35" i="1"/>
  <c r="GR35" i="1"/>
  <c r="GF35" i="1"/>
  <c r="GD35" i="1"/>
  <c r="FX35" i="1"/>
  <c r="FQ35" i="1"/>
  <c r="FY35" i="1" s="1"/>
  <c r="EU35" i="1"/>
  <c r="EV35" i="1" s="1"/>
  <c r="EO35" i="1"/>
  <c r="EI35" i="1"/>
  <c r="EE35" i="1"/>
  <c r="EJ35" i="1" s="1"/>
  <c r="ED35" i="1"/>
  <c r="DU35" i="1"/>
  <c r="DD35" i="1"/>
  <c r="CD35" i="1"/>
  <c r="AD35" i="1"/>
  <c r="U35" i="1"/>
  <c r="T35" i="1"/>
  <c r="R35" i="1"/>
  <c r="O35" i="1"/>
  <c r="Y35" i="1" s="1"/>
  <c r="JQ24" i="1"/>
  <c r="JO24" i="1"/>
  <c r="JP24" i="1" s="1"/>
  <c r="JM24" i="1"/>
  <c r="JJ24" i="1"/>
  <c r="JL24" i="1" s="1"/>
  <c r="JG24" i="1"/>
  <c r="JI24" i="1" s="1"/>
  <c r="JF24" i="1"/>
  <c r="JB24" i="1"/>
  <c r="IZ24" i="1"/>
  <c r="JA24" i="1" s="1"/>
  <c r="IV24" i="1"/>
  <c r="IX24" i="1" s="1"/>
  <c r="IU24" i="1"/>
  <c r="IQ24" i="1"/>
  <c r="IO24" i="1"/>
  <c r="IP24" i="1" s="1"/>
  <c r="IK24" i="1"/>
  <c r="IM24" i="1" s="1"/>
  <c r="IJ24" i="1"/>
  <c r="IB24" i="1"/>
  <c r="HZ24" i="1"/>
  <c r="IA24" i="1" s="1"/>
  <c r="HV24" i="1"/>
  <c r="HX24" i="1" s="1"/>
  <c r="HU24" i="1"/>
  <c r="HS24" i="1"/>
  <c r="HQ24" i="1"/>
  <c r="HR24" i="1" s="1"/>
  <c r="HM24" i="1"/>
  <c r="HO24" i="1" s="1"/>
  <c r="GR24" i="1"/>
  <c r="GF24" i="1"/>
  <c r="GD24" i="1"/>
  <c r="FX24" i="1"/>
  <c r="FQ24" i="1"/>
  <c r="FY24" i="1" s="1"/>
  <c r="EU24" i="1"/>
  <c r="EV24" i="1" s="1"/>
  <c r="EO24" i="1"/>
  <c r="EI24" i="1"/>
  <c r="EE24" i="1"/>
  <c r="ED24" i="1"/>
  <c r="DU24" i="1"/>
  <c r="DD24" i="1"/>
  <c r="CD24" i="1"/>
  <c r="AQ24" i="1"/>
  <c r="AG24" i="1"/>
  <c r="AD24" i="1"/>
  <c r="GC24" i="1" s="1"/>
  <c r="Y24" i="1"/>
  <c r="U24" i="1"/>
  <c r="T24" i="1"/>
  <c r="P24" i="1"/>
  <c r="S24" i="1" s="1"/>
  <c r="JQ23" i="1"/>
  <c r="JO23" i="1"/>
  <c r="JP23" i="1" s="1"/>
  <c r="JM23" i="1"/>
  <c r="JJ23" i="1"/>
  <c r="JL23" i="1" s="1"/>
  <c r="JG23" i="1"/>
  <c r="JI23" i="1" s="1"/>
  <c r="JF23" i="1"/>
  <c r="JB23" i="1"/>
  <c r="IZ23" i="1"/>
  <c r="JA23" i="1" s="1"/>
  <c r="IV23" i="1"/>
  <c r="IX23" i="1" s="1"/>
  <c r="IU23" i="1"/>
  <c r="IQ23" i="1"/>
  <c r="IO23" i="1"/>
  <c r="IP23" i="1" s="1"/>
  <c r="IK23" i="1"/>
  <c r="IM23" i="1" s="1"/>
  <c r="IJ23" i="1"/>
  <c r="IB23" i="1"/>
  <c r="HZ23" i="1"/>
  <c r="IA23" i="1" s="1"/>
  <c r="HV23" i="1"/>
  <c r="HX23" i="1" s="1"/>
  <c r="HU23" i="1"/>
  <c r="HS23" i="1"/>
  <c r="HQ23" i="1"/>
  <c r="HR23" i="1" s="1"/>
  <c r="HM23" i="1"/>
  <c r="HO23" i="1" s="1"/>
  <c r="GR23" i="1"/>
  <c r="GF23" i="1"/>
  <c r="GI23" i="1" s="1"/>
  <c r="GD23" i="1"/>
  <c r="FX23" i="1"/>
  <c r="FQ23" i="1"/>
  <c r="FY23" i="1" s="1"/>
  <c r="EU23" i="1"/>
  <c r="EV23" i="1" s="1"/>
  <c r="CI23" i="1" s="1"/>
  <c r="EO23" i="1"/>
  <c r="EI23" i="1"/>
  <c r="EE23" i="1"/>
  <c r="ED23" i="1"/>
  <c r="DU23" i="1"/>
  <c r="DD23" i="1"/>
  <c r="CD23" i="1"/>
  <c r="AQ23" i="1"/>
  <c r="AD23" i="1"/>
  <c r="W23" i="1" s="1"/>
  <c r="Y23" i="1"/>
  <c r="U23" i="1"/>
  <c r="T23" i="1"/>
  <c r="S23" i="1"/>
  <c r="JQ18" i="1"/>
  <c r="JO18" i="1"/>
  <c r="JP18" i="1" s="1"/>
  <c r="JM18" i="1"/>
  <c r="JJ18" i="1"/>
  <c r="JL18" i="1" s="1"/>
  <c r="JG18" i="1"/>
  <c r="JI18" i="1" s="1"/>
  <c r="JF18" i="1"/>
  <c r="JB18" i="1"/>
  <c r="IZ18" i="1"/>
  <c r="JA18" i="1" s="1"/>
  <c r="IV18" i="1"/>
  <c r="IX18" i="1" s="1"/>
  <c r="IU18" i="1"/>
  <c r="IQ18" i="1"/>
  <c r="IO18" i="1"/>
  <c r="IP18" i="1" s="1"/>
  <c r="IK18" i="1"/>
  <c r="IM18" i="1" s="1"/>
  <c r="IJ18" i="1"/>
  <c r="IB18" i="1"/>
  <c r="HZ18" i="1"/>
  <c r="IA18" i="1" s="1"/>
  <c r="HV18" i="1"/>
  <c r="HX18" i="1" s="1"/>
  <c r="HU18" i="1"/>
  <c r="HS18" i="1"/>
  <c r="HQ18" i="1"/>
  <c r="HR18" i="1" s="1"/>
  <c r="HM18" i="1"/>
  <c r="HO18" i="1" s="1"/>
  <c r="GR18" i="1"/>
  <c r="GF18" i="1"/>
  <c r="FR18" i="1" s="1"/>
  <c r="GD18" i="1"/>
  <c r="FX18" i="1"/>
  <c r="FQ18" i="1"/>
  <c r="EU18" i="1"/>
  <c r="EV18" i="1" s="1"/>
  <c r="EO18" i="1"/>
  <c r="EI18" i="1"/>
  <c r="EE18" i="1"/>
  <c r="EG18" i="1" s="1"/>
  <c r="ED18" i="1"/>
  <c r="DU18" i="1"/>
  <c r="DD18" i="1"/>
  <c r="AQ18" i="1"/>
  <c r="AD18" i="1"/>
  <c r="AL18" i="1" s="1"/>
  <c r="Y18" i="1"/>
  <c r="U18" i="1"/>
  <c r="T18" i="1"/>
  <c r="S18" i="1"/>
  <c r="JQ30" i="1"/>
  <c r="JO30" i="1"/>
  <c r="JP30" i="1" s="1"/>
  <c r="JM30" i="1"/>
  <c r="JH30" i="1"/>
  <c r="JJ30" i="1" s="1"/>
  <c r="JL30" i="1" s="1"/>
  <c r="JF30" i="1"/>
  <c r="JB30" i="1"/>
  <c r="IZ30" i="1"/>
  <c r="JA30" i="1" s="1"/>
  <c r="IV30" i="1"/>
  <c r="IU30" i="1"/>
  <c r="IQ30" i="1"/>
  <c r="IO30" i="1"/>
  <c r="IP30" i="1" s="1"/>
  <c r="IK30" i="1"/>
  <c r="IM30" i="1" s="1"/>
  <c r="IJ30" i="1"/>
  <c r="IB30" i="1"/>
  <c r="HZ30" i="1"/>
  <c r="IA30" i="1" s="1"/>
  <c r="HV30" i="1"/>
  <c r="HX30" i="1" s="1"/>
  <c r="HU30" i="1"/>
  <c r="HS30" i="1"/>
  <c r="HQ30" i="1"/>
  <c r="HR30" i="1" s="1"/>
  <c r="HM30" i="1"/>
  <c r="HO30" i="1" s="1"/>
  <c r="GR30" i="1"/>
  <c r="GF30" i="1"/>
  <c r="FR30" i="1" s="1"/>
  <c r="GD30" i="1"/>
  <c r="FX30" i="1"/>
  <c r="FQ30" i="1"/>
  <c r="FY30" i="1" s="1"/>
  <c r="EO30" i="1"/>
  <c r="EI30" i="1"/>
  <c r="EF30" i="1"/>
  <c r="EE30" i="1"/>
  <c r="EJ30" i="1" s="1"/>
  <c r="ED30" i="1"/>
  <c r="DU30" i="1"/>
  <c r="DD30" i="1"/>
  <c r="CD30" i="1"/>
  <c r="AQ30" i="1"/>
  <c r="AD30" i="1"/>
  <c r="HB30" i="1" s="1"/>
  <c r="Y30" i="1"/>
  <c r="U30" i="1"/>
  <c r="T30" i="1"/>
  <c r="S30" i="1"/>
  <c r="JQ12" i="1"/>
  <c r="JO12" i="1"/>
  <c r="JP12" i="1" s="1"/>
  <c r="JM12" i="1"/>
  <c r="JJ12" i="1"/>
  <c r="JL12" i="1" s="1"/>
  <c r="JG12" i="1"/>
  <c r="JI12" i="1" s="1"/>
  <c r="JF12" i="1"/>
  <c r="JB12" i="1"/>
  <c r="IZ12" i="1"/>
  <c r="JA12" i="1" s="1"/>
  <c r="IV12" i="1"/>
  <c r="IX12" i="1" s="1"/>
  <c r="IU12" i="1"/>
  <c r="IQ12" i="1"/>
  <c r="IO12" i="1"/>
  <c r="IP12" i="1" s="1"/>
  <c r="IK12" i="1"/>
  <c r="IM12" i="1" s="1"/>
  <c r="IJ12" i="1"/>
  <c r="IB12" i="1"/>
  <c r="HZ12" i="1"/>
  <c r="IA12" i="1" s="1"/>
  <c r="HV12" i="1"/>
  <c r="HX12" i="1" s="1"/>
  <c r="HU12" i="1"/>
  <c r="HS12" i="1"/>
  <c r="HQ12" i="1"/>
  <c r="HR12" i="1" s="1"/>
  <c r="HM12" i="1"/>
  <c r="HO12" i="1" s="1"/>
  <c r="GR12" i="1"/>
  <c r="GF12" i="1"/>
  <c r="GI12" i="1" s="1"/>
  <c r="GD12" i="1"/>
  <c r="FX12" i="1"/>
  <c r="FQ12" i="1"/>
  <c r="FY12" i="1" s="1"/>
  <c r="FE12" i="1"/>
  <c r="EI12" i="1"/>
  <c r="EF12" i="1"/>
  <c r="EE12" i="1"/>
  <c r="ED12" i="1"/>
  <c r="DU12" i="1"/>
  <c r="DD12" i="1"/>
  <c r="AQ12" i="1"/>
  <c r="AD12" i="1"/>
  <c r="GC12" i="1" s="1"/>
  <c r="Y12" i="1"/>
  <c r="U12" i="1"/>
  <c r="T12" i="1"/>
  <c r="P12" i="1"/>
  <c r="S12" i="1" s="1"/>
  <c r="JQ17" i="1"/>
  <c r="JO17" i="1"/>
  <c r="JP17" i="1" s="1"/>
  <c r="JM17" i="1"/>
  <c r="JJ17" i="1"/>
  <c r="JL17" i="1" s="1"/>
  <c r="JG17" i="1"/>
  <c r="JI17" i="1" s="1"/>
  <c r="JF17" i="1"/>
  <c r="JB17" i="1"/>
  <c r="IZ17" i="1"/>
  <c r="JA17" i="1" s="1"/>
  <c r="IV17" i="1"/>
  <c r="IX17" i="1" s="1"/>
  <c r="IU17" i="1"/>
  <c r="IQ17" i="1"/>
  <c r="IO17" i="1"/>
  <c r="IP17" i="1" s="1"/>
  <c r="IK17" i="1"/>
  <c r="IM17" i="1" s="1"/>
  <c r="IJ17" i="1"/>
  <c r="IB17" i="1"/>
  <c r="HZ17" i="1"/>
  <c r="IA17" i="1" s="1"/>
  <c r="HV17" i="1"/>
  <c r="HX17" i="1" s="1"/>
  <c r="HU17" i="1"/>
  <c r="HS17" i="1"/>
  <c r="HQ17" i="1"/>
  <c r="HR17" i="1" s="1"/>
  <c r="HM17" i="1"/>
  <c r="HO17" i="1" s="1"/>
  <c r="GR17" i="1"/>
  <c r="GF17" i="1"/>
  <c r="GI17" i="1" s="1"/>
  <c r="GD17" i="1"/>
  <c r="FX17" i="1"/>
  <c r="FQ17" i="1"/>
  <c r="FY17" i="1" s="1"/>
  <c r="FE17" i="1"/>
  <c r="EI17" i="1"/>
  <c r="EF17" i="1"/>
  <c r="EE17" i="1"/>
  <c r="ED17" i="1"/>
  <c r="DU17" i="1"/>
  <c r="DD17" i="1"/>
  <c r="AD17" i="1"/>
  <c r="GZ17" i="1" s="1"/>
  <c r="JQ16" i="1"/>
  <c r="JO16" i="1"/>
  <c r="JP16" i="1" s="1"/>
  <c r="JM16" i="1"/>
  <c r="JJ16" i="1"/>
  <c r="JL16" i="1" s="1"/>
  <c r="JG16" i="1"/>
  <c r="JI16" i="1" s="1"/>
  <c r="JF16" i="1"/>
  <c r="JB16" i="1"/>
  <c r="IZ16" i="1"/>
  <c r="JA16" i="1" s="1"/>
  <c r="IV16" i="1"/>
  <c r="IX16" i="1" s="1"/>
  <c r="IU16" i="1"/>
  <c r="IQ16" i="1"/>
  <c r="IO16" i="1"/>
  <c r="IP16" i="1" s="1"/>
  <c r="IK16" i="1"/>
  <c r="IM16" i="1" s="1"/>
  <c r="IJ16" i="1"/>
  <c r="IB16" i="1"/>
  <c r="HZ16" i="1"/>
  <c r="IA16" i="1" s="1"/>
  <c r="HV16" i="1"/>
  <c r="HX16" i="1" s="1"/>
  <c r="HU16" i="1"/>
  <c r="HS16" i="1"/>
  <c r="HQ16" i="1"/>
  <c r="HR16" i="1" s="1"/>
  <c r="HM16" i="1"/>
  <c r="HO16" i="1" s="1"/>
  <c r="GR16" i="1"/>
  <c r="GF16" i="1"/>
  <c r="FR16" i="1" s="1"/>
  <c r="HG16" i="1" s="1"/>
  <c r="GD16" i="1"/>
  <c r="FX16" i="1"/>
  <c r="FQ16" i="1"/>
  <c r="FE16" i="1"/>
  <c r="EI16" i="1"/>
  <c r="EF16" i="1"/>
  <c r="EE16" i="1"/>
  <c r="EG16" i="1" s="1"/>
  <c r="ED16" i="1"/>
  <c r="DU16" i="1"/>
  <c r="DD16" i="1"/>
  <c r="AQ16" i="1"/>
  <c r="AD16" i="1"/>
  <c r="GC16" i="1" s="1"/>
  <c r="Y16" i="1"/>
  <c r="U16" i="1"/>
  <c r="T16" i="1"/>
  <c r="P16" i="1"/>
  <c r="S16" i="1" s="1"/>
  <c r="JQ21" i="1"/>
  <c r="JO21" i="1"/>
  <c r="JP21" i="1" s="1"/>
  <c r="JM21" i="1"/>
  <c r="JJ21" i="1"/>
  <c r="JL21" i="1" s="1"/>
  <c r="JG21" i="1"/>
  <c r="JI21" i="1" s="1"/>
  <c r="JF21" i="1"/>
  <c r="JB21" i="1"/>
  <c r="IZ21" i="1"/>
  <c r="JA21" i="1" s="1"/>
  <c r="IV21" i="1"/>
  <c r="IX21" i="1" s="1"/>
  <c r="IU21" i="1"/>
  <c r="IQ21" i="1"/>
  <c r="IO21" i="1"/>
  <c r="IP21" i="1" s="1"/>
  <c r="IK21" i="1"/>
  <c r="IM21" i="1" s="1"/>
  <c r="IJ21" i="1"/>
  <c r="IB21" i="1"/>
  <c r="HZ21" i="1"/>
  <c r="IA21" i="1" s="1"/>
  <c r="HV21" i="1"/>
  <c r="HX21" i="1" s="1"/>
  <c r="HU21" i="1"/>
  <c r="HS21" i="1"/>
  <c r="HQ21" i="1"/>
  <c r="HR21" i="1" s="1"/>
  <c r="HM21" i="1"/>
  <c r="HO21" i="1" s="1"/>
  <c r="GR21" i="1"/>
  <c r="GF21" i="1"/>
  <c r="GI21" i="1" s="1"/>
  <c r="GD21" i="1"/>
  <c r="FX21" i="1"/>
  <c r="FQ21" i="1"/>
  <c r="FY21" i="1" s="1"/>
  <c r="EI21" i="1"/>
  <c r="EF21" i="1"/>
  <c r="EE21" i="1"/>
  <c r="ED21" i="1"/>
  <c r="DU21" i="1"/>
  <c r="DD21" i="1"/>
  <c r="AQ21" i="1"/>
  <c r="AD21" i="1"/>
  <c r="GC21" i="1" s="1"/>
  <c r="Y21" i="1"/>
  <c r="U21" i="1"/>
  <c r="T21" i="1"/>
  <c r="S21" i="1"/>
  <c r="JQ14" i="1"/>
  <c r="JO14" i="1"/>
  <c r="JP14" i="1" s="1"/>
  <c r="JM14" i="1"/>
  <c r="JJ14" i="1"/>
  <c r="JL14" i="1" s="1"/>
  <c r="JG14" i="1"/>
  <c r="JI14" i="1" s="1"/>
  <c r="JF14" i="1"/>
  <c r="JB14" i="1"/>
  <c r="IZ14" i="1"/>
  <c r="JA14" i="1" s="1"/>
  <c r="IV14" i="1"/>
  <c r="IX14" i="1" s="1"/>
  <c r="IU14" i="1"/>
  <c r="IQ14" i="1"/>
  <c r="IO14" i="1"/>
  <c r="IP14" i="1" s="1"/>
  <c r="IK14" i="1"/>
  <c r="IM14" i="1" s="1"/>
  <c r="IJ14" i="1"/>
  <c r="IB14" i="1"/>
  <c r="HZ14" i="1"/>
  <c r="IA14" i="1" s="1"/>
  <c r="HV14" i="1"/>
  <c r="HX14" i="1" s="1"/>
  <c r="HU14" i="1"/>
  <c r="HS14" i="1"/>
  <c r="HQ14" i="1"/>
  <c r="HR14" i="1" s="1"/>
  <c r="HM14" i="1"/>
  <c r="HO14" i="1" s="1"/>
  <c r="GR14" i="1"/>
  <c r="GL14" i="1"/>
  <c r="GF14" i="1"/>
  <c r="FR14" i="1" s="1"/>
  <c r="GD14" i="1"/>
  <c r="FX14" i="1"/>
  <c r="FQ14" i="1"/>
  <c r="FY14" i="1" s="1"/>
  <c r="EO14" i="1"/>
  <c r="EI14" i="1"/>
  <c r="EF14" i="1"/>
  <c r="EE14" i="1"/>
  <c r="ED14" i="1"/>
  <c r="DU14" i="1"/>
  <c r="DD14" i="1"/>
  <c r="AP14" i="1"/>
  <c r="AQ14" i="1" s="1"/>
  <c r="AD14" i="1"/>
  <c r="HB14" i="1" s="1"/>
  <c r="Y14" i="1"/>
  <c r="U14" i="1"/>
  <c r="T14" i="1"/>
  <c r="S14" i="1"/>
  <c r="JQ22" i="1"/>
  <c r="JO22" i="1"/>
  <c r="JP22" i="1" s="1"/>
  <c r="JM22" i="1"/>
  <c r="JJ22" i="1"/>
  <c r="JL22" i="1" s="1"/>
  <c r="JG22" i="1"/>
  <c r="JI22" i="1" s="1"/>
  <c r="JF22" i="1"/>
  <c r="JB22" i="1"/>
  <c r="IZ22" i="1"/>
  <c r="JA22" i="1" s="1"/>
  <c r="IV22" i="1"/>
  <c r="IX22" i="1" s="1"/>
  <c r="IU22" i="1"/>
  <c r="IQ22" i="1"/>
  <c r="IO22" i="1"/>
  <c r="IP22" i="1" s="1"/>
  <c r="IK22" i="1"/>
  <c r="IM22" i="1" s="1"/>
  <c r="IJ22" i="1"/>
  <c r="IB22" i="1"/>
  <c r="HZ22" i="1"/>
  <c r="IA22" i="1" s="1"/>
  <c r="HV22" i="1"/>
  <c r="HX22" i="1" s="1"/>
  <c r="HU22" i="1"/>
  <c r="HS22" i="1"/>
  <c r="HQ22" i="1"/>
  <c r="HR22" i="1" s="1"/>
  <c r="HM22" i="1"/>
  <c r="HO22" i="1" s="1"/>
  <c r="GL22" i="1"/>
  <c r="GR22" i="1" s="1"/>
  <c r="GF22" i="1"/>
  <c r="GI22" i="1" s="1"/>
  <c r="GD22" i="1"/>
  <c r="FX22" i="1"/>
  <c r="FQ22" i="1"/>
  <c r="FY22" i="1" s="1"/>
  <c r="EO22" i="1"/>
  <c r="EI22" i="1"/>
  <c r="EF22" i="1"/>
  <c r="EE22" i="1"/>
  <c r="ED22" i="1"/>
  <c r="DU22" i="1"/>
  <c r="DD22" i="1"/>
  <c r="AQ22" i="1"/>
  <c r="AD22" i="1"/>
  <c r="Y22" i="1"/>
  <c r="U22" i="1"/>
  <c r="T22" i="1"/>
  <c r="S22" i="1"/>
  <c r="JQ31" i="1"/>
  <c r="JO31" i="1"/>
  <c r="JP31" i="1" s="1"/>
  <c r="JM31" i="1"/>
  <c r="JJ31" i="1"/>
  <c r="JL31" i="1" s="1"/>
  <c r="JG31" i="1"/>
  <c r="JI31" i="1" s="1"/>
  <c r="JF31" i="1"/>
  <c r="JB31" i="1"/>
  <c r="IZ31" i="1"/>
  <c r="JA31" i="1" s="1"/>
  <c r="IV31" i="1"/>
  <c r="IX31" i="1" s="1"/>
  <c r="IU31" i="1"/>
  <c r="IQ31" i="1"/>
  <c r="IO31" i="1"/>
  <c r="IP31" i="1" s="1"/>
  <c r="IK31" i="1"/>
  <c r="IM31" i="1" s="1"/>
  <c r="IJ31" i="1"/>
  <c r="IB31" i="1"/>
  <c r="HZ31" i="1"/>
  <c r="IA31" i="1" s="1"/>
  <c r="HX31" i="1"/>
  <c r="HU31" i="1"/>
  <c r="HS31" i="1"/>
  <c r="HQ31" i="1"/>
  <c r="HR31" i="1" s="1"/>
  <c r="HO31" i="1"/>
  <c r="GR31" i="1"/>
  <c r="GF31" i="1"/>
  <c r="GI31" i="1" s="1"/>
  <c r="GD31" i="1"/>
  <c r="FX31" i="1"/>
  <c r="FQ31" i="1"/>
  <c r="FY31" i="1" s="1"/>
  <c r="FE31" i="1"/>
  <c r="EO31" i="1"/>
  <c r="EI31" i="1"/>
  <c r="EF31" i="1"/>
  <c r="EE31" i="1"/>
  <c r="ED31" i="1"/>
  <c r="DU31" i="1"/>
  <c r="DD31" i="1"/>
  <c r="CD31" i="1"/>
  <c r="AD31" i="1"/>
  <c r="GZ31" i="1" s="1"/>
  <c r="U31" i="1"/>
  <c r="O31" i="1"/>
  <c r="Y31" i="1" s="1"/>
  <c r="JQ20" i="1"/>
  <c r="JO20" i="1"/>
  <c r="JP20" i="1" s="1"/>
  <c r="JM20" i="1"/>
  <c r="JJ20" i="1"/>
  <c r="JL20" i="1" s="1"/>
  <c r="JG20" i="1"/>
  <c r="JI20" i="1" s="1"/>
  <c r="JF20" i="1"/>
  <c r="JB20" i="1"/>
  <c r="IZ20" i="1"/>
  <c r="JA20" i="1" s="1"/>
  <c r="IV20" i="1"/>
  <c r="IX20" i="1" s="1"/>
  <c r="IU20" i="1"/>
  <c r="IQ20" i="1"/>
  <c r="IO20" i="1"/>
  <c r="IP20" i="1" s="1"/>
  <c r="IK20" i="1"/>
  <c r="IM20" i="1" s="1"/>
  <c r="IJ20" i="1"/>
  <c r="IB20" i="1"/>
  <c r="HZ20" i="1"/>
  <c r="IA20" i="1" s="1"/>
  <c r="HV20" i="1"/>
  <c r="HX20" i="1" s="1"/>
  <c r="HU20" i="1"/>
  <c r="HS20" i="1"/>
  <c r="HQ20" i="1"/>
  <c r="HR20" i="1" s="1"/>
  <c r="HM20" i="1"/>
  <c r="HO20" i="1" s="1"/>
  <c r="GR20" i="1"/>
  <c r="GF20" i="1"/>
  <c r="GD20" i="1"/>
  <c r="FX20" i="1"/>
  <c r="FQ20" i="1"/>
  <c r="FY20" i="1" s="1"/>
  <c r="EO20" i="1"/>
  <c r="EI20" i="1"/>
  <c r="EF20" i="1"/>
  <c r="EE20" i="1"/>
  <c r="EG20" i="1" s="1"/>
  <c r="ED20" i="1"/>
  <c r="DU20" i="1"/>
  <c r="DD20" i="1"/>
  <c r="AQ20" i="1"/>
  <c r="AD20" i="1"/>
  <c r="GZ20" i="1" s="1"/>
  <c r="Y20" i="1"/>
  <c r="U20" i="1"/>
  <c r="T20" i="1"/>
  <c r="P20" i="1"/>
  <c r="S20" i="1" s="1"/>
  <c r="JQ15" i="1"/>
  <c r="JO15" i="1"/>
  <c r="JP15" i="1" s="1"/>
  <c r="JM15" i="1"/>
  <c r="JJ15" i="1"/>
  <c r="JL15" i="1" s="1"/>
  <c r="JG15" i="1"/>
  <c r="JI15" i="1" s="1"/>
  <c r="JF15" i="1"/>
  <c r="JB15" i="1"/>
  <c r="IZ15" i="1"/>
  <c r="JA15" i="1" s="1"/>
  <c r="IV15" i="1"/>
  <c r="IX15" i="1" s="1"/>
  <c r="IU15" i="1"/>
  <c r="IQ15" i="1"/>
  <c r="IO15" i="1"/>
  <c r="IP15" i="1" s="1"/>
  <c r="IK15" i="1"/>
  <c r="IM15" i="1" s="1"/>
  <c r="IJ15" i="1"/>
  <c r="IB15" i="1"/>
  <c r="HZ15" i="1"/>
  <c r="IA15" i="1" s="1"/>
  <c r="HV15" i="1"/>
  <c r="HX15" i="1" s="1"/>
  <c r="HU15" i="1"/>
  <c r="HS15" i="1"/>
  <c r="HQ15" i="1"/>
  <c r="HR15" i="1" s="1"/>
  <c r="HM15" i="1"/>
  <c r="HO15" i="1" s="1"/>
  <c r="GR15" i="1"/>
  <c r="GF15" i="1"/>
  <c r="GI15" i="1" s="1"/>
  <c r="GD15" i="1"/>
  <c r="FX15" i="1"/>
  <c r="FQ15" i="1"/>
  <c r="FY15" i="1" s="1"/>
  <c r="FE15" i="1"/>
  <c r="EI15" i="1"/>
  <c r="EF15" i="1"/>
  <c r="EE15" i="1"/>
  <c r="EG15" i="1" s="1"/>
  <c r="ED15" i="1"/>
  <c r="DU15" i="1"/>
  <c r="DD15" i="1"/>
  <c r="AQ15" i="1"/>
  <c r="AD15" i="1"/>
  <c r="Y15" i="1"/>
  <c r="U15" i="1"/>
  <c r="T15" i="1"/>
  <c r="S15" i="1"/>
  <c r="JQ19" i="1"/>
  <c r="JO19" i="1"/>
  <c r="JP19" i="1" s="1"/>
  <c r="JM19" i="1"/>
  <c r="JJ19" i="1"/>
  <c r="JL19" i="1" s="1"/>
  <c r="JG19" i="1"/>
  <c r="JI19" i="1" s="1"/>
  <c r="JF19" i="1"/>
  <c r="JB19" i="1"/>
  <c r="IZ19" i="1"/>
  <c r="JA19" i="1" s="1"/>
  <c r="IV19" i="1"/>
  <c r="IX19" i="1" s="1"/>
  <c r="IU19" i="1"/>
  <c r="IQ19" i="1"/>
  <c r="IO19" i="1"/>
  <c r="IP19" i="1" s="1"/>
  <c r="IK19" i="1"/>
  <c r="IM19" i="1" s="1"/>
  <c r="IJ19" i="1"/>
  <c r="IB19" i="1"/>
  <c r="HZ19" i="1"/>
  <c r="IA19" i="1" s="1"/>
  <c r="HV19" i="1"/>
  <c r="HX19" i="1" s="1"/>
  <c r="HU19" i="1"/>
  <c r="HS19" i="1"/>
  <c r="HQ19" i="1"/>
  <c r="HR19" i="1" s="1"/>
  <c r="HM19" i="1"/>
  <c r="HO19" i="1" s="1"/>
  <c r="GR19" i="1"/>
  <c r="GF19" i="1"/>
  <c r="GI19" i="1" s="1"/>
  <c r="GD19" i="1"/>
  <c r="FX19" i="1"/>
  <c r="FQ19" i="1"/>
  <c r="FY19" i="1" s="1"/>
  <c r="FE19" i="1"/>
  <c r="EI19" i="1"/>
  <c r="EF19" i="1"/>
  <c r="EE19" i="1"/>
  <c r="ED19" i="1"/>
  <c r="DU19" i="1"/>
  <c r="DD19" i="1"/>
  <c r="AQ19" i="1"/>
  <c r="AD19" i="1"/>
  <c r="Y19" i="1"/>
  <c r="U19" i="1"/>
  <c r="T19" i="1"/>
  <c r="S19" i="1"/>
  <c r="JQ11" i="1"/>
  <c r="JO11" i="1"/>
  <c r="JP11" i="1" s="1"/>
  <c r="JM11" i="1"/>
  <c r="JJ11" i="1"/>
  <c r="JL11" i="1" s="1"/>
  <c r="JG11" i="1"/>
  <c r="JI11" i="1" s="1"/>
  <c r="JF11" i="1"/>
  <c r="JB11" i="1"/>
  <c r="IZ11" i="1"/>
  <c r="JA11" i="1" s="1"/>
  <c r="IV11" i="1"/>
  <c r="IX11" i="1" s="1"/>
  <c r="IU11" i="1"/>
  <c r="IQ11" i="1"/>
  <c r="IO11" i="1"/>
  <c r="IP11" i="1" s="1"/>
  <c r="IK11" i="1"/>
  <c r="IM11" i="1" s="1"/>
  <c r="IJ11" i="1"/>
  <c r="IB11" i="1"/>
  <c r="HZ11" i="1"/>
  <c r="IA11" i="1" s="1"/>
  <c r="HV11" i="1"/>
  <c r="HX11" i="1" s="1"/>
  <c r="HU11" i="1"/>
  <c r="HS11" i="1"/>
  <c r="HQ11" i="1"/>
  <c r="HR11" i="1" s="1"/>
  <c r="HM11" i="1"/>
  <c r="HO11" i="1" s="1"/>
  <c r="GL11" i="1"/>
  <c r="GR11" i="1" s="1"/>
  <c r="GF11" i="1"/>
  <c r="GI11" i="1" s="1"/>
  <c r="GD11" i="1"/>
  <c r="FX11" i="1"/>
  <c r="FQ11" i="1"/>
  <c r="FY11" i="1" s="1"/>
  <c r="FE11" i="1"/>
  <c r="EI11" i="1"/>
  <c r="EF11" i="1"/>
  <c r="EE11" i="1"/>
  <c r="ED11" i="1"/>
  <c r="DU11" i="1"/>
  <c r="DD11" i="1"/>
  <c r="AQ11" i="1"/>
  <c r="AO11" i="1"/>
  <c r="AD11" i="1"/>
  <c r="Y11" i="1"/>
  <c r="U11" i="1"/>
  <c r="T11" i="1"/>
  <c r="S11" i="1"/>
  <c r="JQ13" i="1"/>
  <c r="JO13" i="1"/>
  <c r="JP13" i="1" s="1"/>
  <c r="JM13" i="1"/>
  <c r="JJ13" i="1"/>
  <c r="JL13" i="1" s="1"/>
  <c r="JG13" i="1"/>
  <c r="JI13" i="1" s="1"/>
  <c r="JF13" i="1"/>
  <c r="JB13" i="1"/>
  <c r="IZ13" i="1"/>
  <c r="JA13" i="1" s="1"/>
  <c r="IV13" i="1"/>
  <c r="IX13" i="1" s="1"/>
  <c r="IU13" i="1"/>
  <c r="IQ13" i="1"/>
  <c r="IO13" i="1"/>
  <c r="IP13" i="1" s="1"/>
  <c r="IK13" i="1"/>
  <c r="IM13" i="1" s="1"/>
  <c r="IJ13" i="1"/>
  <c r="IB13" i="1"/>
  <c r="HZ13" i="1"/>
  <c r="IA13" i="1" s="1"/>
  <c r="HV13" i="1"/>
  <c r="HX13" i="1" s="1"/>
  <c r="HU13" i="1"/>
  <c r="HS13" i="1"/>
  <c r="HQ13" i="1"/>
  <c r="HR13" i="1" s="1"/>
  <c r="HM13" i="1"/>
  <c r="HO13" i="1" s="1"/>
  <c r="GL13" i="1"/>
  <c r="GR13" i="1" s="1"/>
  <c r="GF13" i="1"/>
  <c r="GI13" i="1" s="1"/>
  <c r="GD13" i="1"/>
  <c r="FX13" i="1"/>
  <c r="FQ13" i="1"/>
  <c r="FY13" i="1" s="1"/>
  <c r="EI13" i="1"/>
  <c r="EF13" i="1"/>
  <c r="EE13" i="1"/>
  <c r="ED13" i="1"/>
  <c r="DU13" i="1"/>
  <c r="DD13" i="1"/>
  <c r="AQ13" i="1"/>
  <c r="AD13" i="1"/>
  <c r="GZ13" i="1" s="1"/>
  <c r="Y13" i="1"/>
  <c r="U13" i="1"/>
  <c r="T13" i="1"/>
  <c r="S13" i="1"/>
  <c r="JQ5" i="1"/>
  <c r="JO5" i="1"/>
  <c r="JP5" i="1" s="1"/>
  <c r="JM5" i="1"/>
  <c r="JJ5" i="1"/>
  <c r="JL5" i="1" s="1"/>
  <c r="JG5" i="1"/>
  <c r="JI5" i="1" s="1"/>
  <c r="JF5" i="1"/>
  <c r="JB5" i="1"/>
  <c r="IZ5" i="1"/>
  <c r="JA5" i="1" s="1"/>
  <c r="IX5" i="1"/>
  <c r="IU5" i="1"/>
  <c r="IQ5" i="1"/>
  <c r="IO5" i="1"/>
  <c r="IP5" i="1" s="1"/>
  <c r="IM5" i="1"/>
  <c r="IJ5" i="1"/>
  <c r="IB5" i="1"/>
  <c r="HZ5" i="1"/>
  <c r="IA5" i="1" s="1"/>
  <c r="HV5" i="1"/>
  <c r="HX5" i="1" s="1"/>
  <c r="HU5" i="1"/>
  <c r="HS5" i="1"/>
  <c r="HQ5" i="1"/>
  <c r="HR5" i="1" s="1"/>
  <c r="HM5" i="1"/>
  <c r="HO5" i="1" s="1"/>
  <c r="GR5" i="1"/>
  <c r="GF5" i="1"/>
  <c r="GI5" i="1" s="1"/>
  <c r="GD5" i="1"/>
  <c r="FY5" i="1"/>
  <c r="FX5" i="1"/>
  <c r="FE5" i="1"/>
  <c r="EF5" i="1"/>
  <c r="EE5" i="1"/>
  <c r="EJ5" i="1" s="1"/>
  <c r="ED5" i="1"/>
  <c r="DU5" i="1"/>
  <c r="AQ5" i="1"/>
  <c r="AD5" i="1"/>
  <c r="HB5" i="1" s="1"/>
  <c r="Y5" i="1"/>
  <c r="U5" i="1"/>
  <c r="T5" i="1"/>
  <c r="P5" i="1"/>
  <c r="S5" i="1" s="1"/>
  <c r="JQ4" i="1"/>
  <c r="JO4" i="1"/>
  <c r="JP4" i="1" s="1"/>
  <c r="JM4" i="1"/>
  <c r="JJ4" i="1"/>
  <c r="JL4" i="1" s="1"/>
  <c r="JG4" i="1"/>
  <c r="JI4" i="1" s="1"/>
  <c r="JF4" i="1"/>
  <c r="JB4" i="1"/>
  <c r="IZ4" i="1"/>
  <c r="JA4" i="1" s="1"/>
  <c r="IX4" i="1"/>
  <c r="IU4" i="1"/>
  <c r="IQ4" i="1"/>
  <c r="IO4" i="1"/>
  <c r="IP4" i="1" s="1"/>
  <c r="IM4" i="1"/>
  <c r="IJ4" i="1"/>
  <c r="IB4" i="1"/>
  <c r="HZ4" i="1"/>
  <c r="IA4" i="1" s="1"/>
  <c r="HV4" i="1"/>
  <c r="HX4" i="1" s="1"/>
  <c r="HU4" i="1"/>
  <c r="HS4" i="1"/>
  <c r="HQ4" i="1"/>
  <c r="HR4" i="1" s="1"/>
  <c r="HM4" i="1"/>
  <c r="HO4" i="1" s="1"/>
  <c r="GR4" i="1"/>
  <c r="GF4" i="1"/>
  <c r="GI4" i="1" s="1"/>
  <c r="GD4" i="1"/>
  <c r="FY4" i="1"/>
  <c r="FX4" i="1"/>
  <c r="FE4" i="1"/>
  <c r="EF4" i="1"/>
  <c r="EE4" i="1"/>
  <c r="EG4" i="1" s="1"/>
  <c r="ED4" i="1"/>
  <c r="DU4" i="1"/>
  <c r="AQ4" i="1"/>
  <c r="AD4" i="1"/>
  <c r="GS4" i="1" s="1"/>
  <c r="JQ3" i="1"/>
  <c r="JO3" i="1"/>
  <c r="JP3" i="1" s="1"/>
  <c r="JM3" i="1"/>
  <c r="JJ3" i="1"/>
  <c r="JL3" i="1" s="1"/>
  <c r="JG3" i="1"/>
  <c r="JI3" i="1" s="1"/>
  <c r="JF3" i="1"/>
  <c r="JB3" i="1"/>
  <c r="IZ3" i="1"/>
  <c r="JA3" i="1" s="1"/>
  <c r="IX3" i="1"/>
  <c r="IU3" i="1"/>
  <c r="IQ3" i="1"/>
  <c r="IO3" i="1"/>
  <c r="IP3" i="1" s="1"/>
  <c r="IM3" i="1"/>
  <c r="IJ3" i="1"/>
  <c r="IB3" i="1"/>
  <c r="HZ3" i="1"/>
  <c r="IA3" i="1" s="1"/>
  <c r="HV3" i="1"/>
  <c r="HX3" i="1" s="1"/>
  <c r="HU3" i="1"/>
  <c r="HS3" i="1"/>
  <c r="HQ3" i="1"/>
  <c r="HR3" i="1" s="1"/>
  <c r="HM3" i="1"/>
  <c r="HO3" i="1" s="1"/>
  <c r="GR3" i="1"/>
  <c r="GF3" i="1"/>
  <c r="FR3" i="1" s="1"/>
  <c r="GD3" i="1"/>
  <c r="FY3" i="1"/>
  <c r="FX3" i="1"/>
  <c r="FE3" i="1"/>
  <c r="EF3" i="1"/>
  <c r="EE3" i="1"/>
  <c r="EJ3" i="1" s="1"/>
  <c r="ED3" i="1"/>
  <c r="DU3" i="1"/>
  <c r="AQ3" i="1"/>
  <c r="AD3" i="1"/>
  <c r="GZ3" i="1" s="1"/>
  <c r="T3" i="1"/>
  <c r="P3" i="1"/>
  <c r="JQ6" i="1"/>
  <c r="JO6" i="1"/>
  <c r="JP6" i="1" s="1"/>
  <c r="JM6" i="1"/>
  <c r="JJ6" i="1"/>
  <c r="JL6" i="1" s="1"/>
  <c r="JG6" i="1"/>
  <c r="JI6" i="1" s="1"/>
  <c r="JF6" i="1"/>
  <c r="JB6" i="1"/>
  <c r="IZ6" i="1"/>
  <c r="JA6" i="1" s="1"/>
  <c r="IX6" i="1"/>
  <c r="IU6" i="1"/>
  <c r="IQ6" i="1"/>
  <c r="IO6" i="1"/>
  <c r="IP6" i="1" s="1"/>
  <c r="IM6" i="1"/>
  <c r="IJ6" i="1"/>
  <c r="IB6" i="1"/>
  <c r="HZ6" i="1"/>
  <c r="IA6" i="1" s="1"/>
  <c r="HV6" i="1"/>
  <c r="HX6" i="1" s="1"/>
  <c r="HU6" i="1"/>
  <c r="HS6" i="1"/>
  <c r="HQ6" i="1"/>
  <c r="HR6" i="1" s="1"/>
  <c r="HM6" i="1"/>
  <c r="HO6" i="1" s="1"/>
  <c r="GR6" i="1"/>
  <c r="GF6" i="1"/>
  <c r="GI6" i="1" s="1"/>
  <c r="GD6" i="1"/>
  <c r="FY6" i="1"/>
  <c r="FX6" i="1"/>
  <c r="FE6" i="1"/>
  <c r="EF6" i="1"/>
  <c r="EE6" i="1"/>
  <c r="EJ6" i="1" s="1"/>
  <c r="ED6" i="1"/>
  <c r="DU6" i="1"/>
  <c r="AQ6" i="1"/>
  <c r="AD6" i="1"/>
  <c r="GZ6" i="1" s="1"/>
  <c r="Y6" i="1"/>
  <c r="U6" i="1"/>
  <c r="T6" i="1"/>
  <c r="P6" i="1"/>
  <c r="S6" i="1" s="1"/>
  <c r="JQ8" i="1"/>
  <c r="JO8" i="1"/>
  <c r="JP8" i="1" s="1"/>
  <c r="JM8" i="1"/>
  <c r="JJ8" i="1"/>
  <c r="JL8" i="1" s="1"/>
  <c r="JG8" i="1"/>
  <c r="JI8" i="1" s="1"/>
  <c r="JF8" i="1"/>
  <c r="JB8" i="1"/>
  <c r="IZ8" i="1"/>
  <c r="JA8" i="1" s="1"/>
  <c r="IV8" i="1"/>
  <c r="IX8" i="1" s="1"/>
  <c r="IU8" i="1"/>
  <c r="IQ8" i="1"/>
  <c r="IO8" i="1"/>
  <c r="IP8" i="1" s="1"/>
  <c r="IK8" i="1"/>
  <c r="IM8" i="1" s="1"/>
  <c r="IJ8" i="1"/>
  <c r="IB8" i="1"/>
  <c r="HZ8" i="1"/>
  <c r="IA8" i="1" s="1"/>
  <c r="HV8" i="1"/>
  <c r="HX8" i="1" s="1"/>
  <c r="HU8" i="1"/>
  <c r="HS8" i="1"/>
  <c r="HQ8" i="1"/>
  <c r="HR8" i="1" s="1"/>
  <c r="HM8" i="1"/>
  <c r="HO8" i="1" s="1"/>
  <c r="GL8" i="1"/>
  <c r="GR8" i="1" s="1"/>
  <c r="GF8" i="1"/>
  <c r="GI8" i="1" s="1"/>
  <c r="GD8" i="1"/>
  <c r="FY8" i="1"/>
  <c r="FX8" i="1"/>
  <c r="FE8" i="1"/>
  <c r="EF8" i="1"/>
  <c r="EE8" i="1"/>
  <c r="EJ8" i="1" s="1"/>
  <c r="ED8" i="1"/>
  <c r="DU8" i="1"/>
  <c r="AQ8" i="1"/>
  <c r="AO8" i="1"/>
  <c r="AD8" i="1"/>
  <c r="W8" i="1" s="1"/>
  <c r="Y8" i="1"/>
  <c r="U8" i="1"/>
  <c r="T8" i="1"/>
  <c r="S8" i="1"/>
  <c r="JQ7" i="1"/>
  <c r="JO7" i="1"/>
  <c r="JP7" i="1" s="1"/>
  <c r="JM7" i="1"/>
  <c r="JJ7" i="1"/>
  <c r="JL7" i="1" s="1"/>
  <c r="JG7" i="1"/>
  <c r="JI7" i="1" s="1"/>
  <c r="JF7" i="1"/>
  <c r="JB7" i="1"/>
  <c r="IZ7" i="1"/>
  <c r="JA7" i="1" s="1"/>
  <c r="IV7" i="1"/>
  <c r="IX7" i="1" s="1"/>
  <c r="IU7" i="1"/>
  <c r="IQ7" i="1"/>
  <c r="IO7" i="1"/>
  <c r="IP7" i="1" s="1"/>
  <c r="IK7" i="1"/>
  <c r="IM7" i="1" s="1"/>
  <c r="IJ7" i="1"/>
  <c r="IB7" i="1"/>
  <c r="HZ7" i="1"/>
  <c r="IA7" i="1" s="1"/>
  <c r="HV7" i="1"/>
  <c r="HX7" i="1" s="1"/>
  <c r="HU7" i="1"/>
  <c r="HS7" i="1"/>
  <c r="HQ7" i="1"/>
  <c r="HR7" i="1" s="1"/>
  <c r="HM7" i="1"/>
  <c r="HO7" i="1" s="1"/>
  <c r="GL7" i="1"/>
  <c r="GR7" i="1" s="1"/>
  <c r="GF7" i="1"/>
  <c r="GI7" i="1" s="1"/>
  <c r="GD7" i="1"/>
  <c r="FY7" i="1"/>
  <c r="FX7" i="1"/>
  <c r="FE7" i="1"/>
  <c r="EF7" i="1"/>
  <c r="EE7" i="1"/>
  <c r="EG7" i="1" s="1"/>
  <c r="ED7" i="1"/>
  <c r="DU7" i="1"/>
  <c r="AD7" i="1"/>
  <c r="JQ10" i="1"/>
  <c r="JO10" i="1"/>
  <c r="JP10" i="1" s="1"/>
  <c r="JM10" i="1"/>
  <c r="JJ10" i="1"/>
  <c r="JL10" i="1" s="1"/>
  <c r="JG10" i="1"/>
  <c r="JI10" i="1" s="1"/>
  <c r="JF10" i="1"/>
  <c r="JB10" i="1"/>
  <c r="IZ10" i="1"/>
  <c r="JA10" i="1" s="1"/>
  <c r="IV10" i="1"/>
  <c r="IX10" i="1" s="1"/>
  <c r="IU10" i="1"/>
  <c r="IQ10" i="1"/>
  <c r="IO10" i="1"/>
  <c r="IP10" i="1" s="1"/>
  <c r="IK10" i="1"/>
  <c r="IM10" i="1" s="1"/>
  <c r="IJ10" i="1"/>
  <c r="IB10" i="1"/>
  <c r="HZ10" i="1"/>
  <c r="IA10" i="1" s="1"/>
  <c r="HV10" i="1"/>
  <c r="HX10" i="1" s="1"/>
  <c r="HU10" i="1"/>
  <c r="HS10" i="1"/>
  <c r="HQ10" i="1"/>
  <c r="HR10" i="1" s="1"/>
  <c r="HM10" i="1"/>
  <c r="HO10" i="1" s="1"/>
  <c r="GL10" i="1"/>
  <c r="GR10" i="1" s="1"/>
  <c r="GF10" i="1"/>
  <c r="GI10" i="1" s="1"/>
  <c r="GD10" i="1"/>
  <c r="FY10" i="1"/>
  <c r="FX10" i="1"/>
  <c r="FE10" i="1"/>
  <c r="EF10" i="1"/>
  <c r="EE10" i="1"/>
  <c r="EJ10" i="1" s="1"/>
  <c r="ED10" i="1"/>
  <c r="AD10" i="1"/>
  <c r="GS10" i="1" s="1"/>
  <c r="U10" i="1"/>
  <c r="S10" i="1"/>
  <c r="O10" i="1"/>
  <c r="Y10" i="1" s="1"/>
  <c r="JQ9" i="1"/>
  <c r="JO9" i="1"/>
  <c r="JP9" i="1" s="1"/>
  <c r="JM9" i="1"/>
  <c r="JJ9" i="1"/>
  <c r="JL9" i="1" s="1"/>
  <c r="JG9" i="1"/>
  <c r="JI9" i="1" s="1"/>
  <c r="JF9" i="1"/>
  <c r="JB9" i="1"/>
  <c r="IZ9" i="1"/>
  <c r="JA9" i="1" s="1"/>
  <c r="IV9" i="1"/>
  <c r="IX9" i="1" s="1"/>
  <c r="IU9" i="1"/>
  <c r="IQ9" i="1"/>
  <c r="IO9" i="1"/>
  <c r="IP9" i="1" s="1"/>
  <c r="IK9" i="1"/>
  <c r="IM9" i="1" s="1"/>
  <c r="IJ9" i="1"/>
  <c r="IB9" i="1"/>
  <c r="HZ9" i="1"/>
  <c r="IA9" i="1" s="1"/>
  <c r="HV9" i="1"/>
  <c r="HX9" i="1" s="1"/>
  <c r="HU9" i="1"/>
  <c r="HS9" i="1"/>
  <c r="HQ9" i="1"/>
  <c r="HR9" i="1" s="1"/>
  <c r="HM9" i="1"/>
  <c r="HO9" i="1" s="1"/>
  <c r="GL9" i="1"/>
  <c r="GR9" i="1" s="1"/>
  <c r="GF9" i="1"/>
  <c r="GI9" i="1" s="1"/>
  <c r="GD9" i="1"/>
  <c r="FY9" i="1"/>
  <c r="FX9" i="1"/>
  <c r="FE9" i="1"/>
  <c r="EF9" i="1"/>
  <c r="EE9" i="1"/>
  <c r="EJ9" i="1" s="1"/>
  <c r="ED9" i="1"/>
  <c r="AQ9" i="1"/>
  <c r="AD9" i="1"/>
  <c r="HB9" i="1" s="1"/>
  <c r="Y9" i="1"/>
  <c r="U9" i="1"/>
  <c r="T9" i="1"/>
  <c r="S9" i="1"/>
  <c r="JQ2" i="1"/>
  <c r="JO2" i="1"/>
  <c r="JP2" i="1" s="1"/>
  <c r="JM2" i="1"/>
  <c r="JJ2" i="1"/>
  <c r="JL2" i="1" s="1"/>
  <c r="JG2" i="1"/>
  <c r="JI2" i="1" s="1"/>
  <c r="JF2" i="1"/>
  <c r="JB2" i="1"/>
  <c r="IZ2" i="1"/>
  <c r="JA2" i="1" s="1"/>
  <c r="IV2" i="1"/>
  <c r="IX2" i="1" s="1"/>
  <c r="IU2" i="1"/>
  <c r="IQ2" i="1"/>
  <c r="IO2" i="1"/>
  <c r="IP2" i="1" s="1"/>
  <c r="IK2" i="1"/>
  <c r="IM2" i="1" s="1"/>
  <c r="IJ2" i="1"/>
  <c r="IB2" i="1"/>
  <c r="HZ2" i="1"/>
  <c r="IA2" i="1" s="1"/>
  <c r="HV2" i="1"/>
  <c r="HX2" i="1" s="1"/>
  <c r="HU2" i="1"/>
  <c r="HS2" i="1"/>
  <c r="HQ2" i="1"/>
  <c r="HR2" i="1" s="1"/>
  <c r="HM2" i="1"/>
  <c r="HO2" i="1" s="1"/>
  <c r="GL2" i="1"/>
  <c r="GF2" i="1"/>
  <c r="GI2" i="1" s="1"/>
  <c r="GD2" i="1"/>
  <c r="FY2" i="1"/>
  <c r="FX2" i="1"/>
  <c r="FE2" i="1"/>
  <c r="EF2" i="1"/>
  <c r="EE2" i="1"/>
  <c r="EJ2" i="1" s="1"/>
  <c r="ED2" i="1"/>
  <c r="AQ2" i="1"/>
  <c r="AD2" i="1"/>
  <c r="Y2" i="1"/>
  <c r="U2" i="1"/>
  <c r="T2" i="1"/>
  <c r="S2" i="1"/>
  <c r="R96" i="22"/>
  <c r="O96" i="22"/>
  <c r="R95" i="22"/>
  <c r="O95" i="22"/>
  <c r="R94" i="22"/>
  <c r="O94" i="22"/>
  <c r="R93" i="22"/>
  <c r="O93" i="22"/>
  <c r="R92" i="22"/>
  <c r="O92" i="22"/>
  <c r="R91" i="22"/>
  <c r="O91" i="22"/>
  <c r="R90" i="22"/>
  <c r="O90" i="22"/>
  <c r="R89" i="22"/>
  <c r="O89" i="22"/>
  <c r="M77" i="22"/>
  <c r="M76" i="22"/>
  <c r="M75" i="22"/>
  <c r="M74" i="22"/>
  <c r="M73" i="22"/>
  <c r="M72" i="22"/>
  <c r="M71" i="22"/>
  <c r="M70" i="22"/>
  <c r="M63" i="22"/>
  <c r="M62" i="22"/>
  <c r="M61" i="22"/>
  <c r="M60" i="22"/>
  <c r="M59" i="22"/>
  <c r="M58" i="22"/>
  <c r="M57" i="22"/>
  <c r="M56" i="22"/>
  <c r="E51" i="22"/>
  <c r="M42" i="22"/>
  <c r="M41" i="22"/>
  <c r="M40" i="22"/>
  <c r="M39" i="22"/>
  <c r="M38" i="22"/>
  <c r="M37" i="22"/>
  <c r="M36" i="22"/>
  <c r="M35" i="22"/>
  <c r="E35" i="22"/>
  <c r="E34" i="22"/>
  <c r="E24" i="22"/>
  <c r="N21" i="22"/>
  <c r="M21" i="22"/>
  <c r="L21" i="22"/>
  <c r="E16" i="22"/>
  <c r="E12" i="22"/>
  <c r="J18" i="14"/>
  <c r="K17" i="14"/>
  <c r="J17" i="14"/>
  <c r="I17" i="14"/>
  <c r="N16" i="14"/>
  <c r="M16" i="14"/>
  <c r="L16" i="14"/>
  <c r="K16" i="14"/>
  <c r="J16" i="14"/>
  <c r="I16" i="14"/>
  <c r="G16" i="14"/>
  <c r="F16" i="14"/>
  <c r="E16" i="14"/>
  <c r="D16" i="14"/>
  <c r="C16" i="14"/>
  <c r="N15" i="14"/>
  <c r="M15" i="14"/>
  <c r="L15" i="14"/>
  <c r="K15" i="14"/>
  <c r="J15" i="14"/>
  <c r="I15" i="14"/>
  <c r="G15" i="14"/>
  <c r="F15" i="14"/>
  <c r="E15" i="14"/>
  <c r="D15" i="14"/>
  <c r="C15" i="14"/>
  <c r="N14" i="14"/>
  <c r="M14" i="14"/>
  <c r="L14" i="14"/>
  <c r="K14" i="14"/>
  <c r="J14" i="14"/>
  <c r="I14" i="14"/>
  <c r="G14" i="14"/>
  <c r="F14" i="14"/>
  <c r="E14" i="14"/>
  <c r="D14" i="14"/>
  <c r="C14" i="14"/>
  <c r="N13" i="14"/>
  <c r="M13" i="14"/>
  <c r="L13" i="14"/>
  <c r="K13" i="14"/>
  <c r="J13" i="14"/>
  <c r="I13" i="14"/>
  <c r="G13" i="14"/>
  <c r="F13" i="14"/>
  <c r="E13" i="14"/>
  <c r="D13" i="14"/>
  <c r="C13" i="14"/>
  <c r="D19" i="7"/>
  <c r="C19" i="7"/>
  <c r="E20" i="7"/>
  <c r="E19" i="7"/>
  <c r="E18" i="7"/>
  <c r="F19" i="7"/>
  <c r="G20" i="7"/>
  <c r="G18" i="7"/>
  <c r="C20" i="7"/>
  <c r="D18" i="7"/>
  <c r="F20" i="7"/>
  <c r="F18" i="7"/>
  <c r="C18" i="7"/>
  <c r="D20" i="7"/>
  <c r="G19" i="7"/>
  <c r="B34" i="26" l="1"/>
  <c r="B37" i="26"/>
  <c r="B33" i="26"/>
  <c r="B29" i="26"/>
  <c r="B31" i="26"/>
  <c r="B30" i="26"/>
  <c r="B36" i="26"/>
  <c r="B32" i="26"/>
  <c r="B28" i="26"/>
  <c r="B35" i="26"/>
  <c r="C20" i="26"/>
  <c r="D29" i="7"/>
  <c r="C26" i="7"/>
  <c r="C27" i="7"/>
  <c r="C28" i="7"/>
  <c r="E29" i="7"/>
  <c r="C21" i="7"/>
  <c r="G21" i="7"/>
  <c r="F21" i="7"/>
  <c r="D21" i="7"/>
  <c r="E21" i="7"/>
  <c r="C23" i="26"/>
  <c r="AD116" i="1"/>
  <c r="C22" i="26"/>
  <c r="C21" i="26"/>
  <c r="B23" i="26"/>
  <c r="B13" i="26"/>
  <c r="B9" i="26"/>
  <c r="B5" i="26"/>
  <c r="B22" i="26"/>
  <c r="B12" i="26"/>
  <c r="B8" i="26"/>
  <c r="B10" i="26"/>
  <c r="B21" i="26"/>
  <c r="B11" i="26"/>
  <c r="B7" i="26"/>
  <c r="B4" i="26"/>
  <c r="B20" i="26"/>
  <c r="B6" i="26"/>
  <c r="GL134" i="1"/>
  <c r="S49" i="1"/>
  <c r="AQ49" i="1"/>
  <c r="AQ10" i="1"/>
  <c r="S31" i="1"/>
  <c r="EJ24" i="1"/>
  <c r="S35" i="1"/>
  <c r="AQ35" i="1"/>
  <c r="EJ25" i="1"/>
  <c r="EJ28" i="1"/>
  <c r="U3" i="1"/>
  <c r="GS129" i="1"/>
  <c r="GS126" i="1"/>
  <c r="GR2" i="1"/>
  <c r="GU2" i="1" s="1"/>
  <c r="GP135" i="1"/>
  <c r="GP136" i="1"/>
  <c r="GP134" i="1"/>
  <c r="GT134" i="1" s="1"/>
  <c r="GL136" i="1"/>
  <c r="GL135" i="1"/>
  <c r="GS123" i="1"/>
  <c r="GJ59" i="1"/>
  <c r="GJ72" i="1"/>
  <c r="GS72" i="1"/>
  <c r="GT72" i="1"/>
  <c r="GC72" i="1"/>
  <c r="HG82" i="1"/>
  <c r="GO82" i="1"/>
  <c r="FT82" i="1"/>
  <c r="FU82" i="1"/>
  <c r="GS115" i="1"/>
  <c r="GT115" i="1"/>
  <c r="GC115" i="1"/>
  <c r="GJ115" i="1"/>
  <c r="HG58" i="1"/>
  <c r="FU58" i="1"/>
  <c r="FT58" i="1"/>
  <c r="GO58" i="1"/>
  <c r="GS100" i="1"/>
  <c r="GO100" i="1"/>
  <c r="GT100" i="1"/>
  <c r="GT63" i="1"/>
  <c r="GC63" i="1"/>
  <c r="GS63" i="1"/>
  <c r="GJ63" i="1"/>
  <c r="HB70" i="1"/>
  <c r="GT70" i="1"/>
  <c r="GC70" i="1"/>
  <c r="GS70" i="1"/>
  <c r="GJ70" i="1"/>
  <c r="HG70" i="1"/>
  <c r="FU70" i="1"/>
  <c r="FT70" i="1"/>
  <c r="GO70" i="1"/>
  <c r="GT76" i="1"/>
  <c r="GC76" i="1"/>
  <c r="GS76" i="1"/>
  <c r="GJ76" i="1"/>
  <c r="HC78" i="1"/>
  <c r="GO78" i="1"/>
  <c r="FT78" i="1"/>
  <c r="FU78" i="1"/>
  <c r="GC69" i="1"/>
  <c r="GJ69" i="1"/>
  <c r="T10" i="1"/>
  <c r="V46" i="1"/>
  <c r="GS46" i="1"/>
  <c r="GJ46" i="1"/>
  <c r="GT46" i="1"/>
  <c r="GC46" i="1"/>
  <c r="GO47" i="1"/>
  <c r="FT47" i="1"/>
  <c r="FU47" i="1"/>
  <c r="S39" i="1"/>
  <c r="HG115" i="1"/>
  <c r="FU115" i="1"/>
  <c r="GO115" i="1"/>
  <c r="FT115" i="1"/>
  <c r="GT67" i="1"/>
  <c r="GC67" i="1"/>
  <c r="GJ67" i="1"/>
  <c r="GS67" i="1"/>
  <c r="FU67" i="1"/>
  <c r="FQ59" i="1"/>
  <c r="HG59" i="1" s="1"/>
  <c r="GF59" i="1"/>
  <c r="GI59" i="1" s="1"/>
  <c r="GJ62" i="1"/>
  <c r="GT62" i="1"/>
  <c r="GC62" i="1"/>
  <c r="GS62" i="1"/>
  <c r="HC63" i="1"/>
  <c r="FU63" i="1"/>
  <c r="GO63" i="1"/>
  <c r="GS83" i="1"/>
  <c r="GT83" i="1"/>
  <c r="GJ83" i="1"/>
  <c r="GC83" i="1"/>
  <c r="GT74" i="1"/>
  <c r="GC74" i="1"/>
  <c r="GJ74" i="1"/>
  <c r="GS74" i="1"/>
  <c r="HG73" i="1"/>
  <c r="GO73" i="1"/>
  <c r="FT73" i="1"/>
  <c r="FU73" i="1"/>
  <c r="FU76" i="1"/>
  <c r="FT76" i="1"/>
  <c r="GO76" i="1"/>
  <c r="FT80" i="1"/>
  <c r="FU80" i="1"/>
  <c r="GO80" i="1"/>
  <c r="GO103" i="1"/>
  <c r="FU103" i="1"/>
  <c r="FT103" i="1"/>
  <c r="GR69" i="1"/>
  <c r="GU69" i="1" s="1"/>
  <c r="GS69" i="1"/>
  <c r="GT69" i="1"/>
  <c r="GO69" i="1"/>
  <c r="HC68" i="1"/>
  <c r="FU68" i="1"/>
  <c r="GO68" i="1"/>
  <c r="FT68" i="1"/>
  <c r="EJ11" i="1"/>
  <c r="EJ22" i="1"/>
  <c r="EJ14" i="1"/>
  <c r="EJ32" i="1"/>
  <c r="FU45" i="1"/>
  <c r="FT45" i="1"/>
  <c r="GO45" i="1"/>
  <c r="FU46" i="1"/>
  <c r="GO46" i="1"/>
  <c r="FT46" i="1"/>
  <c r="HG60" i="1"/>
  <c r="FU60" i="1"/>
  <c r="GO60" i="1"/>
  <c r="FT60" i="1"/>
  <c r="GJ80" i="1"/>
  <c r="GT80" i="1"/>
  <c r="GC80" i="1"/>
  <c r="GS80" i="1"/>
  <c r="GC100" i="1"/>
  <c r="GJ100" i="1"/>
  <c r="GS61" i="1"/>
  <c r="GJ61" i="1"/>
  <c r="GT61" i="1"/>
  <c r="GC61" i="1"/>
  <c r="GS64" i="1"/>
  <c r="GJ64" i="1"/>
  <c r="GT64" i="1"/>
  <c r="GC64" i="1"/>
  <c r="FU64" i="1"/>
  <c r="FT62" i="1"/>
  <c r="GO62" i="1"/>
  <c r="FU62" i="1"/>
  <c r="GS65" i="1"/>
  <c r="GT65" i="1"/>
  <c r="GC65" i="1"/>
  <c r="GJ65" i="1"/>
  <c r="HC83" i="1"/>
  <c r="FU83" i="1"/>
  <c r="GO83" i="1"/>
  <c r="FT83" i="1"/>
  <c r="GJ84" i="1"/>
  <c r="GT84" i="1"/>
  <c r="GC84" i="1"/>
  <c r="GS84" i="1"/>
  <c r="HC72" i="1"/>
  <c r="GO72" i="1"/>
  <c r="FT72" i="1"/>
  <c r="FU72" i="1"/>
  <c r="FU74" i="1"/>
  <c r="GO74" i="1"/>
  <c r="FT74" i="1"/>
  <c r="GS75" i="1"/>
  <c r="GC75" i="1"/>
  <c r="GT75" i="1"/>
  <c r="GJ75" i="1"/>
  <c r="HB47" i="1"/>
  <c r="GJ47" i="1"/>
  <c r="GT47" i="1"/>
  <c r="GC47" i="1"/>
  <c r="GS47" i="1"/>
  <c r="HC66" i="1"/>
  <c r="FU66" i="1"/>
  <c r="GO66" i="1"/>
  <c r="FT66" i="1"/>
  <c r="FT92" i="1"/>
  <c r="FU92" i="1"/>
  <c r="GO92" i="1"/>
  <c r="FU69" i="1"/>
  <c r="FT69" i="1"/>
  <c r="GZ73" i="1"/>
  <c r="GS73" i="1"/>
  <c r="GJ73" i="1"/>
  <c r="GT73" i="1"/>
  <c r="GC73" i="1"/>
  <c r="GS82" i="1"/>
  <c r="GJ82" i="1"/>
  <c r="GT82" i="1"/>
  <c r="GC82" i="1"/>
  <c r="GT60" i="1"/>
  <c r="GC60" i="1"/>
  <c r="GS60" i="1"/>
  <c r="GJ60" i="1"/>
  <c r="GT58" i="1"/>
  <c r="GC58" i="1"/>
  <c r="GS58" i="1"/>
  <c r="GJ58" i="1"/>
  <c r="GJ78" i="1"/>
  <c r="GT78" i="1"/>
  <c r="GC78" i="1"/>
  <c r="GS78" i="1"/>
  <c r="GT66" i="1"/>
  <c r="GC66" i="1"/>
  <c r="GJ66" i="1"/>
  <c r="GS66" i="1"/>
  <c r="GT59" i="1"/>
  <c r="GC59" i="1"/>
  <c r="GS59" i="1"/>
  <c r="HG100" i="1"/>
  <c r="FU100" i="1"/>
  <c r="FT100" i="1"/>
  <c r="GO61" i="1"/>
  <c r="FT61" i="1"/>
  <c r="FU61" i="1"/>
  <c r="GJ92" i="1"/>
  <c r="GT92" i="1"/>
  <c r="GC92" i="1"/>
  <c r="GS92" i="1"/>
  <c r="HG65" i="1"/>
  <c r="FU65" i="1"/>
  <c r="GO65" i="1"/>
  <c r="FT65" i="1"/>
  <c r="GJ103" i="1"/>
  <c r="GT103" i="1"/>
  <c r="GC103" i="1"/>
  <c r="GS103" i="1"/>
  <c r="GS68" i="1"/>
  <c r="GC68" i="1"/>
  <c r="GJ68" i="1"/>
  <c r="GT68" i="1"/>
  <c r="FU84" i="1"/>
  <c r="GO84" i="1"/>
  <c r="FT84" i="1"/>
  <c r="HC75" i="1"/>
  <c r="FU75" i="1"/>
  <c r="GO75" i="1"/>
  <c r="FT75" i="1"/>
  <c r="AF120" i="1"/>
  <c r="EJ13" i="1"/>
  <c r="EJ19" i="1"/>
  <c r="T31" i="1"/>
  <c r="AQ31" i="1"/>
  <c r="EJ21" i="1"/>
  <c r="EJ17" i="1"/>
  <c r="T32" i="1"/>
  <c r="AQ32" i="1"/>
  <c r="T39" i="1"/>
  <c r="AF116" i="1"/>
  <c r="EJ31" i="1"/>
  <c r="EJ12" i="1"/>
  <c r="EJ26" i="1"/>
  <c r="U27" i="1"/>
  <c r="Y27" i="1"/>
  <c r="HB78" i="1"/>
  <c r="GZ84" i="1"/>
  <c r="GZ58" i="1"/>
  <c r="GZ64" i="1"/>
  <c r="HB62" i="1"/>
  <c r="HB83" i="1"/>
  <c r="EF23" i="1"/>
  <c r="EH23" i="1" s="1"/>
  <c r="GZ2" i="1"/>
  <c r="EF44" i="1"/>
  <c r="EF24" i="1"/>
  <c r="EH24" i="1" s="1"/>
  <c r="CI24" i="1"/>
  <c r="EF35" i="1"/>
  <c r="CI35" i="1"/>
  <c r="EF37" i="1"/>
  <c r="CI37" i="1"/>
  <c r="EF33" i="1"/>
  <c r="CI33" i="1"/>
  <c r="EF36" i="1"/>
  <c r="CI36" i="1"/>
  <c r="EF38" i="1"/>
  <c r="CI38" i="1"/>
  <c r="EF18" i="1"/>
  <c r="EH18" i="1" s="1"/>
  <c r="CI18" i="1"/>
  <c r="EF26" i="1"/>
  <c r="EH26" i="1" s="1"/>
  <c r="CI26" i="1"/>
  <c r="EF34" i="1"/>
  <c r="CI34" i="1"/>
  <c r="FR9" i="1"/>
  <c r="FS9" i="1" s="1"/>
  <c r="FR8" i="1"/>
  <c r="FT8" i="1" s="1"/>
  <c r="V47" i="1"/>
  <c r="FR10" i="1"/>
  <c r="GO10" i="1" s="1"/>
  <c r="FR5" i="1"/>
  <c r="HG5" i="1" s="1"/>
  <c r="FR6" i="1"/>
  <c r="HG6" i="1" s="1"/>
  <c r="FR15" i="1"/>
  <c r="HG15" i="1" s="1"/>
  <c r="V41" i="1"/>
  <c r="EE47" i="1"/>
  <c r="EG47" i="1" s="1"/>
  <c r="EE54" i="1"/>
  <c r="EG54" i="1" s="1"/>
  <c r="FR54" i="1"/>
  <c r="HG54" i="1" s="1"/>
  <c r="GU4" i="1"/>
  <c r="FS29" i="1"/>
  <c r="R80" i="1"/>
  <c r="IV96" i="1"/>
  <c r="IY96" i="1" s="1"/>
  <c r="HG105" i="1"/>
  <c r="HC58" i="1"/>
  <c r="FR21" i="1"/>
  <c r="HG21" i="1" s="1"/>
  <c r="AI30" i="1"/>
  <c r="GZ28" i="1"/>
  <c r="GM120" i="1"/>
  <c r="GU120" i="1" s="1"/>
  <c r="EH5" i="1"/>
  <c r="EG35" i="1"/>
  <c r="GJ36" i="1"/>
  <c r="EU74" i="1"/>
  <c r="EV74" i="1" s="1"/>
  <c r="EF74" i="1" s="1"/>
  <c r="AM6" i="1"/>
  <c r="W14" i="1"/>
  <c r="EG21" i="1"/>
  <c r="GS38" i="1"/>
  <c r="GU47" i="1"/>
  <c r="AK48" i="1"/>
  <c r="GU48" i="1"/>
  <c r="W80" i="1"/>
  <c r="HS92" i="1"/>
  <c r="IU83" i="1"/>
  <c r="EH10" i="1"/>
  <c r="GU8" i="1"/>
  <c r="GU19" i="1"/>
  <c r="AI37" i="1"/>
  <c r="GU37" i="1"/>
  <c r="HB32" i="1"/>
  <c r="FR46" i="1"/>
  <c r="HG46" i="1" s="1"/>
  <c r="EE69" i="1"/>
  <c r="EG69" i="1" s="1"/>
  <c r="HG72" i="1"/>
  <c r="EE37" i="1"/>
  <c r="EG37" i="1" s="1"/>
  <c r="JR46" i="1"/>
  <c r="HG56" i="1"/>
  <c r="EG26" i="1"/>
  <c r="JR32" i="1"/>
  <c r="EE57" i="1"/>
  <c r="EG57" i="1" s="1"/>
  <c r="W48" i="1"/>
  <c r="GU82" i="1"/>
  <c r="FR2" i="1"/>
  <c r="FS2" i="1" s="1"/>
  <c r="R3" i="1"/>
  <c r="AI4" i="1"/>
  <c r="GU35" i="1"/>
  <c r="FR26" i="1"/>
  <c r="HC26" i="1" s="1"/>
  <c r="FR27" i="1"/>
  <c r="GO27" i="1" s="1"/>
  <c r="W41" i="1"/>
  <c r="AI41" i="1"/>
  <c r="JF34" i="1"/>
  <c r="JR34" i="1" s="1"/>
  <c r="T47" i="1"/>
  <c r="FT51" i="1"/>
  <c r="GI51" i="1"/>
  <c r="GJ39" i="1"/>
  <c r="AL58" i="1"/>
  <c r="FS78" i="1"/>
  <c r="IU110" i="1"/>
  <c r="FR73" i="1"/>
  <c r="IV77" i="1"/>
  <c r="IY77" i="1" s="1"/>
  <c r="JB77" i="1" s="1"/>
  <c r="AI76" i="1"/>
  <c r="GT43" i="1"/>
  <c r="EH22" i="1"/>
  <c r="EH14" i="1"/>
  <c r="EH12" i="1"/>
  <c r="GU12" i="1"/>
  <c r="EJ18" i="1"/>
  <c r="EH27" i="1"/>
  <c r="AL41" i="1"/>
  <c r="AH120" i="1"/>
  <c r="EE33" i="1"/>
  <c r="EG33" i="1" s="1"/>
  <c r="EU45" i="1"/>
  <c r="EV45" i="1" s="1"/>
  <c r="EF45" i="1" s="1"/>
  <c r="T43" i="1"/>
  <c r="HC57" i="1"/>
  <c r="GS48" i="1"/>
  <c r="W58" i="1"/>
  <c r="EU58" i="1"/>
  <c r="EV58" i="1" s="1"/>
  <c r="EF58" i="1" s="1"/>
  <c r="EU72" i="1"/>
  <c r="EV72" i="1" s="1"/>
  <c r="EF72" i="1" s="1"/>
  <c r="EU76" i="1"/>
  <c r="EV76" i="1" s="1"/>
  <c r="EF76" i="1" s="1"/>
  <c r="GS18" i="1"/>
  <c r="EG8" i="1"/>
  <c r="EG11" i="1"/>
  <c r="EG19" i="1"/>
  <c r="EH30" i="1"/>
  <c r="GU30" i="1"/>
  <c r="AN18" i="1"/>
  <c r="EG25" i="1"/>
  <c r="JR38" i="1"/>
  <c r="EJ29" i="1"/>
  <c r="HB36" i="1"/>
  <c r="EE50" i="1"/>
  <c r="EG50" i="1" s="1"/>
  <c r="GS43" i="1"/>
  <c r="GU51" i="1"/>
  <c r="GJ40" i="1"/>
  <c r="W39" i="1"/>
  <c r="AM53" i="1"/>
  <c r="T57" i="1"/>
  <c r="EE81" i="1"/>
  <c r="EG81" i="1" s="1"/>
  <c r="AJ48" i="1"/>
  <c r="GC48" i="1"/>
  <c r="HC60" i="1"/>
  <c r="V80" i="1"/>
  <c r="EU80" i="1"/>
  <c r="EV80" i="1" s="1"/>
  <c r="GZ62" i="1"/>
  <c r="HC65" i="1"/>
  <c r="FY63" i="1"/>
  <c r="GZ105" i="1"/>
  <c r="GU7" i="1"/>
  <c r="EH7" i="1"/>
  <c r="JR7" i="1"/>
  <c r="EH8" i="1"/>
  <c r="JR8" i="1"/>
  <c r="FR11" i="1"/>
  <c r="FS11" i="1" s="1"/>
  <c r="AI20" i="1"/>
  <c r="GU20" i="1"/>
  <c r="JR22" i="1"/>
  <c r="JG30" i="1"/>
  <c r="JI30" i="1" s="1"/>
  <c r="JR30" i="1" s="1"/>
  <c r="IX30" i="1"/>
  <c r="GC23" i="1"/>
  <c r="HB23" i="1"/>
  <c r="EG24" i="1"/>
  <c r="IV112" i="1"/>
  <c r="IY112" i="1" s="1"/>
  <c r="IU112" i="1"/>
  <c r="IW111" i="1"/>
  <c r="IY111" i="1"/>
  <c r="JE111" i="1" s="1"/>
  <c r="JG111" i="1" s="1"/>
  <c r="JH111" i="1" s="1"/>
  <c r="JJ111" i="1" s="1"/>
  <c r="JK111" i="1" s="1"/>
  <c r="JM111" i="1" s="1"/>
  <c r="EG13" i="1"/>
  <c r="V20" i="1"/>
  <c r="AK20" i="1"/>
  <c r="EH31" i="1"/>
  <c r="EG12" i="1"/>
  <c r="EG30" i="1"/>
  <c r="EG23" i="1"/>
  <c r="EJ23" i="1"/>
  <c r="EE51" i="1"/>
  <c r="EG51" i="1" s="1"/>
  <c r="EU51" i="1"/>
  <c r="EV51" i="1" s="1"/>
  <c r="EF51" i="1" s="1"/>
  <c r="HX65" i="1"/>
  <c r="HZ65" i="1"/>
  <c r="IA65" i="1" s="1"/>
  <c r="HB74" i="1"/>
  <c r="FR74" i="1"/>
  <c r="FS74" i="1" s="1"/>
  <c r="GR74" i="1"/>
  <c r="GU74" i="1" s="1"/>
  <c r="IV93" i="1"/>
  <c r="IW93" i="1" s="1"/>
  <c r="IX93" i="1" s="1"/>
  <c r="IU93" i="1"/>
  <c r="GU9" i="1"/>
  <c r="HB6" i="1"/>
  <c r="EH4" i="1"/>
  <c r="GZ4" i="1"/>
  <c r="AM20" i="1"/>
  <c r="FR31" i="1"/>
  <c r="GO31" i="1" s="1"/>
  <c r="JR21" i="1"/>
  <c r="EJ16" i="1"/>
  <c r="JR16" i="1"/>
  <c r="R30" i="1"/>
  <c r="V30" i="1"/>
  <c r="AJ18" i="1"/>
  <c r="GU25" i="1"/>
  <c r="HB82" i="1"/>
  <c r="GZ82" i="1"/>
  <c r="AI82" i="1"/>
  <c r="EU60" i="1"/>
  <c r="EV60" i="1" s="1"/>
  <c r="EF60" i="1" s="1"/>
  <c r="EE60" i="1"/>
  <c r="EG60" i="1" s="1"/>
  <c r="IT60" i="1"/>
  <c r="IU60" i="1" s="1"/>
  <c r="IO60" i="1"/>
  <c r="IP60" i="1" s="1"/>
  <c r="HG69" i="1"/>
  <c r="HC69" i="1"/>
  <c r="IU91" i="1"/>
  <c r="IV91" i="1"/>
  <c r="GJ20" i="1"/>
  <c r="EU41" i="1"/>
  <c r="EV41" i="1" s="1"/>
  <c r="EE41" i="1"/>
  <c r="EG41" i="1" s="1"/>
  <c r="GS49" i="1"/>
  <c r="V49" i="1"/>
  <c r="GY49" i="1"/>
  <c r="GY116" i="1" s="1"/>
  <c r="EE42" i="1"/>
  <c r="EG42" i="1" s="1"/>
  <c r="EU42" i="1"/>
  <c r="EV42" i="1" s="1"/>
  <c r="EF42" i="1" s="1"/>
  <c r="HC62" i="1"/>
  <c r="HG62" i="1"/>
  <c r="IY98" i="1"/>
  <c r="JE98" i="1" s="1"/>
  <c r="JG98" i="1" s="1"/>
  <c r="JH98" i="1" s="1"/>
  <c r="JJ98" i="1" s="1"/>
  <c r="JK98" i="1" s="1"/>
  <c r="JL98" i="1" s="1"/>
  <c r="IW98" i="1"/>
  <c r="IX98" i="1" s="1"/>
  <c r="GC93" i="1"/>
  <c r="GT93" i="1"/>
  <c r="GJ93" i="1"/>
  <c r="GI93" i="1"/>
  <c r="HB28" i="1"/>
  <c r="JR42" i="1"/>
  <c r="GZ55" i="1"/>
  <c r="HC115" i="1"/>
  <c r="GU63" i="1"/>
  <c r="GU84" i="1"/>
  <c r="HF123" i="1"/>
  <c r="GU23" i="1"/>
  <c r="AI38" i="1"/>
  <c r="GJ38" i="1"/>
  <c r="AI28" i="1"/>
  <c r="GJ28" i="1"/>
  <c r="JR28" i="1"/>
  <c r="R41" i="1"/>
  <c r="GJ41" i="1"/>
  <c r="GJ32" i="1"/>
  <c r="JR50" i="1"/>
  <c r="GC39" i="1"/>
  <c r="GT39" i="1"/>
  <c r="AI53" i="1"/>
  <c r="GZ53" i="1"/>
  <c r="AM55" i="1"/>
  <c r="FR57" i="1"/>
  <c r="FT57" i="1" s="1"/>
  <c r="HC81" i="1"/>
  <c r="V48" i="1"/>
  <c r="AL48" i="1"/>
  <c r="HG78" i="1"/>
  <c r="IW59" i="1"/>
  <c r="IZ59" i="1" s="1"/>
  <c r="JA59" i="1" s="1"/>
  <c r="GU80" i="1"/>
  <c r="GU61" i="1"/>
  <c r="IK64" i="1"/>
  <c r="HG68" i="1"/>
  <c r="HC73" i="1"/>
  <c r="GU93" i="1"/>
  <c r="FR70" i="1"/>
  <c r="FY70" i="1" s="1"/>
  <c r="R38" i="1"/>
  <c r="V38" i="1"/>
  <c r="AN38" i="1"/>
  <c r="EH28" i="1"/>
  <c r="GU28" i="1"/>
  <c r="EE44" i="1"/>
  <c r="EG44" i="1" s="1"/>
  <c r="EE34" i="1"/>
  <c r="EJ34" i="1" s="1"/>
  <c r="HB39" i="1"/>
  <c r="R53" i="1"/>
  <c r="V53" i="1"/>
  <c r="EU52" i="1"/>
  <c r="EV52" i="1" s="1"/>
  <c r="EF52" i="1" s="1"/>
  <c r="FS115" i="1"/>
  <c r="GU58" i="1"/>
  <c r="JR80" i="1"/>
  <c r="HB84" i="1"/>
  <c r="HB76" i="1"/>
  <c r="GS105" i="1"/>
  <c r="GO14" i="1"/>
  <c r="HG14" i="1"/>
  <c r="FS14" i="1"/>
  <c r="FS3" i="1"/>
  <c r="HC3" i="1"/>
  <c r="FT3" i="1"/>
  <c r="GO3" i="1"/>
  <c r="HG3" i="1"/>
  <c r="FR13" i="1"/>
  <c r="FS13" i="1" s="1"/>
  <c r="GU16" i="1"/>
  <c r="JG27" i="1"/>
  <c r="JI27" i="1" s="1"/>
  <c r="JM27" i="1"/>
  <c r="JF27" i="1"/>
  <c r="GU50" i="1"/>
  <c r="HB50" i="1"/>
  <c r="GS50" i="1"/>
  <c r="AL50" i="1"/>
  <c r="GO56" i="1"/>
  <c r="FU56" i="1"/>
  <c r="GI3" i="1"/>
  <c r="FR19" i="1"/>
  <c r="EJ15" i="1"/>
  <c r="AL31" i="1"/>
  <c r="GU21" i="1"/>
  <c r="AI16" i="1"/>
  <c r="GJ16" i="1"/>
  <c r="GS16" i="1"/>
  <c r="DU120" i="1"/>
  <c r="EG27" i="1"/>
  <c r="EJ27" i="1"/>
  <c r="FR45" i="1"/>
  <c r="AI46" i="1"/>
  <c r="GI42" i="1"/>
  <c r="FR42" i="1"/>
  <c r="FU42" i="1" s="1"/>
  <c r="AL54" i="1"/>
  <c r="W54" i="1"/>
  <c r="AJ54" i="1"/>
  <c r="GJ57" i="1"/>
  <c r="GI57" i="1"/>
  <c r="GJ48" i="1"/>
  <c r="FR48" i="1"/>
  <c r="HC48" i="1" s="1"/>
  <c r="AM52" i="1"/>
  <c r="AL52" i="1"/>
  <c r="W52" i="1"/>
  <c r="GT52" i="1"/>
  <c r="GC52" i="1"/>
  <c r="AK52" i="1"/>
  <c r="V52" i="1"/>
  <c r="R52" i="1"/>
  <c r="GS52" i="1"/>
  <c r="GI67" i="1"/>
  <c r="HC61" i="1"/>
  <c r="HG61" i="1"/>
  <c r="IW85" i="1"/>
  <c r="IX85" i="1" s="1"/>
  <c r="IY85" i="1"/>
  <c r="JB85" i="1" s="1"/>
  <c r="JE110" i="1"/>
  <c r="JG110" i="1" s="1"/>
  <c r="JH110" i="1" s="1"/>
  <c r="JI110" i="1" s="1"/>
  <c r="EG2" i="1"/>
  <c r="EG9" i="1"/>
  <c r="W10" i="1"/>
  <c r="EG10" i="1"/>
  <c r="GJ10" i="1"/>
  <c r="HB10" i="1"/>
  <c r="JR10" i="1"/>
  <c r="R6" i="1"/>
  <c r="V6" i="1"/>
  <c r="AI6" i="1"/>
  <c r="EG6" i="1"/>
  <c r="GU6" i="1"/>
  <c r="EH3" i="1"/>
  <c r="GJ4" i="1"/>
  <c r="HB4" i="1"/>
  <c r="R5" i="1"/>
  <c r="W5" i="1"/>
  <c r="EG5" i="1"/>
  <c r="GJ5" i="1"/>
  <c r="GZ5" i="1"/>
  <c r="GU11" i="1"/>
  <c r="R19" i="1"/>
  <c r="V19" i="1"/>
  <c r="EH15" i="1"/>
  <c r="GC20" i="1"/>
  <c r="JR31" i="1"/>
  <c r="EG14" i="1"/>
  <c r="R21" i="1"/>
  <c r="V21" i="1"/>
  <c r="AM21" i="1"/>
  <c r="EH21" i="1"/>
  <c r="GJ21" i="1"/>
  <c r="GS21" i="1"/>
  <c r="R16" i="1"/>
  <c r="W16" i="1"/>
  <c r="GI16" i="1"/>
  <c r="GZ16" i="1"/>
  <c r="EH17" i="1"/>
  <c r="GU17" i="1"/>
  <c r="JR17" i="1"/>
  <c r="GU24" i="1"/>
  <c r="GI35" i="1"/>
  <c r="FR35" i="1"/>
  <c r="FS35" i="1" s="1"/>
  <c r="GJ35" i="1"/>
  <c r="HC29" i="1"/>
  <c r="JM34" i="1"/>
  <c r="GI33" i="1"/>
  <c r="FR33" i="1"/>
  <c r="FS33" i="1" s="1"/>
  <c r="JF33" i="1"/>
  <c r="JR33" i="1" s="1"/>
  <c r="JM33" i="1"/>
  <c r="R46" i="1"/>
  <c r="EU39" i="1"/>
  <c r="EV39" i="1" s="1"/>
  <c r="EF39" i="1" s="1"/>
  <c r="EE39" i="1"/>
  <c r="EG39" i="1" s="1"/>
  <c r="GC54" i="1"/>
  <c r="GS54" i="1"/>
  <c r="S60" i="1"/>
  <c r="R60" i="1"/>
  <c r="AM60" i="1"/>
  <c r="HB60" i="1"/>
  <c r="GZ60" i="1"/>
  <c r="AL60" i="1"/>
  <c r="AK60" i="1"/>
  <c r="W60" i="1"/>
  <c r="AI60" i="1"/>
  <c r="V60" i="1"/>
  <c r="GS19" i="1"/>
  <c r="HG18" i="1"/>
  <c r="GO18" i="1"/>
  <c r="HC18" i="1"/>
  <c r="GI24" i="1"/>
  <c r="GJ24" i="1"/>
  <c r="FR24" i="1"/>
  <c r="FS24" i="1" s="1"/>
  <c r="HG38" i="1"/>
  <c r="HC38" i="1"/>
  <c r="FU38" i="1"/>
  <c r="GJ29" i="1"/>
  <c r="GI29" i="1"/>
  <c r="HC34" i="1"/>
  <c r="IQ52" i="1"/>
  <c r="IO52" i="1"/>
  <c r="IP52" i="1" s="1"/>
  <c r="IY97" i="1"/>
  <c r="JE97" i="1" s="1"/>
  <c r="JG97" i="1" s="1"/>
  <c r="JH97" i="1" s="1"/>
  <c r="JJ97" i="1" s="1"/>
  <c r="JK97" i="1" s="1"/>
  <c r="JL97" i="1" s="1"/>
  <c r="IW97" i="1"/>
  <c r="IX97" i="1" s="1"/>
  <c r="IV95" i="1"/>
  <c r="IU95" i="1"/>
  <c r="GL120" i="1"/>
  <c r="R10" i="1"/>
  <c r="V10" i="1"/>
  <c r="AI10" i="1"/>
  <c r="GZ10" i="1"/>
  <c r="GU5" i="1"/>
  <c r="AI19" i="1"/>
  <c r="GZ19" i="1"/>
  <c r="R20" i="1"/>
  <c r="GI14" i="1"/>
  <c r="AI21" i="1"/>
  <c r="V16" i="1"/>
  <c r="FU16" i="1"/>
  <c r="AI17" i="1"/>
  <c r="FR12" i="1"/>
  <c r="FS12" i="1" s="1"/>
  <c r="GJ12" i="1"/>
  <c r="FU18" i="1"/>
  <c r="GC35" i="1"/>
  <c r="W35" i="1"/>
  <c r="FS38" i="1"/>
  <c r="GU29" i="1"/>
  <c r="EE49" i="1"/>
  <c r="EG49" i="1" s="1"/>
  <c r="GI34" i="1"/>
  <c r="HB33" i="1"/>
  <c r="GC33" i="1"/>
  <c r="GU33" i="1"/>
  <c r="AM57" i="1"/>
  <c r="AL57" i="1"/>
  <c r="GC57" i="1"/>
  <c r="AI57" i="1"/>
  <c r="GT57" i="1"/>
  <c r="GZ67" i="1"/>
  <c r="GU67" i="1"/>
  <c r="W2" i="1"/>
  <c r="EH2" i="1"/>
  <c r="W9" i="1"/>
  <c r="EH9" i="1"/>
  <c r="GZ9" i="1"/>
  <c r="FR7" i="1"/>
  <c r="FS7" i="1" s="1"/>
  <c r="GC7" i="1"/>
  <c r="W6" i="1"/>
  <c r="AL6" i="1"/>
  <c r="EH6" i="1"/>
  <c r="GC6" i="1"/>
  <c r="GS6" i="1"/>
  <c r="JR6" i="1"/>
  <c r="FR4" i="1"/>
  <c r="FU4" i="1" s="1"/>
  <c r="GC4" i="1"/>
  <c r="JR4" i="1"/>
  <c r="EH13" i="1"/>
  <c r="EH11" i="1"/>
  <c r="JR11" i="1"/>
  <c r="EH19" i="1"/>
  <c r="EH20" i="1"/>
  <c r="FR20" i="1"/>
  <c r="FT20" i="1" s="1"/>
  <c r="GJ31" i="1"/>
  <c r="GS31" i="1"/>
  <c r="GZ21" i="1"/>
  <c r="EH16" i="1"/>
  <c r="FS16" i="1"/>
  <c r="FY16" i="1"/>
  <c r="GO16" i="1"/>
  <c r="HC16" i="1"/>
  <c r="GC17" i="1"/>
  <c r="HB17" i="1"/>
  <c r="GZ30" i="1"/>
  <c r="GC30" i="1"/>
  <c r="W30" i="1"/>
  <c r="GI30" i="1"/>
  <c r="GJ30" i="1"/>
  <c r="JR26" i="1"/>
  <c r="GZ38" i="1"/>
  <c r="GC25" i="1"/>
  <c r="W25" i="1"/>
  <c r="GI25" i="1"/>
  <c r="FR25" i="1"/>
  <c r="FU25" i="1" s="1"/>
  <c r="GJ25" i="1"/>
  <c r="GZ37" i="1"/>
  <c r="HB37" i="1"/>
  <c r="AM37" i="1"/>
  <c r="AK37" i="1"/>
  <c r="V37" i="1"/>
  <c r="EE38" i="1"/>
  <c r="EG38" i="1" s="1"/>
  <c r="FY38" i="1"/>
  <c r="GU38" i="1"/>
  <c r="AN44" i="1"/>
  <c r="AM44" i="1"/>
  <c r="GC44" i="1"/>
  <c r="GS44" i="1"/>
  <c r="S32" i="1"/>
  <c r="R32" i="1"/>
  <c r="W32" i="1"/>
  <c r="GC32" i="1"/>
  <c r="AI32" i="1"/>
  <c r="V32" i="1"/>
  <c r="EE36" i="1"/>
  <c r="EG36" i="1" s="1"/>
  <c r="JR36" i="1"/>
  <c r="GS34" i="1"/>
  <c r="GJ33" i="1"/>
  <c r="GI47" i="1"/>
  <c r="FR47" i="1"/>
  <c r="GJ43" i="1"/>
  <c r="FR43" i="1"/>
  <c r="FU43" i="1" s="1"/>
  <c r="GZ57" i="1"/>
  <c r="HB56" i="1"/>
  <c r="GZ56" i="1"/>
  <c r="AK56" i="1"/>
  <c r="W56" i="1"/>
  <c r="AJ56" i="1"/>
  <c r="GU10" i="1"/>
  <c r="JR20" i="1"/>
  <c r="GJ18" i="1"/>
  <c r="GI18" i="1"/>
  <c r="JR23" i="1"/>
  <c r="HG29" i="1"/>
  <c r="GO29" i="1"/>
  <c r="FS34" i="1"/>
  <c r="HG34" i="1"/>
  <c r="GO34" i="1"/>
  <c r="HB46" i="1"/>
  <c r="GZ46" i="1"/>
  <c r="AK46" i="1"/>
  <c r="W46" i="1"/>
  <c r="GU46" i="1"/>
  <c r="JR35" i="1"/>
  <c r="EH25" i="1"/>
  <c r="JR25" i="1"/>
  <c r="GS28" i="1"/>
  <c r="AM41" i="1"/>
  <c r="GU41" i="1"/>
  <c r="W49" i="1"/>
  <c r="EH32" i="1"/>
  <c r="GM116" i="1"/>
  <c r="JR45" i="1"/>
  <c r="JR47" i="1"/>
  <c r="AL55" i="1"/>
  <c r="GT55" i="1"/>
  <c r="AJ55" i="1"/>
  <c r="W55" i="1"/>
  <c r="GS55" i="1"/>
  <c r="AI55" i="1"/>
  <c r="V55" i="1"/>
  <c r="R55" i="1"/>
  <c r="GJ55" i="1"/>
  <c r="AL81" i="1"/>
  <c r="V81" i="1"/>
  <c r="R81" i="1"/>
  <c r="GC81" i="1"/>
  <c r="GS81" i="1"/>
  <c r="GI82" i="1"/>
  <c r="GI60" i="1"/>
  <c r="JE59" i="1"/>
  <c r="JG59" i="1" s="1"/>
  <c r="JH59" i="1" s="1"/>
  <c r="JJ59" i="1" s="1"/>
  <c r="JK59" i="1" s="1"/>
  <c r="JM59" i="1" s="1"/>
  <c r="U80" i="1"/>
  <c r="Y80" i="1"/>
  <c r="HG84" i="1"/>
  <c r="HC84" i="1"/>
  <c r="FS84" i="1"/>
  <c r="IV108" i="1"/>
  <c r="IY108" i="1" s="1"/>
  <c r="JB108" i="1" s="1"/>
  <c r="IU108" i="1"/>
  <c r="GZ75" i="1"/>
  <c r="IV107" i="1"/>
  <c r="IY107" i="1" s="1"/>
  <c r="IU107" i="1"/>
  <c r="FS18" i="1"/>
  <c r="FY18" i="1"/>
  <c r="JR18" i="1"/>
  <c r="R25" i="1"/>
  <c r="R37" i="1"/>
  <c r="GI38" i="1"/>
  <c r="EH29" i="1"/>
  <c r="GU44" i="1"/>
  <c r="GZ41" i="1"/>
  <c r="GU49" i="1"/>
  <c r="GS32" i="1"/>
  <c r="AI47" i="1"/>
  <c r="AN47" i="1"/>
  <c r="GU43" i="1"/>
  <c r="HB43" i="1"/>
  <c r="W43" i="1"/>
  <c r="EE43" i="1"/>
  <c r="EG43" i="1" s="1"/>
  <c r="EU43" i="1"/>
  <c r="EV43" i="1" s="1"/>
  <c r="EF43" i="1" s="1"/>
  <c r="GU42" i="1"/>
  <c r="FS51" i="1"/>
  <c r="GO51" i="1"/>
  <c r="FY51" i="1"/>
  <c r="HG51" i="1"/>
  <c r="HB40" i="1"/>
  <c r="AI40" i="1"/>
  <c r="W40" i="1"/>
  <c r="GI39" i="1"/>
  <c r="FR39" i="1"/>
  <c r="FU39" i="1" s="1"/>
  <c r="JR39" i="1"/>
  <c r="GT54" i="1"/>
  <c r="HB54" i="1"/>
  <c r="IV54" i="1"/>
  <c r="IW54" i="1" s="1"/>
  <c r="IX54" i="1" s="1"/>
  <c r="IU54" i="1"/>
  <c r="AK55" i="1"/>
  <c r="EE55" i="1"/>
  <c r="EG55" i="1" s="1"/>
  <c r="EU55" i="1"/>
  <c r="EV55" i="1" s="1"/>
  <c r="EF55" i="1" s="1"/>
  <c r="GC55" i="1"/>
  <c r="GU55" i="1"/>
  <c r="IQ57" i="1"/>
  <c r="IM57" i="1"/>
  <c r="IJ57" i="1"/>
  <c r="AJ81" i="1"/>
  <c r="GJ52" i="1"/>
  <c r="GU115" i="1"/>
  <c r="HB115" i="1"/>
  <c r="FS60" i="1"/>
  <c r="HX67" i="1"/>
  <c r="Y59" i="1"/>
  <c r="AI59" i="1"/>
  <c r="U59" i="1"/>
  <c r="AI80" i="1"/>
  <c r="HC80" i="1"/>
  <c r="HG80" i="1"/>
  <c r="HB61" i="1"/>
  <c r="W61" i="1"/>
  <c r="GZ61" i="1"/>
  <c r="V61" i="1"/>
  <c r="R61" i="1"/>
  <c r="R40" i="1"/>
  <c r="JR40" i="1"/>
  <c r="GU56" i="1"/>
  <c r="GB116" i="1"/>
  <c r="GB120" i="1"/>
  <c r="GD120" i="1" s="1"/>
  <c r="GD58" i="1"/>
  <c r="GU92" i="1"/>
  <c r="FY62" i="1"/>
  <c r="HB63" i="1"/>
  <c r="GZ63" i="1"/>
  <c r="EU68" i="1"/>
  <c r="EV68" i="1" s="1"/>
  <c r="EF68" i="1" s="1"/>
  <c r="EE68" i="1"/>
  <c r="EG68" i="1" s="1"/>
  <c r="IV106" i="1"/>
  <c r="IU106" i="1"/>
  <c r="IV87" i="1"/>
  <c r="IW87" i="1" s="1"/>
  <c r="IX87" i="1" s="1"/>
  <c r="IU87" i="1"/>
  <c r="HC74" i="1"/>
  <c r="HG74" i="1"/>
  <c r="FW120" i="1"/>
  <c r="FX120" i="1" s="1"/>
  <c r="JR43" i="1"/>
  <c r="JR51" i="1"/>
  <c r="S40" i="1"/>
  <c r="GS39" i="1"/>
  <c r="AD120" i="1"/>
  <c r="T121" i="1" s="1"/>
  <c r="GI53" i="1"/>
  <c r="GJ54" i="1"/>
  <c r="V57" i="1"/>
  <c r="GU57" i="1"/>
  <c r="GU81" i="1"/>
  <c r="JR81" i="1"/>
  <c r="JR48" i="1"/>
  <c r="FR52" i="1"/>
  <c r="FU52" i="1" s="1"/>
  <c r="R56" i="1"/>
  <c r="IK58" i="1"/>
  <c r="IN58" i="1" s="1"/>
  <c r="IQ58" i="1" s="1"/>
  <c r="HB66" i="1"/>
  <c r="GZ66" i="1"/>
  <c r="AI66" i="1"/>
  <c r="GZ59" i="1"/>
  <c r="W59" i="1"/>
  <c r="EE59" i="1"/>
  <c r="EG59" i="1" s="1"/>
  <c r="EU59" i="1"/>
  <c r="EV59" i="1" s="1"/>
  <c r="EF59" i="1" s="1"/>
  <c r="HB59" i="1"/>
  <c r="HC92" i="1"/>
  <c r="FS92" i="1"/>
  <c r="HB92" i="1"/>
  <c r="IN65" i="1"/>
  <c r="IT65" i="1" s="1"/>
  <c r="IV65" i="1" s="1"/>
  <c r="HB103" i="1"/>
  <c r="GZ103" i="1"/>
  <c r="IV99" i="1"/>
  <c r="IU99" i="1"/>
  <c r="JR72" i="1"/>
  <c r="GZ80" i="1"/>
  <c r="JR68" i="1"/>
  <c r="IW110" i="1"/>
  <c r="IZ110" i="1" s="1"/>
  <c r="JA110" i="1" s="1"/>
  <c r="GZ74" i="1"/>
  <c r="AI73" i="1"/>
  <c r="FR93" i="1"/>
  <c r="FS93" i="1" s="1"/>
  <c r="IV94" i="1"/>
  <c r="B219" i="1"/>
  <c r="F219" i="1"/>
  <c r="GU60" i="1"/>
  <c r="FW116" i="1"/>
  <c r="GU66" i="1"/>
  <c r="IU59" i="1"/>
  <c r="HU92" i="1"/>
  <c r="HC64" i="1"/>
  <c r="GU62" i="1"/>
  <c r="GU103" i="1"/>
  <c r="HG63" i="1"/>
  <c r="IU111" i="1"/>
  <c r="HG75" i="1"/>
  <c r="JR75" i="1"/>
  <c r="GZ76" i="1"/>
  <c r="HC70" i="1"/>
  <c r="C219" i="1"/>
  <c r="O148" i="1"/>
  <c r="E233" i="1"/>
  <c r="E235" i="1" s="1"/>
  <c r="I233" i="1"/>
  <c r="I235" i="1" s="1"/>
  <c r="JR3" i="1"/>
  <c r="JR2" i="1"/>
  <c r="JR9" i="1"/>
  <c r="JR5" i="1"/>
  <c r="JR13" i="1"/>
  <c r="JR19" i="1"/>
  <c r="JR15" i="1"/>
  <c r="GS7" i="1"/>
  <c r="AU136" i="1"/>
  <c r="AV136" i="1" s="1"/>
  <c r="C207" i="1"/>
  <c r="AU132" i="1"/>
  <c r="AV132" i="1" s="1"/>
  <c r="AX124" i="1"/>
  <c r="AU138" i="1"/>
  <c r="AV138" i="1" s="1"/>
  <c r="C208" i="1"/>
  <c r="AU133" i="1"/>
  <c r="AV133" i="1" s="1"/>
  <c r="C203" i="1"/>
  <c r="C202" i="1"/>
  <c r="C209" i="1"/>
  <c r="AU134" i="1"/>
  <c r="AV134" i="1" s="1"/>
  <c r="C205" i="1"/>
  <c r="C206" i="1"/>
  <c r="C204" i="1"/>
  <c r="C201" i="1"/>
  <c r="AX126" i="1"/>
  <c r="AU139" i="1"/>
  <c r="AV139" i="1" s="1"/>
  <c r="AU135" i="1"/>
  <c r="AV135" i="1" s="1"/>
  <c r="AX125" i="1"/>
  <c r="BF124" i="1" s="1"/>
  <c r="AX123" i="1"/>
  <c r="AU137" i="1"/>
  <c r="AV137" i="1" s="1"/>
  <c r="C200" i="1"/>
  <c r="AM126" i="1"/>
  <c r="GC2" i="1"/>
  <c r="GJ2" i="1"/>
  <c r="GS2" i="1"/>
  <c r="GC9" i="1"/>
  <c r="GJ9" i="1"/>
  <c r="GS9" i="1"/>
  <c r="GZ7" i="1"/>
  <c r="GC8" i="1"/>
  <c r="GJ8" i="1"/>
  <c r="GS8" i="1"/>
  <c r="GJ6" i="1"/>
  <c r="S3" i="1"/>
  <c r="FU3" i="1"/>
  <c r="GS5" i="1"/>
  <c r="AJ13" i="1"/>
  <c r="AK11" i="1"/>
  <c r="W15" i="1"/>
  <c r="AN15" i="1"/>
  <c r="GZ15" i="1"/>
  <c r="R2" i="1"/>
  <c r="V2" i="1"/>
  <c r="AI2" i="1"/>
  <c r="GL116" i="1"/>
  <c r="R9" i="1"/>
  <c r="V9" i="1"/>
  <c r="AI9" i="1"/>
  <c r="GC10" i="1"/>
  <c r="HB7" i="1"/>
  <c r="P135" i="1"/>
  <c r="P130" i="1"/>
  <c r="P129" i="1"/>
  <c r="P136" i="1"/>
  <c r="P132" i="1"/>
  <c r="P127" i="1"/>
  <c r="P137" i="1" s="1"/>
  <c r="P133" i="1"/>
  <c r="P131" i="1"/>
  <c r="P134" i="1"/>
  <c r="P128" i="1"/>
  <c r="EG3" i="1"/>
  <c r="HB3" i="1"/>
  <c r="V5" i="1"/>
  <c r="AI5" i="1"/>
  <c r="GC5" i="1"/>
  <c r="AK13" i="1"/>
  <c r="HB13" i="1"/>
  <c r="AL11" i="1"/>
  <c r="GZ11" i="1"/>
  <c r="W19" i="1"/>
  <c r="HB19" i="1"/>
  <c r="AK15" i="1"/>
  <c r="HB15" i="1"/>
  <c r="W20" i="1"/>
  <c r="AJ20" i="1"/>
  <c r="AN20" i="1"/>
  <c r="HB20" i="1"/>
  <c r="W31" i="1"/>
  <c r="AN31" i="1"/>
  <c r="EG31" i="1"/>
  <c r="EG22" i="1"/>
  <c r="FR22" i="1"/>
  <c r="JR14" i="1"/>
  <c r="EG17" i="1"/>
  <c r="FR17" i="1"/>
  <c r="R12" i="1"/>
  <c r="W12" i="1"/>
  <c r="W18" i="1"/>
  <c r="GU18" i="1"/>
  <c r="FR23" i="1"/>
  <c r="R24" i="1"/>
  <c r="W24" i="1"/>
  <c r="AI24" i="1"/>
  <c r="GS35" i="1"/>
  <c r="AI35" i="1"/>
  <c r="V35" i="1"/>
  <c r="GZ35" i="1"/>
  <c r="HB35" i="1"/>
  <c r="S26" i="1"/>
  <c r="R26" i="1"/>
  <c r="GS26" i="1"/>
  <c r="W26" i="1"/>
  <c r="HB26" i="1"/>
  <c r="AI26" i="1"/>
  <c r="V26" i="1"/>
  <c r="GU26" i="1"/>
  <c r="GJ26" i="1"/>
  <c r="GC26" i="1"/>
  <c r="JR37" i="1"/>
  <c r="JR29" i="1"/>
  <c r="GZ8" i="1"/>
  <c r="AL13" i="1"/>
  <c r="AM11" i="1"/>
  <c r="HB11" i="1"/>
  <c r="HB22" i="1"/>
  <c r="GU22" i="1"/>
  <c r="AI22" i="1"/>
  <c r="V22" i="1"/>
  <c r="R22" i="1"/>
  <c r="GO30" i="1"/>
  <c r="FU30" i="1"/>
  <c r="HC30" i="1"/>
  <c r="FS30" i="1"/>
  <c r="FY26" i="1"/>
  <c r="EJ7" i="1"/>
  <c r="GJ7" i="1"/>
  <c r="GS3" i="1"/>
  <c r="EJ4" i="1"/>
  <c r="GC13" i="1"/>
  <c r="GJ13" i="1"/>
  <c r="GS13" i="1"/>
  <c r="AL15" i="1"/>
  <c r="GS15" i="1"/>
  <c r="HB2" i="1"/>
  <c r="AI7" i="1"/>
  <c r="R8" i="1"/>
  <c r="V8" i="1"/>
  <c r="AI8" i="1"/>
  <c r="HB8" i="1"/>
  <c r="V3" i="1"/>
  <c r="AI3" i="1"/>
  <c r="GC3" i="1"/>
  <c r="GJ3" i="1"/>
  <c r="GU3" i="1"/>
  <c r="R13" i="1"/>
  <c r="V13" i="1"/>
  <c r="AI13" i="1"/>
  <c r="AM13" i="1"/>
  <c r="GU13" i="1"/>
  <c r="R11" i="1"/>
  <c r="V11" i="1"/>
  <c r="AI11" i="1"/>
  <c r="AN11" i="1"/>
  <c r="GC11" i="1"/>
  <c r="GJ11" i="1"/>
  <c r="GS11" i="1"/>
  <c r="GC19" i="1"/>
  <c r="GJ19" i="1"/>
  <c r="R15" i="1"/>
  <c r="V15" i="1"/>
  <c r="AI15" i="1"/>
  <c r="AM15" i="1"/>
  <c r="GC15" i="1"/>
  <c r="GJ15" i="1"/>
  <c r="GU15" i="1"/>
  <c r="AL20" i="1"/>
  <c r="EJ20" i="1"/>
  <c r="GI20" i="1"/>
  <c r="GS20" i="1"/>
  <c r="GC31" i="1"/>
  <c r="AI31" i="1"/>
  <c r="V31" i="1"/>
  <c r="R31" i="1"/>
  <c r="HB31" i="1"/>
  <c r="AM31" i="1"/>
  <c r="GU31" i="1"/>
  <c r="GJ22" i="1"/>
  <c r="GS22" i="1"/>
  <c r="GJ17" i="1"/>
  <c r="GZ12" i="1"/>
  <c r="AI12" i="1"/>
  <c r="V12" i="1"/>
  <c r="GS12" i="1"/>
  <c r="HB12" i="1"/>
  <c r="JR12" i="1"/>
  <c r="FT30" i="1"/>
  <c r="HB18" i="1"/>
  <c r="AM18" i="1"/>
  <c r="AI18" i="1"/>
  <c r="V18" i="1"/>
  <c r="R18" i="1"/>
  <c r="GC18" i="1"/>
  <c r="AK18" i="1"/>
  <c r="GZ18" i="1"/>
  <c r="GZ23" i="1"/>
  <c r="GS23" i="1"/>
  <c r="AI23" i="1"/>
  <c r="V23" i="1"/>
  <c r="R23" i="1"/>
  <c r="GJ23" i="1"/>
  <c r="GZ24" i="1"/>
  <c r="V24" i="1"/>
  <c r="GS24" i="1"/>
  <c r="HB24" i="1"/>
  <c r="JR24" i="1"/>
  <c r="GJ37" i="1"/>
  <c r="GI37" i="1"/>
  <c r="FR37" i="1"/>
  <c r="W3" i="1"/>
  <c r="W13" i="1"/>
  <c r="AN13" i="1"/>
  <c r="W11" i="1"/>
  <c r="AJ15" i="1"/>
  <c r="W22" i="1"/>
  <c r="GC22" i="1"/>
  <c r="GZ22" i="1"/>
  <c r="GZ14" i="1"/>
  <c r="GS14" i="1"/>
  <c r="GJ14" i="1"/>
  <c r="GC14" i="1"/>
  <c r="AI14" i="1"/>
  <c r="V14" i="1"/>
  <c r="R14" i="1"/>
  <c r="FU14" i="1"/>
  <c r="GU14" i="1"/>
  <c r="HG30" i="1"/>
  <c r="FT14" i="1"/>
  <c r="HC14" i="1"/>
  <c r="AN21" i="1"/>
  <c r="HB21" i="1"/>
  <c r="HB16" i="1"/>
  <c r="GS17" i="1"/>
  <c r="GS30" i="1"/>
  <c r="FT18" i="1"/>
  <c r="V25" i="1"/>
  <c r="AI25" i="1"/>
  <c r="GS25" i="1"/>
  <c r="AL37" i="1"/>
  <c r="GT37" i="1"/>
  <c r="HB38" i="1"/>
  <c r="HB29" i="1"/>
  <c r="GS27" i="1"/>
  <c r="GI41" i="1"/>
  <c r="JR49" i="1"/>
  <c r="GS29" i="1"/>
  <c r="GC27" i="1"/>
  <c r="GJ27" i="1"/>
  <c r="GU27" i="1"/>
  <c r="JR44" i="1"/>
  <c r="W21" i="1"/>
  <c r="AL21" i="1"/>
  <c r="FT16" i="1"/>
  <c r="GZ25" i="1"/>
  <c r="W37" i="1"/>
  <c r="AJ37" i="1"/>
  <c r="AN37" i="1"/>
  <c r="GC37" i="1"/>
  <c r="W38" i="1"/>
  <c r="AM38" i="1"/>
  <c r="FT38" i="1"/>
  <c r="R29" i="1"/>
  <c r="V29" i="1"/>
  <c r="AI29" i="1"/>
  <c r="FT29" i="1"/>
  <c r="GC29" i="1"/>
  <c r="R27" i="1"/>
  <c r="V27" i="1"/>
  <c r="AI27" i="1"/>
  <c r="GZ27" i="1"/>
  <c r="GI28" i="1"/>
  <c r="R44" i="1"/>
  <c r="S44" i="1"/>
  <c r="GT44" i="1"/>
  <c r="AI44" i="1"/>
  <c r="V44" i="1"/>
  <c r="AL44" i="1"/>
  <c r="W44" i="1"/>
  <c r="GJ44" i="1"/>
  <c r="GE44" i="1"/>
  <c r="FR44" i="1"/>
  <c r="GZ44" i="1"/>
  <c r="GT41" i="1"/>
  <c r="GC41" i="1"/>
  <c r="AN41" i="1"/>
  <c r="AJ41" i="1"/>
  <c r="AK41" i="1"/>
  <c r="FR41" i="1"/>
  <c r="GS41" i="1"/>
  <c r="JR41" i="1"/>
  <c r="AI49" i="1"/>
  <c r="Y49" i="1"/>
  <c r="U49" i="1"/>
  <c r="FT49" i="1"/>
  <c r="FY49" i="1"/>
  <c r="FS49" i="1"/>
  <c r="HG49" i="1"/>
  <c r="FU49" i="1"/>
  <c r="GI49" i="1"/>
  <c r="EF46" i="1"/>
  <c r="HB25" i="1"/>
  <c r="W29" i="1"/>
  <c r="FU29" i="1"/>
  <c r="W27" i="1"/>
  <c r="EG28" i="1"/>
  <c r="FR28" i="1"/>
  <c r="GJ49" i="1"/>
  <c r="GT49" i="1"/>
  <c r="GR32" i="1"/>
  <c r="GU32" i="1" s="1"/>
  <c r="GZ32" i="1"/>
  <c r="FR36" i="1"/>
  <c r="GE36" i="1"/>
  <c r="FQ36" i="1" s="1"/>
  <c r="GT36" i="1"/>
  <c r="HB34" i="1"/>
  <c r="AI33" i="1"/>
  <c r="GS33" i="1"/>
  <c r="W47" i="1"/>
  <c r="AM47" i="1"/>
  <c r="GZ47" i="1"/>
  <c r="W50" i="1"/>
  <c r="AK50" i="1"/>
  <c r="FU50" i="1"/>
  <c r="GZ50" i="1"/>
  <c r="R43" i="1"/>
  <c r="V43" i="1"/>
  <c r="AI43" i="1"/>
  <c r="GZ43" i="1"/>
  <c r="W42" i="1"/>
  <c r="AM42" i="1"/>
  <c r="GZ42" i="1"/>
  <c r="W51" i="1"/>
  <c r="AL51" i="1"/>
  <c r="GZ51" i="1"/>
  <c r="V40" i="1"/>
  <c r="GT40" i="1"/>
  <c r="R39" i="1"/>
  <c r="V39" i="1"/>
  <c r="AI39" i="1"/>
  <c r="GR39" i="1"/>
  <c r="GU39" i="1" s="1"/>
  <c r="W53" i="1"/>
  <c r="AJ53" i="1"/>
  <c r="GC53" i="1"/>
  <c r="GJ53" i="1"/>
  <c r="GS53" i="1"/>
  <c r="HB53" i="1"/>
  <c r="R54" i="1"/>
  <c r="V54" i="1"/>
  <c r="AI54" i="1"/>
  <c r="AM54" i="1"/>
  <c r="GR54" i="1"/>
  <c r="GU54" i="1" s="1"/>
  <c r="GZ54" i="1"/>
  <c r="FR55" i="1"/>
  <c r="HG55" i="1"/>
  <c r="W57" i="1"/>
  <c r="AK57" i="1"/>
  <c r="GS57" i="1"/>
  <c r="HB57" i="1"/>
  <c r="W81" i="1"/>
  <c r="GO81" i="1"/>
  <c r="HB81" i="1"/>
  <c r="T48" i="1"/>
  <c r="GT48" i="1"/>
  <c r="AI48" i="1"/>
  <c r="FV116" i="1"/>
  <c r="FX48" i="1"/>
  <c r="GE48" i="1"/>
  <c r="GI48" i="1" s="1"/>
  <c r="HB48" i="1"/>
  <c r="AN52" i="1"/>
  <c r="GZ52" i="1"/>
  <c r="FR82" i="1"/>
  <c r="IY90" i="1"/>
  <c r="JB90" i="1" s="1"/>
  <c r="IW90" i="1"/>
  <c r="IX90" i="1" s="1"/>
  <c r="GU36" i="1"/>
  <c r="AN42" i="1"/>
  <c r="GS42" i="1"/>
  <c r="HB42" i="1"/>
  <c r="AM51" i="1"/>
  <c r="GS51" i="1"/>
  <c r="HB51" i="1"/>
  <c r="GU40" i="1"/>
  <c r="GT53" i="1"/>
  <c r="HC53" i="1"/>
  <c r="U48" i="1"/>
  <c r="EN48" i="1"/>
  <c r="HG52" i="1"/>
  <c r="GO52" i="1"/>
  <c r="GU52" i="1"/>
  <c r="HB52" i="1"/>
  <c r="HC82" i="1"/>
  <c r="EE56" i="1"/>
  <c r="EG56" i="1" s="1"/>
  <c r="FY56" i="1"/>
  <c r="FS56" i="1"/>
  <c r="FT56" i="1"/>
  <c r="GI56" i="1"/>
  <c r="GJ56" i="1"/>
  <c r="GT32" i="1"/>
  <c r="R36" i="1"/>
  <c r="V36" i="1"/>
  <c r="AI36" i="1"/>
  <c r="GC36" i="1"/>
  <c r="GZ36" i="1"/>
  <c r="GC34" i="1"/>
  <c r="GJ34" i="1"/>
  <c r="GU34" i="1"/>
  <c r="EE46" i="1"/>
  <c r="EG46" i="1" s="1"/>
  <c r="U47" i="1"/>
  <c r="AM50" i="1"/>
  <c r="FS50" i="1"/>
  <c r="FY50" i="1"/>
  <c r="GJ50" i="1"/>
  <c r="GT50" i="1"/>
  <c r="HC50" i="1"/>
  <c r="AI42" i="1"/>
  <c r="GC42" i="1"/>
  <c r="GJ42" i="1"/>
  <c r="GT42" i="1"/>
  <c r="AI51" i="1"/>
  <c r="GC51" i="1"/>
  <c r="GJ51" i="1"/>
  <c r="GT51" i="1"/>
  <c r="EE40" i="1"/>
  <c r="EG40" i="1" s="1"/>
  <c r="FR40" i="1"/>
  <c r="GI40" i="1"/>
  <c r="GZ40" i="1"/>
  <c r="AL53" i="1"/>
  <c r="EE53" i="1"/>
  <c r="EG53" i="1" s="1"/>
  <c r="FR53" i="1"/>
  <c r="GO53" i="1" s="1"/>
  <c r="HG53" i="1"/>
  <c r="AK54" i="1"/>
  <c r="GI55" i="1"/>
  <c r="GZ81" i="1"/>
  <c r="AI81" i="1"/>
  <c r="GJ81" i="1"/>
  <c r="GT81" i="1"/>
  <c r="GA116" i="1"/>
  <c r="GD48" i="1"/>
  <c r="GC49" i="1"/>
  <c r="FR32" i="1"/>
  <c r="HC32" i="1" s="1"/>
  <c r="W36" i="1"/>
  <c r="GS36" i="1"/>
  <c r="AI34" i="1"/>
  <c r="FU34" i="1"/>
  <c r="R50" i="1"/>
  <c r="V50" i="1"/>
  <c r="AI50" i="1"/>
  <c r="FT50" i="1"/>
  <c r="GC50" i="1"/>
  <c r="GO50" i="1"/>
  <c r="R42" i="1"/>
  <c r="V42" i="1"/>
  <c r="AL42" i="1"/>
  <c r="R51" i="1"/>
  <c r="V51" i="1"/>
  <c r="AK51" i="1"/>
  <c r="FU51" i="1"/>
  <c r="GC40" i="1"/>
  <c r="GS40" i="1"/>
  <c r="GR53" i="1"/>
  <c r="FR81" i="1"/>
  <c r="JK56" i="1"/>
  <c r="JL56" i="1" s="1"/>
  <c r="IE92" i="1"/>
  <c r="IF92" i="1" s="1"/>
  <c r="II92" i="1" s="1"/>
  <c r="IJ92" i="1" s="1"/>
  <c r="V56" i="1"/>
  <c r="AI56" i="1"/>
  <c r="AM56" i="1"/>
  <c r="GC56" i="1"/>
  <c r="GT56" i="1"/>
  <c r="GZ115" i="1"/>
  <c r="IQ60" i="1"/>
  <c r="AI67" i="1"/>
  <c r="EU67" i="1"/>
  <c r="EV67" i="1" s="1"/>
  <c r="EF67" i="1" s="1"/>
  <c r="HB67" i="1"/>
  <c r="R58" i="1"/>
  <c r="V58" i="1"/>
  <c r="AI58" i="1"/>
  <c r="FR58" i="1"/>
  <c r="HB58" i="1"/>
  <c r="IJ58" i="1"/>
  <c r="HU78" i="1"/>
  <c r="HY78" i="1"/>
  <c r="FS66" i="1"/>
  <c r="FY66" i="1"/>
  <c r="HG66" i="1"/>
  <c r="HV66" i="1"/>
  <c r="R59" i="1"/>
  <c r="V59" i="1"/>
  <c r="GR59" i="1"/>
  <c r="GU59" i="1" s="1"/>
  <c r="JB59" i="1"/>
  <c r="FR80" i="1"/>
  <c r="GI80" i="1"/>
  <c r="FS61" i="1"/>
  <c r="GZ92" i="1"/>
  <c r="HG92" i="1"/>
  <c r="HQ92" i="1"/>
  <c r="HR92" i="1" s="1"/>
  <c r="HW92" i="1"/>
  <c r="HZ92" i="1" s="1"/>
  <c r="IA92" i="1" s="1"/>
  <c r="IB92" i="1"/>
  <c r="GU64" i="1"/>
  <c r="HB64" i="1"/>
  <c r="GI62" i="1"/>
  <c r="GU65" i="1"/>
  <c r="HG103" i="1"/>
  <c r="HC103" i="1"/>
  <c r="FY69" i="1"/>
  <c r="FS69" i="1"/>
  <c r="GI69" i="1"/>
  <c r="IY69" i="1"/>
  <c r="JB69" i="1" s="1"/>
  <c r="JF88" i="1"/>
  <c r="HC67" i="1"/>
  <c r="GU78" i="1"/>
  <c r="HB80" i="1"/>
  <c r="FY103" i="1"/>
  <c r="FS103" i="1"/>
  <c r="HB69" i="1"/>
  <c r="AI69" i="1"/>
  <c r="GZ69" i="1"/>
  <c r="IY83" i="1"/>
  <c r="IW83" i="1"/>
  <c r="IX83" i="1" s="1"/>
  <c r="IU89" i="1"/>
  <c r="IV89" i="1"/>
  <c r="GU72" i="1"/>
  <c r="AI78" i="1"/>
  <c r="GZ78" i="1"/>
  <c r="GD80" i="1"/>
  <c r="GZ65" i="1"/>
  <c r="AK65" i="1"/>
  <c r="FS65" i="1"/>
  <c r="IV63" i="1"/>
  <c r="IU63" i="1"/>
  <c r="HB68" i="1"/>
  <c r="AI68" i="1"/>
  <c r="GZ68" i="1"/>
  <c r="FY68" i="1"/>
  <c r="FS68" i="1"/>
  <c r="GU68" i="1"/>
  <c r="GZ83" i="1"/>
  <c r="GU83" i="1"/>
  <c r="IV84" i="1"/>
  <c r="IU84" i="1"/>
  <c r="IU86" i="1"/>
  <c r="IV86" i="1"/>
  <c r="AI72" i="1"/>
  <c r="HB72" i="1"/>
  <c r="GZ72" i="1"/>
  <c r="AL56" i="1"/>
  <c r="GS56" i="1"/>
  <c r="FR67" i="1"/>
  <c r="FS64" i="1"/>
  <c r="FS62" i="1"/>
  <c r="AI65" i="1"/>
  <c r="HB65" i="1"/>
  <c r="FS63" i="1"/>
  <c r="IU69" i="1"/>
  <c r="HG83" i="1"/>
  <c r="FS83" i="1"/>
  <c r="IW88" i="1"/>
  <c r="IZ88" i="1" s="1"/>
  <c r="JA88" i="1" s="1"/>
  <c r="IU90" i="1"/>
  <c r="AI75" i="1"/>
  <c r="Y75" i="1"/>
  <c r="GR73" i="1"/>
  <c r="GU73" i="1" s="1"/>
  <c r="HB73" i="1"/>
  <c r="IU85" i="1"/>
  <c r="IU98" i="1"/>
  <c r="IV109" i="1"/>
  <c r="FR72" i="1"/>
  <c r="JR74" i="1"/>
  <c r="FY75" i="1"/>
  <c r="HG76" i="1"/>
  <c r="HC76" i="1"/>
  <c r="JB88" i="1"/>
  <c r="IU88" i="1"/>
  <c r="IU97" i="1"/>
  <c r="IU113" i="1"/>
  <c r="IV113" i="1"/>
  <c r="AI74" i="1"/>
  <c r="Y74" i="1"/>
  <c r="FS75" i="1"/>
  <c r="GZ70" i="1"/>
  <c r="W70" i="1"/>
  <c r="V70" i="1"/>
  <c r="R70" i="1"/>
  <c r="EU70" i="1"/>
  <c r="EV70" i="1" s="1"/>
  <c r="EF70" i="1" s="1"/>
  <c r="GU70" i="1"/>
  <c r="GZ107" i="1"/>
  <c r="HB107" i="1"/>
  <c r="IU76" i="1"/>
  <c r="IV76" i="1"/>
  <c r="EU75" i="1"/>
  <c r="EV75" i="1" s="1"/>
  <c r="EF75" i="1" s="1"/>
  <c r="EE75" i="1"/>
  <c r="EG75" i="1" s="1"/>
  <c r="EU73" i="1"/>
  <c r="EV73" i="1" s="1"/>
  <c r="EF73" i="1" s="1"/>
  <c r="EE73" i="1"/>
  <c r="EG73" i="1" s="1"/>
  <c r="GI73" i="1"/>
  <c r="JR73" i="1"/>
  <c r="HC93" i="1"/>
  <c r="JB110" i="1"/>
  <c r="GR75" i="1"/>
  <c r="GU75" i="1" s="1"/>
  <c r="HB75" i="1"/>
  <c r="GZ93" i="1"/>
  <c r="GS93" i="1"/>
  <c r="HB93" i="1"/>
  <c r="AC148" i="1"/>
  <c r="D219" i="1"/>
  <c r="G233" i="1"/>
  <c r="G235" i="1" s="1"/>
  <c r="B210" i="1"/>
  <c r="AD148" i="1"/>
  <c r="W34" i="1" s="1"/>
  <c r="D233" i="1"/>
  <c r="D235" i="1" s="1"/>
  <c r="H233" i="1"/>
  <c r="H235" i="1" s="1"/>
  <c r="F233" i="1"/>
  <c r="F235" i="1" s="1"/>
  <c r="J233" i="1"/>
  <c r="J235" i="1" s="1"/>
  <c r="E219" i="1"/>
  <c r="HP94" i="1"/>
  <c r="HT94" i="1" s="1"/>
  <c r="HU94" i="1" s="1"/>
  <c r="HP108" i="1"/>
  <c r="HT108" i="1" s="1"/>
  <c r="IM65" i="1"/>
  <c r="JI68" i="1"/>
  <c r="JJ88" i="1"/>
  <c r="JK88" i="1" s="1"/>
  <c r="HP109" i="1"/>
  <c r="HQ109" i="1" s="1"/>
  <c r="HR109" i="1" s="1"/>
  <c r="HS86" i="1"/>
  <c r="HM87" i="1"/>
  <c r="HQ87" i="1" s="1"/>
  <c r="HR87" i="1" s="1"/>
  <c r="HM63" i="1"/>
  <c r="HN63" i="1" s="1"/>
  <c r="HQ63" i="1" s="1"/>
  <c r="HR63" i="1" s="1"/>
  <c r="IM68" i="1"/>
  <c r="HM84" i="1"/>
  <c r="HN84" i="1" s="1"/>
  <c r="HQ84" i="1" s="1"/>
  <c r="HR84" i="1" s="1"/>
  <c r="HS106" i="1"/>
  <c r="HM85" i="1"/>
  <c r="HN85" i="1" s="1"/>
  <c r="HQ85" i="1" s="1"/>
  <c r="HR85" i="1" s="1"/>
  <c r="HM112" i="1"/>
  <c r="HN112" i="1" s="1"/>
  <c r="HQ112" i="1" s="1"/>
  <c r="HR112" i="1" s="1"/>
  <c r="HO109" i="1"/>
  <c r="HM110" i="1"/>
  <c r="HN110" i="1" s="1"/>
  <c r="HQ110" i="1" s="1"/>
  <c r="HR110" i="1" s="1"/>
  <c r="HM96" i="1"/>
  <c r="HN96" i="1" s="1"/>
  <c r="HQ96" i="1" s="1"/>
  <c r="HR96" i="1" s="1"/>
  <c r="JI80" i="1"/>
  <c r="HM83" i="1"/>
  <c r="HN83" i="1" s="1"/>
  <c r="HQ83" i="1" s="1"/>
  <c r="HR83" i="1" s="1"/>
  <c r="HS84" i="1"/>
  <c r="HU106" i="1"/>
  <c r="HU110" i="1"/>
  <c r="JI74" i="1"/>
  <c r="JI75" i="1"/>
  <c r="IM73" i="1"/>
  <c r="JI73" i="1"/>
  <c r="HM77" i="1"/>
  <c r="HN77" i="1" s="1"/>
  <c r="HQ77" i="1" s="1"/>
  <c r="HR77" i="1" s="1"/>
  <c r="HM70" i="1"/>
  <c r="HP93" i="1"/>
  <c r="HQ93" i="1" s="1"/>
  <c r="HR93" i="1" s="1"/>
  <c r="HO107" i="1"/>
  <c r="IY53" i="1"/>
  <c r="JB53" i="1" s="1"/>
  <c r="IY57" i="1"/>
  <c r="IZ57" i="1" s="1"/>
  <c r="JA57" i="1" s="1"/>
  <c r="HM86" i="1"/>
  <c r="HQ86" i="1" s="1"/>
  <c r="HR86" i="1" s="1"/>
  <c r="HM88" i="1"/>
  <c r="HQ88" i="1" s="1"/>
  <c r="HR88" i="1" s="1"/>
  <c r="HM106" i="1"/>
  <c r="HN106" i="1" s="1"/>
  <c r="HQ106" i="1" s="1"/>
  <c r="HR106" i="1" s="1"/>
  <c r="HM91" i="1"/>
  <c r="HN91" i="1" s="1"/>
  <c r="HQ91" i="1" s="1"/>
  <c r="HR91" i="1" s="1"/>
  <c r="IM74" i="1"/>
  <c r="IM75" i="1"/>
  <c r="HU96" i="1"/>
  <c r="HT83" i="1"/>
  <c r="HU83" i="1" s="1"/>
  <c r="HS83" i="1"/>
  <c r="HT88" i="1"/>
  <c r="HU88" i="1" s="1"/>
  <c r="IX55" i="1"/>
  <c r="HT69" i="1"/>
  <c r="HT84" i="1"/>
  <c r="HU84" i="1" s="1"/>
  <c r="HT98" i="1"/>
  <c r="HU98" i="1" s="1"/>
  <c r="HO97" i="1"/>
  <c r="HT63" i="1"/>
  <c r="HS63" i="1"/>
  <c r="HS69" i="1"/>
  <c r="HM69" i="1"/>
  <c r="IX69" i="1"/>
  <c r="HT86" i="1"/>
  <c r="HU86" i="1" s="1"/>
  <c r="HT85" i="1"/>
  <c r="HS85" i="1"/>
  <c r="HS88" i="1"/>
  <c r="HS89" i="1"/>
  <c r="HV99" i="1"/>
  <c r="HM95" i="1"/>
  <c r="HP97" i="1"/>
  <c r="HS97" i="1" s="1"/>
  <c r="HU99" i="1"/>
  <c r="HP95" i="1"/>
  <c r="HS95" i="1" s="1"/>
  <c r="HO108" i="1"/>
  <c r="HT112" i="1"/>
  <c r="HU112" i="1" s="1"/>
  <c r="HS112" i="1"/>
  <c r="HT91" i="1"/>
  <c r="HU91" i="1" s="1"/>
  <c r="HS91" i="1"/>
  <c r="HS98" i="1"/>
  <c r="HS90" i="1"/>
  <c r="HM98" i="1"/>
  <c r="HV110" i="1"/>
  <c r="HS99" i="1"/>
  <c r="HM111" i="1"/>
  <c r="IO72" i="1"/>
  <c r="IP72" i="1" s="1"/>
  <c r="IM72" i="1"/>
  <c r="HW77" i="1"/>
  <c r="HX77" i="1" s="1"/>
  <c r="HY77" i="1"/>
  <c r="IB77" i="1" s="1"/>
  <c r="HT70" i="1"/>
  <c r="HU70" i="1" s="1"/>
  <c r="HS70" i="1"/>
  <c r="HM99" i="1"/>
  <c r="HV106" i="1"/>
  <c r="HO113" i="1"/>
  <c r="HP111" i="1"/>
  <c r="JJ72" i="1"/>
  <c r="JL72" i="1" s="1"/>
  <c r="JI72" i="1"/>
  <c r="HT87" i="1"/>
  <c r="HS87" i="1"/>
  <c r="HM76" i="1"/>
  <c r="HS110" i="1"/>
  <c r="HP113" i="1"/>
  <c r="HQ113" i="1" s="1"/>
  <c r="HR113" i="1" s="1"/>
  <c r="HV96" i="1"/>
  <c r="HP76" i="1"/>
  <c r="HO105" i="1"/>
  <c r="HO93" i="1"/>
  <c r="HU77" i="1"/>
  <c r="HO94" i="1"/>
  <c r="HS77" i="1"/>
  <c r="HP107" i="1"/>
  <c r="HP105" i="1"/>
  <c r="HQ105" i="1" s="1"/>
  <c r="HR105" i="1" s="1"/>
  <c r="HS96" i="1"/>
  <c r="B24" i="26" l="1"/>
  <c r="C29" i="7"/>
  <c r="F27" i="7" s="1"/>
  <c r="C24" i="26"/>
  <c r="B14" i="26"/>
  <c r="HC8" i="1"/>
  <c r="HC59" i="1"/>
  <c r="GS136" i="1"/>
  <c r="GP137" i="1"/>
  <c r="GS134" i="1"/>
  <c r="GS135" i="1"/>
  <c r="GL137" i="1"/>
  <c r="FR59" i="1"/>
  <c r="FR116" i="1" s="1"/>
  <c r="GF116" i="1"/>
  <c r="GF120" i="1"/>
  <c r="GJ120" i="1" s="1"/>
  <c r="FT59" i="1"/>
  <c r="FU59" i="1"/>
  <c r="GO59" i="1"/>
  <c r="EF80" i="1"/>
  <c r="FU8" i="1"/>
  <c r="GO8" i="1"/>
  <c r="GO6" i="1"/>
  <c r="GO35" i="1"/>
  <c r="HC6" i="1"/>
  <c r="FU6" i="1"/>
  <c r="HC35" i="1"/>
  <c r="FS6" i="1"/>
  <c r="JE77" i="1"/>
  <c r="JG77" i="1" s="1"/>
  <c r="JH77" i="1" s="1"/>
  <c r="JJ77" i="1" s="1"/>
  <c r="JK77" i="1" s="1"/>
  <c r="JM77" i="1" s="1"/>
  <c r="IB65" i="1"/>
  <c r="JE85" i="1"/>
  <c r="JG85" i="1" s="1"/>
  <c r="JH85" i="1" s="1"/>
  <c r="JJ85" i="1" s="1"/>
  <c r="JK85" i="1" s="1"/>
  <c r="JL85" i="1" s="1"/>
  <c r="FT6" i="1"/>
  <c r="HG8" i="1"/>
  <c r="FS27" i="1"/>
  <c r="FS8" i="1"/>
  <c r="IW96" i="1"/>
  <c r="IX96" i="1" s="1"/>
  <c r="HC45" i="1"/>
  <c r="FY57" i="1"/>
  <c r="FU35" i="1"/>
  <c r="JF111" i="1"/>
  <c r="IW77" i="1"/>
  <c r="IZ77" i="1" s="1"/>
  <c r="JA77" i="1" s="1"/>
  <c r="IJ64" i="1"/>
  <c r="FY54" i="1"/>
  <c r="FU9" i="1"/>
  <c r="GO9" i="1"/>
  <c r="IW108" i="1"/>
  <c r="IX108" i="1" s="1"/>
  <c r="IY87" i="1"/>
  <c r="IZ87" i="1" s="1"/>
  <c r="JA87" i="1" s="1"/>
  <c r="IL58" i="1"/>
  <c r="IM58" i="1" s="1"/>
  <c r="IT58" i="1"/>
  <c r="IU58" i="1" s="1"/>
  <c r="HG9" i="1"/>
  <c r="HC9" i="1"/>
  <c r="FT9" i="1"/>
  <c r="GO7" i="1"/>
  <c r="IO65" i="1"/>
  <c r="IP65" i="1" s="1"/>
  <c r="IQ65" i="1"/>
  <c r="FS20" i="1"/>
  <c r="GO20" i="1"/>
  <c r="EF41" i="1"/>
  <c r="CI41" i="1"/>
  <c r="EF49" i="1"/>
  <c r="CI49" i="1"/>
  <c r="HG48" i="1"/>
  <c r="HC10" i="1"/>
  <c r="FS46" i="1"/>
  <c r="FY48" i="1"/>
  <c r="HC49" i="1"/>
  <c r="HC46" i="1"/>
  <c r="FT10" i="1"/>
  <c r="HG10" i="1"/>
  <c r="GM121" i="1"/>
  <c r="GY120" i="1"/>
  <c r="GZ120" i="1" s="1"/>
  <c r="JB98" i="1"/>
  <c r="HC24" i="1"/>
  <c r="IV60" i="1"/>
  <c r="IY60" i="1" s="1"/>
  <c r="GM122" i="1"/>
  <c r="FU2" i="1"/>
  <c r="HG24" i="1"/>
  <c r="GO2" i="1"/>
  <c r="HC2" i="1"/>
  <c r="FT2" i="1"/>
  <c r="FT5" i="1"/>
  <c r="HG2" i="1"/>
  <c r="FS15" i="1"/>
  <c r="AI120" i="1"/>
  <c r="HC5" i="1"/>
  <c r="GO5" i="1"/>
  <c r="FU5" i="1"/>
  <c r="FS5" i="1"/>
  <c r="FS10" i="1"/>
  <c r="FU10" i="1"/>
  <c r="IW107" i="1"/>
  <c r="IX107" i="1" s="1"/>
  <c r="FS57" i="1"/>
  <c r="HG45" i="1"/>
  <c r="FU57" i="1"/>
  <c r="FS54" i="1"/>
  <c r="EG34" i="1"/>
  <c r="FU27" i="1"/>
  <c r="FU13" i="1"/>
  <c r="HC12" i="1"/>
  <c r="JB111" i="1"/>
  <c r="HZ64" i="1"/>
  <c r="IA64" i="1" s="1"/>
  <c r="HC27" i="1"/>
  <c r="FT54" i="1"/>
  <c r="HC11" i="1"/>
  <c r="HC15" i="1"/>
  <c r="FT27" i="1"/>
  <c r="IJ65" i="1"/>
  <c r="GO54" i="1"/>
  <c r="GO57" i="1"/>
  <c r="FU54" i="1"/>
  <c r="FY45" i="1"/>
  <c r="HG13" i="1"/>
  <c r="HG27" i="1"/>
  <c r="FT11" i="1"/>
  <c r="FT15" i="1"/>
  <c r="GO15" i="1"/>
  <c r="FY46" i="1"/>
  <c r="FU7" i="1"/>
  <c r="HC4" i="1"/>
  <c r="FS4" i="1"/>
  <c r="JJ110" i="1"/>
  <c r="JK110" i="1" s="1"/>
  <c r="JL110" i="1" s="1"/>
  <c r="FU93" i="1"/>
  <c r="FS73" i="1"/>
  <c r="IU65" i="1"/>
  <c r="GO39" i="1"/>
  <c r="FY39" i="1"/>
  <c r="FT21" i="1"/>
  <c r="HG20" i="1"/>
  <c r="FS26" i="1"/>
  <c r="FU20" i="1"/>
  <c r="HC21" i="1"/>
  <c r="FU21" i="1"/>
  <c r="FY73" i="1"/>
  <c r="FS39" i="1"/>
  <c r="HC20" i="1"/>
  <c r="FU26" i="1"/>
  <c r="FT26" i="1"/>
  <c r="EJ33" i="1"/>
  <c r="IX110" i="1"/>
  <c r="IY54" i="1"/>
  <c r="JE54" i="1" s="1"/>
  <c r="JG54" i="1" s="1"/>
  <c r="JH54" i="1" s="1"/>
  <c r="JJ54" i="1" s="1"/>
  <c r="JK54" i="1" s="1"/>
  <c r="JL54" i="1" s="1"/>
  <c r="FU15" i="1"/>
  <c r="IB64" i="1"/>
  <c r="IZ111" i="1"/>
  <c r="JA111" i="1" s="1"/>
  <c r="IX111" i="1"/>
  <c r="JR27" i="1"/>
  <c r="IP57" i="1"/>
  <c r="JI111" i="1"/>
  <c r="JI59" i="1"/>
  <c r="IZ85" i="1"/>
  <c r="JA85" i="1" s="1"/>
  <c r="JL59" i="1"/>
  <c r="JN59" i="1"/>
  <c r="JO59" i="1" s="1"/>
  <c r="JP59" i="1" s="1"/>
  <c r="IZ69" i="1"/>
  <c r="JA69" i="1" s="1"/>
  <c r="GI36" i="1"/>
  <c r="GO21" i="1"/>
  <c r="IZ98" i="1"/>
  <c r="JA98" i="1" s="1"/>
  <c r="FS21" i="1"/>
  <c r="HG26" i="1"/>
  <c r="IZ83" i="1"/>
  <c r="JA83" i="1" s="1"/>
  <c r="HS108" i="1"/>
  <c r="GO26" i="1"/>
  <c r="JF59" i="1"/>
  <c r="JR59" i="1" s="1"/>
  <c r="FS31" i="1"/>
  <c r="IY93" i="1"/>
  <c r="IZ93" i="1" s="1"/>
  <c r="JA93" i="1" s="1"/>
  <c r="IW112" i="1"/>
  <c r="IX112" i="1" s="1"/>
  <c r="FS25" i="1"/>
  <c r="FT24" i="1"/>
  <c r="FU24" i="1"/>
  <c r="FU12" i="1"/>
  <c r="FU31" i="1"/>
  <c r="FS70" i="1"/>
  <c r="IX59" i="1"/>
  <c r="IX88" i="1"/>
  <c r="IZ90" i="1"/>
  <c r="JA90" i="1" s="1"/>
  <c r="GE120" i="1"/>
  <c r="HG12" i="1"/>
  <c r="FT12" i="1"/>
  <c r="GO24" i="1"/>
  <c r="GO12" i="1"/>
  <c r="JI98" i="1"/>
  <c r="FT31" i="1"/>
  <c r="HG31" i="1"/>
  <c r="HC31" i="1"/>
  <c r="GO11" i="1"/>
  <c r="HG11" i="1"/>
  <c r="JF98" i="1"/>
  <c r="IY91" i="1"/>
  <c r="IW91" i="1"/>
  <c r="FY74" i="1"/>
  <c r="FU11" i="1"/>
  <c r="IY94" i="1"/>
  <c r="IW94" i="1"/>
  <c r="GO25" i="1"/>
  <c r="HG25" i="1"/>
  <c r="FT25" i="1"/>
  <c r="GS120" i="1"/>
  <c r="AF121" i="1"/>
  <c r="BF123" i="1"/>
  <c r="GO93" i="1"/>
  <c r="FT93" i="1"/>
  <c r="FY93" i="1"/>
  <c r="HG39" i="1"/>
  <c r="FT39" i="1"/>
  <c r="GO43" i="1"/>
  <c r="FT43" i="1"/>
  <c r="HG43" i="1"/>
  <c r="FS43" i="1"/>
  <c r="HC43" i="1"/>
  <c r="FY43" i="1"/>
  <c r="GO4" i="1"/>
  <c r="HG4" i="1"/>
  <c r="FT4" i="1"/>
  <c r="HG7" i="1"/>
  <c r="FT7" i="1"/>
  <c r="HC7" i="1"/>
  <c r="HG19" i="1"/>
  <c r="FT19" i="1"/>
  <c r="FU19" i="1"/>
  <c r="HC19" i="1"/>
  <c r="GO19" i="1"/>
  <c r="FS19" i="1"/>
  <c r="IY106" i="1"/>
  <c r="IW106" i="1"/>
  <c r="AE121" i="1"/>
  <c r="GC120" i="1"/>
  <c r="JB97" i="1"/>
  <c r="HZ78" i="1"/>
  <c r="IA78" i="1" s="1"/>
  <c r="HC25" i="1"/>
  <c r="IY95" i="1"/>
  <c r="IW95" i="1"/>
  <c r="HC33" i="1"/>
  <c r="FT33" i="1"/>
  <c r="HG33" i="1"/>
  <c r="GO33" i="1"/>
  <c r="FU33" i="1"/>
  <c r="FT35" i="1"/>
  <c r="HG35" i="1"/>
  <c r="JF110" i="1"/>
  <c r="HG42" i="1"/>
  <c r="HC42" i="1"/>
  <c r="FS42" i="1"/>
  <c r="FY42" i="1"/>
  <c r="GO42" i="1"/>
  <c r="FT42" i="1"/>
  <c r="GD116" i="1"/>
  <c r="GT120" i="1"/>
  <c r="IZ97" i="1"/>
  <c r="JA97" i="1" s="1"/>
  <c r="C210" i="1"/>
  <c r="IY99" i="1"/>
  <c r="IW99" i="1"/>
  <c r="FT52" i="1"/>
  <c r="FS52" i="1"/>
  <c r="FY52" i="1"/>
  <c r="IB67" i="1"/>
  <c r="HZ67" i="1"/>
  <c r="IA67" i="1" s="1"/>
  <c r="IE67" i="1"/>
  <c r="IF67" i="1" s="1"/>
  <c r="HG47" i="1"/>
  <c r="HC47" i="1"/>
  <c r="FY47" i="1"/>
  <c r="FS47" i="1"/>
  <c r="FQ48" i="1"/>
  <c r="FS48" i="1" s="1"/>
  <c r="GO48" i="1"/>
  <c r="FU48" i="1"/>
  <c r="FT48" i="1"/>
  <c r="GO13" i="1"/>
  <c r="HC13" i="1"/>
  <c r="FT13" i="1"/>
  <c r="IW84" i="1"/>
  <c r="IY84" i="1"/>
  <c r="FU36" i="1"/>
  <c r="FT36" i="1"/>
  <c r="HG36" i="1"/>
  <c r="GO36" i="1"/>
  <c r="FY36" i="1"/>
  <c r="FS36" i="1"/>
  <c r="GO23" i="1"/>
  <c r="FU23" i="1"/>
  <c r="HC23" i="1"/>
  <c r="FS23" i="1"/>
  <c r="HG23" i="1"/>
  <c r="FT23" i="1"/>
  <c r="FY81" i="1"/>
  <c r="FS81" i="1"/>
  <c r="FU81" i="1"/>
  <c r="FT81" i="1"/>
  <c r="HC36" i="1"/>
  <c r="JI97" i="1"/>
  <c r="JE107" i="1"/>
  <c r="JG107" i="1" s="1"/>
  <c r="JB107" i="1"/>
  <c r="IY76" i="1"/>
  <c r="IW76" i="1"/>
  <c r="IW113" i="1"/>
  <c r="IY113" i="1"/>
  <c r="FS72" i="1"/>
  <c r="FY72" i="1"/>
  <c r="FY67" i="1"/>
  <c r="FS67" i="1"/>
  <c r="JE112" i="1"/>
  <c r="JG112" i="1" s="1"/>
  <c r="JH112" i="1" s="1"/>
  <c r="JB112" i="1"/>
  <c r="JF97" i="1"/>
  <c r="IY65" i="1"/>
  <c r="IW65" i="1"/>
  <c r="HX92" i="1"/>
  <c r="HY66" i="1"/>
  <c r="IE78" i="1"/>
  <c r="IF78" i="1" s="1"/>
  <c r="II78" i="1" s="1"/>
  <c r="IJ78" i="1" s="1"/>
  <c r="IB78" i="1"/>
  <c r="GO32" i="1"/>
  <c r="JE90" i="1"/>
  <c r="FY82" i="1"/>
  <c r="FS82" i="1"/>
  <c r="HC44" i="1"/>
  <c r="FU44" i="1"/>
  <c r="HG44" i="1"/>
  <c r="GO44" i="1"/>
  <c r="FY44" i="1"/>
  <c r="FT44" i="1"/>
  <c r="FU37" i="1"/>
  <c r="FT37" i="1"/>
  <c r="HC37" i="1"/>
  <c r="FY37" i="1"/>
  <c r="HG37" i="1"/>
  <c r="FS37" i="1"/>
  <c r="GO37" i="1"/>
  <c r="FS22" i="1"/>
  <c r="HG22" i="1"/>
  <c r="FU22" i="1"/>
  <c r="FT22" i="1"/>
  <c r="HC22" i="1"/>
  <c r="GO22" i="1"/>
  <c r="IW86" i="1"/>
  <c r="IY86" i="1"/>
  <c r="FY58" i="1"/>
  <c r="FS58" i="1"/>
  <c r="GR120" i="1"/>
  <c r="GU53" i="1"/>
  <c r="GR116" i="1" s="1"/>
  <c r="HG32" i="1"/>
  <c r="FU32" i="1"/>
  <c r="FT32" i="1"/>
  <c r="FY32" i="1"/>
  <c r="FS32" i="1"/>
  <c r="FT40" i="1"/>
  <c r="FY40" i="1"/>
  <c r="HG40" i="1"/>
  <c r="GO40" i="1"/>
  <c r="HC40" i="1"/>
  <c r="FU40" i="1"/>
  <c r="EU48" i="1"/>
  <c r="EV48" i="1" s="1"/>
  <c r="C11" i="26" s="1"/>
  <c r="EE48" i="1"/>
  <c r="EG48" i="1" s="1"/>
  <c r="HX78" i="1"/>
  <c r="IV52" i="1"/>
  <c r="IU52" i="1"/>
  <c r="FU55" i="1"/>
  <c r="FT55" i="1"/>
  <c r="FY55" i="1"/>
  <c r="FS55" i="1"/>
  <c r="GO55" i="1"/>
  <c r="HG28" i="1"/>
  <c r="FT28" i="1"/>
  <c r="GO28" i="1"/>
  <c r="FU28" i="1"/>
  <c r="HC28" i="1"/>
  <c r="FS28" i="1"/>
  <c r="HC41" i="1"/>
  <c r="FT41" i="1"/>
  <c r="HG41" i="1"/>
  <c r="GO41" i="1"/>
  <c r="FU41" i="1"/>
  <c r="FS41" i="1"/>
  <c r="FY41" i="1"/>
  <c r="GE116" i="1"/>
  <c r="FQ44" i="1"/>
  <c r="GI44" i="1"/>
  <c r="GO17" i="1"/>
  <c r="FU17" i="1"/>
  <c r="HC17" i="1"/>
  <c r="FS17" i="1"/>
  <c r="HG17" i="1"/>
  <c r="FT17" i="1"/>
  <c r="IW63" i="1"/>
  <c r="IY63" i="1"/>
  <c r="IW109" i="1"/>
  <c r="IY109" i="1"/>
  <c r="HQ94" i="1"/>
  <c r="HR94" i="1" s="1"/>
  <c r="JE96" i="1"/>
  <c r="JG96" i="1" s="1"/>
  <c r="JB96" i="1"/>
  <c r="JE108" i="1"/>
  <c r="JF108" i="1" s="1"/>
  <c r="IW89" i="1"/>
  <c r="IY89" i="1"/>
  <c r="JE83" i="1"/>
  <c r="JG83" i="1" s="1"/>
  <c r="JB83" i="1"/>
  <c r="JE69" i="1"/>
  <c r="JF69" i="1" s="1"/>
  <c r="FS80" i="1"/>
  <c r="FY80" i="1"/>
  <c r="IK92" i="1"/>
  <c r="JN56" i="1"/>
  <c r="JO56" i="1" s="1"/>
  <c r="JP56" i="1" s="1"/>
  <c r="JM56" i="1"/>
  <c r="JR56" i="1" s="1"/>
  <c r="IL64" i="1"/>
  <c r="IN64" i="1"/>
  <c r="FY53" i="1"/>
  <c r="FS53" i="1"/>
  <c r="FU53" i="1"/>
  <c r="FT53" i="1"/>
  <c r="HB116" i="1"/>
  <c r="HS94" i="1"/>
  <c r="HQ108" i="1"/>
  <c r="HR108" i="1" s="1"/>
  <c r="HO77" i="1"/>
  <c r="JN111" i="1"/>
  <c r="JO111" i="1" s="1"/>
  <c r="JP111" i="1" s="1"/>
  <c r="HO112" i="1"/>
  <c r="IZ53" i="1"/>
  <c r="JA53" i="1" s="1"/>
  <c r="HO84" i="1"/>
  <c r="HT109" i="1"/>
  <c r="HU109" i="1" s="1"/>
  <c r="HS109" i="1"/>
  <c r="JE57" i="1"/>
  <c r="JF57" i="1" s="1"/>
  <c r="HO88" i="1"/>
  <c r="HO87" i="1"/>
  <c r="JB57" i="1"/>
  <c r="HO86" i="1"/>
  <c r="JE53" i="1"/>
  <c r="JF53" i="1" s="1"/>
  <c r="HO91" i="1"/>
  <c r="HS93" i="1"/>
  <c r="HO85" i="1"/>
  <c r="HN70" i="1"/>
  <c r="HQ70" i="1" s="1"/>
  <c r="HR70" i="1" s="1"/>
  <c r="JL111" i="1"/>
  <c r="HO96" i="1"/>
  <c r="HT93" i="1"/>
  <c r="HU93" i="1" s="1"/>
  <c r="HO110" i="1"/>
  <c r="HW96" i="1"/>
  <c r="HY96" i="1"/>
  <c r="HT107" i="1"/>
  <c r="HU107" i="1" s="1"/>
  <c r="HS107" i="1"/>
  <c r="HV94" i="1"/>
  <c r="HV108" i="1"/>
  <c r="HN98" i="1"/>
  <c r="HQ98" i="1" s="1"/>
  <c r="HR98" i="1" s="1"/>
  <c r="HV91" i="1"/>
  <c r="HV63" i="1"/>
  <c r="JN98" i="1"/>
  <c r="JO98" i="1" s="1"/>
  <c r="JP98" i="1" s="1"/>
  <c r="JM98" i="1"/>
  <c r="HV84" i="1"/>
  <c r="HO63" i="1"/>
  <c r="HU63" i="1"/>
  <c r="HT76" i="1"/>
  <c r="HT113" i="1"/>
  <c r="HU113" i="1" s="1"/>
  <c r="HV87" i="1"/>
  <c r="HU87" i="1"/>
  <c r="HY106" i="1"/>
  <c r="HW106" i="1"/>
  <c r="HN99" i="1"/>
  <c r="HQ99" i="1" s="1"/>
  <c r="HR99" i="1" s="1"/>
  <c r="HU108" i="1"/>
  <c r="HT95" i="1"/>
  <c r="HU95" i="1" s="1"/>
  <c r="HN95" i="1"/>
  <c r="HQ95" i="1" s="1"/>
  <c r="HR95" i="1" s="1"/>
  <c r="HN69" i="1"/>
  <c r="HQ69" i="1" s="1"/>
  <c r="HR69" i="1" s="1"/>
  <c r="HV69" i="1"/>
  <c r="HT105" i="1"/>
  <c r="HS105" i="1"/>
  <c r="HT111" i="1"/>
  <c r="HU111" i="1" s="1"/>
  <c r="IE77" i="1"/>
  <c r="IF77" i="1" s="1"/>
  <c r="II77" i="1" s="1"/>
  <c r="IK77" i="1" s="1"/>
  <c r="IL77" i="1" s="1"/>
  <c r="HN111" i="1"/>
  <c r="HQ111" i="1" s="1"/>
  <c r="HR111" i="1" s="1"/>
  <c r="HW110" i="1"/>
  <c r="HY110" i="1"/>
  <c r="HO106" i="1"/>
  <c r="HT89" i="1"/>
  <c r="HV85" i="1"/>
  <c r="HU85" i="1"/>
  <c r="HV98" i="1"/>
  <c r="JM88" i="1"/>
  <c r="JN88" i="1"/>
  <c r="JO88" i="1" s="1"/>
  <c r="JP88" i="1" s="1"/>
  <c r="HQ90" i="1"/>
  <c r="HR90" i="1" s="1"/>
  <c r="JE55" i="1"/>
  <c r="JF55" i="1" s="1"/>
  <c r="JB55" i="1"/>
  <c r="HV88" i="1"/>
  <c r="HU69" i="1"/>
  <c r="HN76" i="1"/>
  <c r="HQ76" i="1" s="1"/>
  <c r="HR76" i="1" s="1"/>
  <c r="HQ107" i="1"/>
  <c r="HR107" i="1" s="1"/>
  <c r="HS76" i="1"/>
  <c r="HS113" i="1"/>
  <c r="HV70" i="1"/>
  <c r="HZ77" i="1"/>
  <c r="IA77" i="1" s="1"/>
  <c r="HS111" i="1"/>
  <c r="HT90" i="1"/>
  <c r="JM97" i="1"/>
  <c r="JN97" i="1"/>
  <c r="JO97" i="1" s="1"/>
  <c r="JP97" i="1" s="1"/>
  <c r="HV112" i="1"/>
  <c r="HT97" i="1"/>
  <c r="HW99" i="1"/>
  <c r="HY99" i="1"/>
  <c r="HQ89" i="1"/>
  <c r="HR89" i="1" s="1"/>
  <c r="HV86" i="1"/>
  <c r="HQ97" i="1"/>
  <c r="HR97" i="1" s="1"/>
  <c r="JL88" i="1"/>
  <c r="HO90" i="1"/>
  <c r="HO83" i="1"/>
  <c r="IZ55" i="1"/>
  <c r="JA55" i="1" s="1"/>
  <c r="HV83" i="1"/>
  <c r="F26" i="7" l="1"/>
  <c r="F28" i="7"/>
  <c r="D30" i="7"/>
  <c r="E30" i="7"/>
  <c r="C12" i="26"/>
  <c r="C8" i="26"/>
  <c r="C7" i="26"/>
  <c r="C9" i="26"/>
  <c r="C4" i="26"/>
  <c r="C13" i="26"/>
  <c r="C5" i="26"/>
  <c r="C10" i="26"/>
  <c r="C6" i="26"/>
  <c r="GS137" i="1"/>
  <c r="FR120" i="1"/>
  <c r="FU120" i="1" s="1"/>
  <c r="FS59" i="1"/>
  <c r="FY59" i="1"/>
  <c r="GS116" i="1"/>
  <c r="GQ116" i="1"/>
  <c r="EF48" i="1"/>
  <c r="GU116" i="1"/>
  <c r="JL77" i="1"/>
  <c r="JF77" i="1"/>
  <c r="JI77" i="1"/>
  <c r="IZ96" i="1"/>
  <c r="JA96" i="1" s="1"/>
  <c r="JN77" i="1"/>
  <c r="JO77" i="1" s="1"/>
  <c r="JP77" i="1" s="1"/>
  <c r="JI85" i="1"/>
  <c r="JF85" i="1"/>
  <c r="IX77" i="1"/>
  <c r="HB120" i="1"/>
  <c r="JE87" i="1"/>
  <c r="JG87" i="1" s="1"/>
  <c r="JH87" i="1" s="1"/>
  <c r="JJ87" i="1" s="1"/>
  <c r="JK87" i="1" s="1"/>
  <c r="JM87" i="1" s="1"/>
  <c r="JB87" i="1"/>
  <c r="IZ108" i="1"/>
  <c r="JA108" i="1" s="1"/>
  <c r="IV58" i="1"/>
  <c r="IY58" i="1" s="1"/>
  <c r="IO58" i="1"/>
  <c r="IP58" i="1" s="1"/>
  <c r="IW60" i="1"/>
  <c r="IZ60" i="1" s="1"/>
  <c r="JA60" i="1" s="1"/>
  <c r="JB54" i="1"/>
  <c r="IZ107" i="1"/>
  <c r="JA107" i="1" s="1"/>
  <c r="JF54" i="1"/>
  <c r="IZ54" i="1"/>
  <c r="JA54" i="1" s="1"/>
  <c r="JI54" i="1"/>
  <c r="GI116" i="1"/>
  <c r="IZ63" i="1"/>
  <c r="JA63" i="1" s="1"/>
  <c r="IZ112" i="1"/>
  <c r="JA112" i="1" s="1"/>
  <c r="JE93" i="1"/>
  <c r="JG93" i="1" s="1"/>
  <c r="JH93" i="1" s="1"/>
  <c r="JB93" i="1"/>
  <c r="IZ106" i="1"/>
  <c r="JA106" i="1" s="1"/>
  <c r="HG120" i="1"/>
  <c r="JF96" i="1"/>
  <c r="GI120" i="1"/>
  <c r="HZ66" i="1"/>
  <c r="IA66" i="1" s="1"/>
  <c r="JF107" i="1"/>
  <c r="JE91" i="1"/>
  <c r="JF91" i="1" s="1"/>
  <c r="JB91" i="1"/>
  <c r="IZ91" i="1"/>
  <c r="JA91" i="1" s="1"/>
  <c r="IX91" i="1"/>
  <c r="JB99" i="1"/>
  <c r="JE99" i="1"/>
  <c r="JF99" i="1" s="1"/>
  <c r="IX94" i="1"/>
  <c r="IZ94" i="1"/>
  <c r="JA94" i="1" s="1"/>
  <c r="GO116" i="1"/>
  <c r="HG116" i="1"/>
  <c r="IK67" i="1"/>
  <c r="IJ67" i="1"/>
  <c r="IX95" i="1"/>
  <c r="IZ95" i="1"/>
  <c r="JA95" i="1" s="1"/>
  <c r="JE94" i="1"/>
  <c r="JB94" i="1"/>
  <c r="GZ116" i="1"/>
  <c r="JE95" i="1"/>
  <c r="JF95" i="1" s="1"/>
  <c r="JB95" i="1"/>
  <c r="JE106" i="1"/>
  <c r="JF106" i="1" s="1"/>
  <c r="JB106" i="1"/>
  <c r="FQ116" i="1"/>
  <c r="FQ120" i="1"/>
  <c r="IZ99" i="1"/>
  <c r="JA99" i="1" s="1"/>
  <c r="IX99" i="1"/>
  <c r="IX106" i="1"/>
  <c r="JG69" i="1"/>
  <c r="JF83" i="1"/>
  <c r="IX63" i="1"/>
  <c r="JE109" i="1"/>
  <c r="JF109" i="1" s="1"/>
  <c r="JB109" i="1"/>
  <c r="JE86" i="1"/>
  <c r="JB86" i="1"/>
  <c r="IX76" i="1"/>
  <c r="IZ76" i="1"/>
  <c r="JA76" i="1" s="1"/>
  <c r="JH107" i="1"/>
  <c r="JJ107" i="1" s="1"/>
  <c r="IZ84" i="1"/>
  <c r="JA84" i="1" s="1"/>
  <c r="IX84" i="1"/>
  <c r="IW52" i="1"/>
  <c r="IY52" i="1" s="1"/>
  <c r="IX86" i="1"/>
  <c r="IZ86" i="1"/>
  <c r="JA86" i="1" s="1"/>
  <c r="FS44" i="1"/>
  <c r="FS116" i="1" s="1"/>
  <c r="JG90" i="1"/>
  <c r="IX65" i="1"/>
  <c r="IZ65" i="1"/>
  <c r="JA65" i="1" s="1"/>
  <c r="JI112" i="1"/>
  <c r="JJ112" i="1"/>
  <c r="JK112" i="1" s="1"/>
  <c r="JE76" i="1"/>
  <c r="JF76" i="1" s="1"/>
  <c r="JB76" i="1"/>
  <c r="IT64" i="1"/>
  <c r="IQ64" i="1"/>
  <c r="JE89" i="1"/>
  <c r="JF89" i="1" s="1"/>
  <c r="JB89" i="1"/>
  <c r="IX109" i="1"/>
  <c r="IZ109" i="1"/>
  <c r="JA109" i="1" s="1"/>
  <c r="AX127" i="1"/>
  <c r="BF125" i="1"/>
  <c r="IO64" i="1"/>
  <c r="IP64" i="1" s="1"/>
  <c r="IM64" i="1"/>
  <c r="IN92" i="1"/>
  <c r="IL92" i="1"/>
  <c r="IX89" i="1"/>
  <c r="IZ89" i="1"/>
  <c r="JA89" i="1" s="1"/>
  <c r="JH96" i="1"/>
  <c r="JJ96" i="1" s="1"/>
  <c r="JK96" i="1" s="1"/>
  <c r="JL96" i="1" s="1"/>
  <c r="JE63" i="1"/>
  <c r="JG63" i="1" s="1"/>
  <c r="JB63" i="1"/>
  <c r="JF90" i="1"/>
  <c r="JE60" i="1"/>
  <c r="JG60" i="1" s="1"/>
  <c r="JB60" i="1"/>
  <c r="HX66" i="1"/>
  <c r="JE65" i="1"/>
  <c r="JB65" i="1"/>
  <c r="JF112" i="1"/>
  <c r="JE113" i="1"/>
  <c r="JB113" i="1"/>
  <c r="JH83" i="1"/>
  <c r="JJ83" i="1" s="1"/>
  <c r="JK83" i="1" s="1"/>
  <c r="JL83" i="1" s="1"/>
  <c r="JG108" i="1"/>
  <c r="IK78" i="1"/>
  <c r="IE66" i="1"/>
  <c r="IF66" i="1" s="1"/>
  <c r="II66" i="1" s="1"/>
  <c r="IJ66" i="1" s="1"/>
  <c r="IB66" i="1"/>
  <c r="IX113" i="1"/>
  <c r="IZ113" i="1"/>
  <c r="JA113" i="1" s="1"/>
  <c r="JE84" i="1"/>
  <c r="JG84" i="1" s="1"/>
  <c r="JH84" i="1" s="1"/>
  <c r="JB84" i="1"/>
  <c r="JG57" i="1"/>
  <c r="JH57" i="1" s="1"/>
  <c r="JJ57" i="1" s="1"/>
  <c r="HV109" i="1"/>
  <c r="HY109" i="1" s="1"/>
  <c r="HV93" i="1"/>
  <c r="HY93" i="1" s="1"/>
  <c r="JM54" i="1"/>
  <c r="JG53" i="1"/>
  <c r="JH53" i="1" s="1"/>
  <c r="JJ53" i="1" s="1"/>
  <c r="JN54" i="1"/>
  <c r="JO54" i="1" s="1"/>
  <c r="JP54" i="1" s="1"/>
  <c r="HO99" i="1"/>
  <c r="HZ99" i="1"/>
  <c r="IA99" i="1" s="1"/>
  <c r="HO69" i="1"/>
  <c r="HZ106" i="1"/>
  <c r="IA106" i="1" s="1"/>
  <c r="HO89" i="1"/>
  <c r="HZ110" i="1"/>
  <c r="IA110" i="1" s="1"/>
  <c r="HO70" i="1"/>
  <c r="HX99" i="1"/>
  <c r="HY88" i="1"/>
  <c r="HW88" i="1"/>
  <c r="HX106" i="1"/>
  <c r="HV113" i="1"/>
  <c r="HW63" i="1"/>
  <c r="HY63" i="1"/>
  <c r="HY91" i="1"/>
  <c r="HW91" i="1"/>
  <c r="HV97" i="1"/>
  <c r="IE99" i="1"/>
  <c r="IF99" i="1" s="1"/>
  <c r="II99" i="1" s="1"/>
  <c r="IK99" i="1" s="1"/>
  <c r="IL99" i="1" s="1"/>
  <c r="IB99" i="1"/>
  <c r="HU97" i="1"/>
  <c r="HO76" i="1"/>
  <c r="JG55" i="1"/>
  <c r="HV89" i="1"/>
  <c r="HX110" i="1"/>
  <c r="IJ77" i="1"/>
  <c r="HY84" i="1"/>
  <c r="HW84" i="1"/>
  <c r="HY94" i="1"/>
  <c r="HW94" i="1"/>
  <c r="IE96" i="1"/>
  <c r="IF96" i="1" s="1"/>
  <c r="II96" i="1" s="1"/>
  <c r="IK96" i="1" s="1"/>
  <c r="IL96" i="1" s="1"/>
  <c r="IB96" i="1"/>
  <c r="HY86" i="1"/>
  <c r="HW86" i="1"/>
  <c r="HV90" i="1"/>
  <c r="HY70" i="1"/>
  <c r="HW70" i="1"/>
  <c r="HU89" i="1"/>
  <c r="JN110" i="1"/>
  <c r="JO110" i="1" s="1"/>
  <c r="JP110" i="1" s="1"/>
  <c r="JM110" i="1"/>
  <c r="HV105" i="1"/>
  <c r="HV95" i="1"/>
  <c r="HW87" i="1"/>
  <c r="HX87" i="1" s="1"/>
  <c r="HY87" i="1"/>
  <c r="HV76" i="1"/>
  <c r="HO98" i="1"/>
  <c r="HZ96" i="1"/>
  <c r="IA96" i="1" s="1"/>
  <c r="HW83" i="1"/>
  <c r="HY83" i="1"/>
  <c r="HY112" i="1"/>
  <c r="HW112" i="1"/>
  <c r="HX112" i="1" s="1"/>
  <c r="HU90" i="1"/>
  <c r="JN85" i="1"/>
  <c r="JO85" i="1" s="1"/>
  <c r="JP85" i="1" s="1"/>
  <c r="JM85" i="1"/>
  <c r="HW98" i="1"/>
  <c r="HX98" i="1" s="1"/>
  <c r="HY98" i="1"/>
  <c r="HW85" i="1"/>
  <c r="HX85" i="1" s="1"/>
  <c r="HY85" i="1"/>
  <c r="IE110" i="1"/>
  <c r="IF110" i="1" s="1"/>
  <c r="II110" i="1" s="1"/>
  <c r="IK110" i="1" s="1"/>
  <c r="IL110" i="1" s="1"/>
  <c r="IB110" i="1"/>
  <c r="HO111" i="1"/>
  <c r="HV111" i="1"/>
  <c r="HU105" i="1"/>
  <c r="HW69" i="1"/>
  <c r="HX69" i="1" s="1"/>
  <c r="HY69" i="1"/>
  <c r="HO95" i="1"/>
  <c r="IE106" i="1"/>
  <c r="IF106" i="1" s="1"/>
  <c r="II106" i="1" s="1"/>
  <c r="IK106" i="1" s="1"/>
  <c r="IL106" i="1" s="1"/>
  <c r="IB106" i="1"/>
  <c r="HU76" i="1"/>
  <c r="HY108" i="1"/>
  <c r="HW108" i="1"/>
  <c r="HV107" i="1"/>
  <c r="HX96" i="1"/>
  <c r="C14" i="26" l="1"/>
  <c r="FT120" i="1"/>
  <c r="JR77" i="1"/>
  <c r="IW58" i="1"/>
  <c r="IX58" i="1" s="1"/>
  <c r="JF87" i="1"/>
  <c r="IX60" i="1"/>
  <c r="JR54" i="1"/>
  <c r="JN87" i="1"/>
  <c r="JO87" i="1" s="1"/>
  <c r="JP87" i="1" s="1"/>
  <c r="HW109" i="1"/>
  <c r="HX109" i="1" s="1"/>
  <c r="JF93" i="1"/>
  <c r="JI93" i="1"/>
  <c r="JJ93" i="1"/>
  <c r="JL87" i="1"/>
  <c r="JG91" i="1"/>
  <c r="JH91" i="1" s="1"/>
  <c r="IO92" i="1"/>
  <c r="IP92" i="1" s="1"/>
  <c r="JG94" i="1"/>
  <c r="JH94" i="1" s="1"/>
  <c r="FS120" i="1"/>
  <c r="JG99" i="1"/>
  <c r="GA121" i="1"/>
  <c r="GL121" i="1"/>
  <c r="JM83" i="1"/>
  <c r="JF63" i="1"/>
  <c r="JG106" i="1"/>
  <c r="JH106" i="1" s="1"/>
  <c r="JG95" i="1"/>
  <c r="JH95" i="1" s="1"/>
  <c r="JF94" i="1"/>
  <c r="IN67" i="1"/>
  <c r="JI83" i="1"/>
  <c r="JM96" i="1"/>
  <c r="JI87" i="1"/>
  <c r="IM92" i="1"/>
  <c r="JH60" i="1"/>
  <c r="JJ60" i="1" s="1"/>
  <c r="JK60" i="1" s="1"/>
  <c r="JM60" i="1" s="1"/>
  <c r="IZ52" i="1"/>
  <c r="JA52" i="1" s="1"/>
  <c r="JE52" i="1"/>
  <c r="JB52" i="1"/>
  <c r="JG113" i="1"/>
  <c r="JG65" i="1"/>
  <c r="JL112" i="1"/>
  <c r="JN112" i="1"/>
  <c r="JO112" i="1" s="1"/>
  <c r="JP112" i="1" s="1"/>
  <c r="JM112" i="1"/>
  <c r="JK107" i="1"/>
  <c r="JL107" i="1" s="1"/>
  <c r="JG86" i="1"/>
  <c r="JH86" i="1" s="1"/>
  <c r="JH69" i="1"/>
  <c r="JJ69" i="1" s="1"/>
  <c r="JN96" i="1"/>
  <c r="JO96" i="1" s="1"/>
  <c r="JP96" i="1" s="1"/>
  <c r="JI84" i="1"/>
  <c r="JJ84" i="1"/>
  <c r="IL78" i="1"/>
  <c r="IN78" i="1"/>
  <c r="JF113" i="1"/>
  <c r="JF65" i="1"/>
  <c r="JF60" i="1"/>
  <c r="JH63" i="1"/>
  <c r="JJ63" i="1" s="1"/>
  <c r="JK63" i="1" s="1"/>
  <c r="IV64" i="1"/>
  <c r="JF86" i="1"/>
  <c r="JN83" i="1"/>
  <c r="JO83" i="1" s="1"/>
  <c r="JP83" i="1" s="1"/>
  <c r="HW93" i="1"/>
  <c r="HZ93" i="1" s="1"/>
  <c r="IA93" i="1" s="1"/>
  <c r="JF84" i="1"/>
  <c r="IK66" i="1"/>
  <c r="JI96" i="1"/>
  <c r="IT92" i="1"/>
  <c r="IU92" i="1" s="1"/>
  <c r="IQ92" i="1"/>
  <c r="JG89" i="1"/>
  <c r="JH89" i="1" s="1"/>
  <c r="IU64" i="1"/>
  <c r="JG76" i="1"/>
  <c r="JH108" i="1"/>
  <c r="JJ108" i="1" s="1"/>
  <c r="JE58" i="1"/>
  <c r="JF58" i="1" s="1"/>
  <c r="JB58" i="1"/>
  <c r="JH90" i="1"/>
  <c r="JJ90" i="1" s="1"/>
  <c r="IX52" i="1"/>
  <c r="JI107" i="1"/>
  <c r="JG109" i="1"/>
  <c r="HZ70" i="1"/>
  <c r="IA70" i="1" s="1"/>
  <c r="JI57" i="1"/>
  <c r="JR57" i="1" s="1"/>
  <c r="HZ83" i="1"/>
  <c r="IA83" i="1" s="1"/>
  <c r="HZ63" i="1"/>
  <c r="IA63" i="1" s="1"/>
  <c r="HZ108" i="1"/>
  <c r="IA108" i="1" s="1"/>
  <c r="HZ94" i="1"/>
  <c r="IA94" i="1" s="1"/>
  <c r="HZ91" i="1"/>
  <c r="IA91" i="1" s="1"/>
  <c r="IE109" i="1"/>
  <c r="IF109" i="1" s="1"/>
  <c r="II109" i="1" s="1"/>
  <c r="IK109" i="1" s="1"/>
  <c r="IL109" i="1" s="1"/>
  <c r="IB109" i="1"/>
  <c r="IE98" i="1"/>
  <c r="IF98" i="1" s="1"/>
  <c r="II98" i="1" s="1"/>
  <c r="IK98" i="1" s="1"/>
  <c r="IL98" i="1" s="1"/>
  <c r="IB98" i="1"/>
  <c r="IE112" i="1"/>
  <c r="IF112" i="1" s="1"/>
  <c r="II112" i="1" s="1"/>
  <c r="IK112" i="1" s="1"/>
  <c r="IL112" i="1" s="1"/>
  <c r="IB112" i="1"/>
  <c r="HX83" i="1"/>
  <c r="HZ87" i="1"/>
  <c r="IA87" i="1" s="1"/>
  <c r="HY105" i="1"/>
  <c r="HW105" i="1"/>
  <c r="HX70" i="1"/>
  <c r="HW90" i="1"/>
  <c r="HY90" i="1"/>
  <c r="IE94" i="1"/>
  <c r="IF94" i="1" s="1"/>
  <c r="II94" i="1" s="1"/>
  <c r="IK94" i="1" s="1"/>
  <c r="IL94" i="1" s="1"/>
  <c r="IB94" i="1"/>
  <c r="IJ99" i="1"/>
  <c r="HX91" i="1"/>
  <c r="HX63" i="1"/>
  <c r="HX108" i="1"/>
  <c r="HY107" i="1"/>
  <c r="HW107" i="1"/>
  <c r="HX107" i="1" s="1"/>
  <c r="IE108" i="1"/>
  <c r="IF108" i="1" s="1"/>
  <c r="II108" i="1" s="1"/>
  <c r="IK108" i="1" s="1"/>
  <c r="IL108" i="1" s="1"/>
  <c r="IB108" i="1"/>
  <c r="IE69" i="1"/>
  <c r="IF69" i="1" s="1"/>
  <c r="II69" i="1" s="1"/>
  <c r="IB69" i="1"/>
  <c r="IE85" i="1"/>
  <c r="IF85" i="1" s="1"/>
  <c r="II85" i="1" s="1"/>
  <c r="IK85" i="1" s="1"/>
  <c r="IL85" i="1" s="1"/>
  <c r="IB85" i="1"/>
  <c r="JK53" i="1"/>
  <c r="IE70" i="1"/>
  <c r="IF70" i="1" s="1"/>
  <c r="II70" i="1" s="1"/>
  <c r="IJ70" i="1" s="1"/>
  <c r="IB70" i="1"/>
  <c r="HZ86" i="1"/>
  <c r="IA86" i="1" s="1"/>
  <c r="HZ84" i="1"/>
  <c r="IA84" i="1" s="1"/>
  <c r="HY89" i="1"/>
  <c r="HW89" i="1"/>
  <c r="JH55" i="1"/>
  <c r="JJ55" i="1" s="1"/>
  <c r="HY97" i="1"/>
  <c r="HW97" i="1"/>
  <c r="HX97" i="1" s="1"/>
  <c r="IE91" i="1"/>
  <c r="IF91" i="1" s="1"/>
  <c r="II91" i="1" s="1"/>
  <c r="IK91" i="1" s="1"/>
  <c r="IL91" i="1" s="1"/>
  <c r="IB91" i="1"/>
  <c r="HY113" i="1"/>
  <c r="HW113" i="1"/>
  <c r="HZ88" i="1"/>
  <c r="IA88" i="1" s="1"/>
  <c r="HW111" i="1"/>
  <c r="HY111" i="1"/>
  <c r="IJ110" i="1"/>
  <c r="JR110" i="1" s="1"/>
  <c r="IJ106" i="1"/>
  <c r="HZ69" i="1"/>
  <c r="IA69" i="1" s="1"/>
  <c r="HZ85" i="1"/>
  <c r="IA85" i="1" s="1"/>
  <c r="HZ98" i="1"/>
  <c r="IA98" i="1" s="1"/>
  <c r="JK57" i="1"/>
  <c r="JL57" i="1" s="1"/>
  <c r="HZ112" i="1"/>
  <c r="IA112" i="1" s="1"/>
  <c r="IE83" i="1"/>
  <c r="IF83" i="1" s="1"/>
  <c r="II83" i="1" s="1"/>
  <c r="IK83" i="1" s="1"/>
  <c r="IL83" i="1" s="1"/>
  <c r="IB83" i="1"/>
  <c r="HW76" i="1"/>
  <c r="HX76" i="1" s="1"/>
  <c r="HY76" i="1"/>
  <c r="JI53" i="1"/>
  <c r="JR53" i="1" s="1"/>
  <c r="HX86" i="1"/>
  <c r="IJ96" i="1"/>
  <c r="HX94" i="1"/>
  <c r="HX84" i="1"/>
  <c r="IE63" i="1"/>
  <c r="IF63" i="1" s="1"/>
  <c r="II63" i="1" s="1"/>
  <c r="IK63" i="1" s="1"/>
  <c r="IL63" i="1" s="1"/>
  <c r="IB63" i="1"/>
  <c r="HX88" i="1"/>
  <c r="IE87" i="1"/>
  <c r="IF87" i="1" s="1"/>
  <c r="II87" i="1" s="1"/>
  <c r="IK87" i="1" s="1"/>
  <c r="IL87" i="1" s="1"/>
  <c r="IB87" i="1"/>
  <c r="HY95" i="1"/>
  <c r="HW95" i="1"/>
  <c r="IE86" i="1"/>
  <c r="IF86" i="1" s="1"/>
  <c r="II86" i="1" s="1"/>
  <c r="IK86" i="1" s="1"/>
  <c r="IL86" i="1" s="1"/>
  <c r="IB86" i="1"/>
  <c r="IE84" i="1"/>
  <c r="IF84" i="1" s="1"/>
  <c r="II84" i="1" s="1"/>
  <c r="IK84" i="1" s="1"/>
  <c r="IL84" i="1" s="1"/>
  <c r="IB84" i="1"/>
  <c r="IE93" i="1"/>
  <c r="IF93" i="1" s="1"/>
  <c r="II93" i="1" s="1"/>
  <c r="IK93" i="1" s="1"/>
  <c r="IL93" i="1" s="1"/>
  <c r="IB93" i="1"/>
  <c r="IE88" i="1"/>
  <c r="IF88" i="1" s="1"/>
  <c r="II88" i="1" s="1"/>
  <c r="IK88" i="1" s="1"/>
  <c r="IL88" i="1" s="1"/>
  <c r="IB88" i="1"/>
  <c r="IZ58" i="1" l="1"/>
  <c r="JA58" i="1" s="1"/>
  <c r="HZ109" i="1"/>
  <c r="IA109" i="1" s="1"/>
  <c r="JR96" i="1"/>
  <c r="JK93" i="1"/>
  <c r="JL93" i="1" s="1"/>
  <c r="HX93" i="1"/>
  <c r="JI91" i="1"/>
  <c r="JJ91" i="1"/>
  <c r="JK91" i="1" s="1"/>
  <c r="IM67" i="1"/>
  <c r="IO67" i="1"/>
  <c r="IP67" i="1" s="1"/>
  <c r="JI95" i="1"/>
  <c r="JJ95" i="1"/>
  <c r="JH99" i="1"/>
  <c r="JJ99" i="1" s="1"/>
  <c r="JK99" i="1" s="1"/>
  <c r="IQ67" i="1"/>
  <c r="JI106" i="1"/>
  <c r="JJ106" i="1"/>
  <c r="JI94" i="1"/>
  <c r="JJ94" i="1"/>
  <c r="JK94" i="1" s="1"/>
  <c r="IY64" i="1"/>
  <c r="IW64" i="1"/>
  <c r="IX64" i="1" s="1"/>
  <c r="JH65" i="1"/>
  <c r="JJ65" i="1" s="1"/>
  <c r="JF52" i="1"/>
  <c r="JG52" i="1"/>
  <c r="JH52" i="1" s="1"/>
  <c r="JJ52" i="1" s="1"/>
  <c r="JK52" i="1" s="1"/>
  <c r="JI89" i="1"/>
  <c r="JJ89" i="1"/>
  <c r="IN66" i="1"/>
  <c r="IL66" i="1"/>
  <c r="IM66" i="1" s="1"/>
  <c r="JR60" i="1"/>
  <c r="IT78" i="1"/>
  <c r="IU78" i="1" s="1"/>
  <c r="IQ78" i="1"/>
  <c r="JI86" i="1"/>
  <c r="JJ86" i="1"/>
  <c r="JK108" i="1"/>
  <c r="JL108" i="1" s="1"/>
  <c r="JI90" i="1"/>
  <c r="JG58" i="1"/>
  <c r="JH76" i="1"/>
  <c r="JJ76" i="1" s="1"/>
  <c r="JK76" i="1" s="1"/>
  <c r="JI63" i="1"/>
  <c r="IM78" i="1"/>
  <c r="IO78" i="1"/>
  <c r="IP78" i="1" s="1"/>
  <c r="JI69" i="1"/>
  <c r="JH113" i="1"/>
  <c r="JJ113" i="1" s="1"/>
  <c r="JI60" i="1"/>
  <c r="JH109" i="1"/>
  <c r="JJ109" i="1" s="1"/>
  <c r="JK109" i="1" s="1"/>
  <c r="JK90" i="1"/>
  <c r="JL90" i="1" s="1"/>
  <c r="JI108" i="1"/>
  <c r="IV92" i="1"/>
  <c r="JL63" i="1"/>
  <c r="JN63" i="1"/>
  <c r="JO63" i="1" s="1"/>
  <c r="JP63" i="1" s="1"/>
  <c r="JM63" i="1"/>
  <c r="JK84" i="1"/>
  <c r="JL84" i="1" s="1"/>
  <c r="JK69" i="1"/>
  <c r="JM107" i="1"/>
  <c r="JN107" i="1"/>
  <c r="JO107" i="1" s="1"/>
  <c r="JP107" i="1" s="1"/>
  <c r="JL60" i="1"/>
  <c r="JN60" i="1"/>
  <c r="JO60" i="1" s="1"/>
  <c r="JP60" i="1" s="1"/>
  <c r="HZ111" i="1"/>
  <c r="IA111" i="1" s="1"/>
  <c r="IJ63" i="1"/>
  <c r="JI55" i="1"/>
  <c r="JR55" i="1" s="1"/>
  <c r="HZ95" i="1"/>
  <c r="IA95" i="1" s="1"/>
  <c r="HX111" i="1"/>
  <c r="HZ113" i="1"/>
  <c r="IA113" i="1" s="1"/>
  <c r="HZ76" i="1"/>
  <c r="IA76" i="1" s="1"/>
  <c r="HZ89" i="1"/>
  <c r="IA89" i="1" s="1"/>
  <c r="IJ85" i="1"/>
  <c r="JR85" i="1" s="1"/>
  <c r="HZ105" i="1"/>
  <c r="IA105" i="1" s="1"/>
  <c r="JN53" i="1"/>
  <c r="JO53" i="1" s="1"/>
  <c r="JP53" i="1" s="1"/>
  <c r="JM53" i="1"/>
  <c r="IE107" i="1"/>
  <c r="IF107" i="1" s="1"/>
  <c r="II107" i="1" s="1"/>
  <c r="IK107" i="1" s="1"/>
  <c r="IL107" i="1" s="1"/>
  <c r="IB107" i="1"/>
  <c r="HZ90" i="1"/>
  <c r="IA90" i="1" s="1"/>
  <c r="HX105" i="1"/>
  <c r="IJ109" i="1"/>
  <c r="HX95" i="1"/>
  <c r="IJ87" i="1"/>
  <c r="JR87" i="1" s="1"/>
  <c r="JN57" i="1"/>
  <c r="JO57" i="1" s="1"/>
  <c r="JP57" i="1" s="1"/>
  <c r="JM57" i="1"/>
  <c r="IE97" i="1"/>
  <c r="IF97" i="1" s="1"/>
  <c r="II97" i="1" s="1"/>
  <c r="IK97" i="1" s="1"/>
  <c r="IL97" i="1" s="1"/>
  <c r="IB97" i="1"/>
  <c r="IK69" i="1"/>
  <c r="IQ69" i="1"/>
  <c r="IJ108" i="1"/>
  <c r="IE105" i="1"/>
  <c r="IF105" i="1" s="1"/>
  <c r="II105" i="1" s="1"/>
  <c r="IB105" i="1"/>
  <c r="IJ98" i="1"/>
  <c r="JR98" i="1" s="1"/>
  <c r="IE95" i="1"/>
  <c r="IF95" i="1" s="1"/>
  <c r="II95" i="1" s="1"/>
  <c r="IK95" i="1" s="1"/>
  <c r="IL95" i="1" s="1"/>
  <c r="IB95" i="1"/>
  <c r="IE76" i="1"/>
  <c r="IF76" i="1" s="1"/>
  <c r="II76" i="1" s="1"/>
  <c r="IB76" i="1"/>
  <c r="IJ83" i="1"/>
  <c r="JR83" i="1" s="1"/>
  <c r="IE111" i="1"/>
  <c r="IF111" i="1" s="1"/>
  <c r="II111" i="1" s="1"/>
  <c r="IK111" i="1" s="1"/>
  <c r="IL111" i="1" s="1"/>
  <c r="IB111" i="1"/>
  <c r="HX113" i="1"/>
  <c r="IJ91" i="1"/>
  <c r="HX89" i="1"/>
  <c r="IK70" i="1"/>
  <c r="IJ69" i="1"/>
  <c r="HZ107" i="1"/>
  <c r="IA107" i="1" s="1"/>
  <c r="IJ94" i="1"/>
  <c r="HX90" i="1"/>
  <c r="IJ112" i="1"/>
  <c r="JR112" i="1" s="1"/>
  <c r="IJ88" i="1"/>
  <c r="JR88" i="1" s="1"/>
  <c r="IJ93" i="1"/>
  <c r="IJ84" i="1"/>
  <c r="IJ86" i="1"/>
  <c r="IE113" i="1"/>
  <c r="IF113" i="1" s="1"/>
  <c r="II113" i="1" s="1"/>
  <c r="IK113" i="1" s="1"/>
  <c r="IL113" i="1" s="1"/>
  <c r="IB113" i="1"/>
  <c r="HZ97" i="1"/>
  <c r="IA97" i="1" s="1"/>
  <c r="JK55" i="1"/>
  <c r="JL55" i="1" s="1"/>
  <c r="IE89" i="1"/>
  <c r="IF89" i="1" s="1"/>
  <c r="II89" i="1" s="1"/>
  <c r="IK89" i="1" s="1"/>
  <c r="IL89" i="1" s="1"/>
  <c r="IB89" i="1"/>
  <c r="JL53" i="1"/>
  <c r="IE90" i="1"/>
  <c r="IF90" i="1" s="1"/>
  <c r="II90" i="1" s="1"/>
  <c r="IK90" i="1" s="1"/>
  <c r="IL90" i="1" s="1"/>
  <c r="IB90" i="1"/>
  <c r="JI52" i="1" l="1"/>
  <c r="JM93" i="1"/>
  <c r="JR93" i="1" s="1"/>
  <c r="JN93" i="1"/>
  <c r="JO93" i="1" s="1"/>
  <c r="JP93" i="1" s="1"/>
  <c r="JL91" i="1"/>
  <c r="JN91" i="1"/>
  <c r="JO91" i="1" s="1"/>
  <c r="JP91" i="1" s="1"/>
  <c r="JM91" i="1"/>
  <c r="JR91" i="1" s="1"/>
  <c r="JI99" i="1"/>
  <c r="JK95" i="1"/>
  <c r="JL95" i="1" s="1"/>
  <c r="JL94" i="1"/>
  <c r="JN94" i="1"/>
  <c r="JO94" i="1" s="1"/>
  <c r="JP94" i="1" s="1"/>
  <c r="JM94" i="1"/>
  <c r="JR94" i="1" s="1"/>
  <c r="JK106" i="1"/>
  <c r="JL106" i="1" s="1"/>
  <c r="IV67" i="1"/>
  <c r="IU67" i="1"/>
  <c r="JL99" i="1"/>
  <c r="JN99" i="1"/>
  <c r="JO99" i="1" s="1"/>
  <c r="JP99" i="1" s="1"/>
  <c r="JM99" i="1"/>
  <c r="JR99" i="1" s="1"/>
  <c r="JI65" i="1"/>
  <c r="JR63" i="1"/>
  <c r="JI76" i="1"/>
  <c r="JN69" i="1"/>
  <c r="JO69" i="1" s="1"/>
  <c r="JP69" i="1" s="1"/>
  <c r="JM69" i="1"/>
  <c r="JR69" i="1" s="1"/>
  <c r="JL109" i="1"/>
  <c r="JN109" i="1"/>
  <c r="JO109" i="1" s="1"/>
  <c r="JP109" i="1" s="1"/>
  <c r="JM109" i="1"/>
  <c r="JR109" i="1" s="1"/>
  <c r="JK89" i="1"/>
  <c r="JL89" i="1" s="1"/>
  <c r="JL76" i="1"/>
  <c r="JN76" i="1"/>
  <c r="JO76" i="1" s="1"/>
  <c r="JP76" i="1" s="1"/>
  <c r="JM76" i="1"/>
  <c r="JK65" i="1"/>
  <c r="JL65" i="1" s="1"/>
  <c r="JM84" i="1"/>
  <c r="JR84" i="1" s="1"/>
  <c r="JN84" i="1"/>
  <c r="JO84" i="1" s="1"/>
  <c r="JP84" i="1" s="1"/>
  <c r="JN90" i="1"/>
  <c r="JO90" i="1" s="1"/>
  <c r="JP90" i="1" s="1"/>
  <c r="JM90" i="1"/>
  <c r="JI113" i="1"/>
  <c r="JN108" i="1"/>
  <c r="JO108" i="1" s="1"/>
  <c r="JP108" i="1" s="1"/>
  <c r="JM108" i="1"/>
  <c r="JR108" i="1" s="1"/>
  <c r="IO66" i="1"/>
  <c r="IP66" i="1" s="1"/>
  <c r="IZ64" i="1"/>
  <c r="JA64" i="1" s="1"/>
  <c r="JL69" i="1"/>
  <c r="IW92" i="1"/>
  <c r="IY92" i="1"/>
  <c r="JI109" i="1"/>
  <c r="JK113" i="1"/>
  <c r="JH58" i="1"/>
  <c r="JJ58" i="1" s="1"/>
  <c r="JK58" i="1" s="1"/>
  <c r="JK86" i="1"/>
  <c r="IV78" i="1"/>
  <c r="IT66" i="1"/>
  <c r="IU66" i="1" s="1"/>
  <c r="IQ66" i="1"/>
  <c r="JE64" i="1"/>
  <c r="JB64" i="1"/>
  <c r="IJ113" i="1"/>
  <c r="IJ95" i="1"/>
  <c r="IJ90" i="1"/>
  <c r="JN55" i="1"/>
  <c r="JO55" i="1" s="1"/>
  <c r="JP55" i="1" s="1"/>
  <c r="JM55" i="1"/>
  <c r="IJ97" i="1"/>
  <c r="JR97" i="1" s="1"/>
  <c r="IJ107" i="1"/>
  <c r="JR107" i="1" s="1"/>
  <c r="JN52" i="1"/>
  <c r="JO52" i="1" s="1"/>
  <c r="JP52" i="1" s="1"/>
  <c r="JM52" i="1"/>
  <c r="JR52" i="1" s="1"/>
  <c r="IK76" i="1"/>
  <c r="IQ76" i="1"/>
  <c r="IK105" i="1"/>
  <c r="IL69" i="1"/>
  <c r="IO69" i="1" s="1"/>
  <c r="IP69" i="1" s="1"/>
  <c r="JL52" i="1"/>
  <c r="IJ89" i="1"/>
  <c r="IJ111" i="1"/>
  <c r="JR111" i="1" s="1"/>
  <c r="IJ76" i="1"/>
  <c r="IJ105" i="1"/>
  <c r="IL70" i="1"/>
  <c r="IN70" i="1"/>
  <c r="JR90" i="1" l="1"/>
  <c r="JI58" i="1"/>
  <c r="JN106" i="1"/>
  <c r="JO106" i="1" s="1"/>
  <c r="JP106" i="1" s="1"/>
  <c r="JM106" i="1"/>
  <c r="JR106" i="1" s="1"/>
  <c r="JN95" i="1"/>
  <c r="JO95" i="1" s="1"/>
  <c r="JP95" i="1" s="1"/>
  <c r="JM95" i="1"/>
  <c r="JR95" i="1" s="1"/>
  <c r="IW67" i="1"/>
  <c r="IY67" i="1"/>
  <c r="JN86" i="1"/>
  <c r="JO86" i="1" s="1"/>
  <c r="JP86" i="1" s="1"/>
  <c r="JM86" i="1"/>
  <c r="JR86" i="1" s="1"/>
  <c r="JN65" i="1"/>
  <c r="JO65" i="1" s="1"/>
  <c r="JP65" i="1" s="1"/>
  <c r="JM65" i="1"/>
  <c r="JR65" i="1" s="1"/>
  <c r="JN113" i="1"/>
  <c r="JO113" i="1" s="1"/>
  <c r="JP113" i="1" s="1"/>
  <c r="JM113" i="1"/>
  <c r="JR113" i="1" s="1"/>
  <c r="JG64" i="1"/>
  <c r="JF64" i="1"/>
  <c r="IY78" i="1"/>
  <c r="IW78" i="1"/>
  <c r="IX78" i="1" s="1"/>
  <c r="JL58" i="1"/>
  <c r="JN58" i="1"/>
  <c r="JO58" i="1" s="1"/>
  <c r="JP58" i="1" s="1"/>
  <c r="JM58" i="1"/>
  <c r="JR58" i="1" s="1"/>
  <c r="JE92" i="1"/>
  <c r="JB92" i="1"/>
  <c r="JN89" i="1"/>
  <c r="JO89" i="1" s="1"/>
  <c r="JP89" i="1" s="1"/>
  <c r="JM89" i="1"/>
  <c r="JR89" i="1" s="1"/>
  <c r="IV66" i="1"/>
  <c r="JL86" i="1"/>
  <c r="JL113" i="1"/>
  <c r="IX92" i="1"/>
  <c r="IZ92" i="1"/>
  <c r="JA92" i="1" s="1"/>
  <c r="JR76" i="1"/>
  <c r="IT70" i="1"/>
  <c r="IQ70" i="1"/>
  <c r="IM69" i="1"/>
  <c r="IL76" i="1"/>
  <c r="IO76" i="1" s="1"/>
  <c r="IP76" i="1" s="1"/>
  <c r="IO70" i="1"/>
  <c r="IP70" i="1" s="1"/>
  <c r="IN105" i="1"/>
  <c r="IL105" i="1"/>
  <c r="IM70" i="1"/>
  <c r="JB67" i="1" l="1"/>
  <c r="JE67" i="1"/>
  <c r="JG67" i="1" s="1"/>
  <c r="JH67" i="1" s="1"/>
  <c r="JJ67" i="1" s="1"/>
  <c r="IZ67" i="1"/>
  <c r="JA67" i="1" s="1"/>
  <c r="IX67" i="1"/>
  <c r="IZ78" i="1"/>
  <c r="JA78" i="1" s="1"/>
  <c r="IY66" i="1"/>
  <c r="IW66" i="1"/>
  <c r="JE78" i="1"/>
  <c r="JF78" i="1" s="1"/>
  <c r="JB78" i="1"/>
  <c r="JH64" i="1"/>
  <c r="JJ64" i="1" s="1"/>
  <c r="JG92" i="1"/>
  <c r="JF92" i="1"/>
  <c r="IV70" i="1"/>
  <c r="IO105" i="1"/>
  <c r="IP105" i="1" s="1"/>
  <c r="IM105" i="1"/>
  <c r="IM76" i="1"/>
  <c r="IU70" i="1"/>
  <c r="IT105" i="1"/>
  <c r="IQ105" i="1"/>
  <c r="JF67" i="1" l="1"/>
  <c r="JI64" i="1"/>
  <c r="JE66" i="1"/>
  <c r="JF66" i="1" s="1"/>
  <c r="JB66" i="1"/>
  <c r="JH92" i="1"/>
  <c r="JJ92" i="1" s="1"/>
  <c r="JK92" i="1" s="1"/>
  <c r="JG78" i="1"/>
  <c r="JH78" i="1" s="1"/>
  <c r="JI67" i="1"/>
  <c r="JK67" i="1"/>
  <c r="JL67" i="1" s="1"/>
  <c r="JK64" i="1"/>
  <c r="JL64" i="1" s="1"/>
  <c r="IX66" i="1"/>
  <c r="IZ66" i="1"/>
  <c r="JA66" i="1" s="1"/>
  <c r="IY70" i="1"/>
  <c r="IW70" i="1"/>
  <c r="IV105" i="1"/>
  <c r="IU105" i="1"/>
  <c r="JL92" i="1" l="1"/>
  <c r="JN92" i="1"/>
  <c r="JO92" i="1" s="1"/>
  <c r="JP92" i="1" s="1"/>
  <c r="JM92" i="1"/>
  <c r="JR92" i="1" s="1"/>
  <c r="JN64" i="1"/>
  <c r="JO64" i="1" s="1"/>
  <c r="JP64" i="1" s="1"/>
  <c r="JM64" i="1"/>
  <c r="JR64" i="1" s="1"/>
  <c r="JI78" i="1"/>
  <c r="JJ78" i="1"/>
  <c r="JK78" i="1" s="1"/>
  <c r="JN67" i="1"/>
  <c r="JO67" i="1" s="1"/>
  <c r="JP67" i="1" s="1"/>
  <c r="JM67" i="1"/>
  <c r="JR67" i="1" s="1"/>
  <c r="JI92" i="1"/>
  <c r="JG66" i="1"/>
  <c r="JH66" i="1" s="1"/>
  <c r="IZ70" i="1"/>
  <c r="JA70" i="1" s="1"/>
  <c r="IX70" i="1"/>
  <c r="JE70" i="1"/>
  <c r="JF70" i="1" s="1"/>
  <c r="JB70" i="1"/>
  <c r="IW105" i="1"/>
  <c r="IX105" i="1" s="1"/>
  <c r="IY105" i="1"/>
  <c r="JI66" i="1" l="1"/>
  <c r="JJ66" i="1"/>
  <c r="JL78" i="1"/>
  <c r="JN78" i="1"/>
  <c r="JO78" i="1" s="1"/>
  <c r="JP78" i="1" s="1"/>
  <c r="JM78" i="1"/>
  <c r="JR78" i="1" s="1"/>
  <c r="JE105" i="1"/>
  <c r="JB105" i="1"/>
  <c r="JG70" i="1"/>
  <c r="IZ105" i="1"/>
  <c r="JA105" i="1" s="1"/>
  <c r="JK66" i="1" l="1"/>
  <c r="JL66" i="1" s="1"/>
  <c r="JG105" i="1"/>
  <c r="JH70" i="1"/>
  <c r="JJ70" i="1" s="1"/>
  <c r="JF105" i="1"/>
  <c r="JN66" i="1" l="1"/>
  <c r="JO66" i="1" s="1"/>
  <c r="JP66" i="1" s="1"/>
  <c r="JM66" i="1"/>
  <c r="JR66" i="1" s="1"/>
  <c r="JI70" i="1"/>
  <c r="JH105" i="1"/>
  <c r="JJ105" i="1" s="1"/>
  <c r="JK70" i="1"/>
  <c r="JN70" i="1" l="1"/>
  <c r="JO70" i="1" s="1"/>
  <c r="JP70" i="1" s="1"/>
  <c r="JM70" i="1"/>
  <c r="JR70" i="1" s="1"/>
  <c r="JL70" i="1"/>
  <c r="JK105" i="1"/>
  <c r="JI105" i="1"/>
  <c r="JN105" i="1" l="1"/>
  <c r="JO105" i="1" s="1"/>
  <c r="JP105" i="1" s="1"/>
  <c r="JM105" i="1"/>
  <c r="JR105" i="1" s="1"/>
  <c r="JL105" i="1"/>
</calcChain>
</file>

<file path=xl/comments1.xml><?xml version="1.0" encoding="utf-8"?>
<comments xmlns="http://schemas.openxmlformats.org/spreadsheetml/2006/main">
  <authors>
    <author>Nathalie BLANDINO</author>
  </authors>
  <commentList>
    <comment ref="FQ13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2 368 881</t>
        </r>
      </text>
    </comment>
    <comment ref="HF14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280712</t>
        </r>
      </text>
    </comment>
    <comment ref="GK21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O23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hors assainissement</t>
        </r>
      </text>
    </comment>
    <comment ref="FW44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assiette défisc</t>
        </r>
      </text>
    </comment>
    <comment ref="IR52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80%</t>
        </r>
      </text>
    </comment>
    <comment ref="JC53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50 %</t>
        </r>
      </text>
    </comment>
    <comment ref="JC54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50 %</t>
        </r>
      </text>
    </comment>
    <comment ref="AH56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2433,5 arrêté</t>
        </r>
      </text>
    </comment>
    <comment ref="JT56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y/c fondations</t>
        </r>
      </text>
    </comment>
    <comment ref="IS57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50%</t>
        </r>
      </text>
    </comment>
    <comment ref="IC78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50%</t>
        </r>
      </text>
    </comment>
    <comment ref="IC79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50%</t>
        </r>
      </text>
    </comment>
  </commentList>
</comments>
</file>

<file path=xl/sharedStrings.xml><?xml version="1.0" encoding="utf-8"?>
<sst xmlns="http://schemas.openxmlformats.org/spreadsheetml/2006/main" count="4047" uniqueCount="1067">
  <si>
    <t>OPERATION</t>
  </si>
  <si>
    <t>COMMUNE</t>
  </si>
  <si>
    <t>CODE</t>
  </si>
  <si>
    <t>N</t>
  </si>
  <si>
    <t>Ct réservation</t>
  </si>
  <si>
    <t>Statuts</t>
  </si>
  <si>
    <t>K Bis</t>
  </si>
  <si>
    <t>Structure</t>
  </si>
  <si>
    <t>Arrangeur</t>
  </si>
  <si>
    <t>Convention CAF</t>
  </si>
  <si>
    <t>Arrêté LBU</t>
  </si>
  <si>
    <t>Date Dépôt DRFIP</t>
  </si>
  <si>
    <t>Date Agrément</t>
  </si>
  <si>
    <t>Pièces envoyées</t>
  </si>
  <si>
    <t>CAO</t>
  </si>
  <si>
    <t>DO</t>
  </si>
  <si>
    <t>RO</t>
  </si>
  <si>
    <t>OFOI</t>
  </si>
  <si>
    <t>INGEPAR</t>
  </si>
  <si>
    <t>Date Dde G CG</t>
  </si>
  <si>
    <t>Date Retour G CG</t>
  </si>
  <si>
    <t>Date Dde G CM</t>
  </si>
  <si>
    <t>Date Retour G CM</t>
  </si>
  <si>
    <t>Notaire Terrain</t>
  </si>
  <si>
    <t>Signature Acte</t>
  </si>
  <si>
    <t>LLS</t>
  </si>
  <si>
    <t>LLTS</t>
  </si>
  <si>
    <t>ECART PRP</t>
  </si>
  <si>
    <t>ECART DEFISC</t>
  </si>
  <si>
    <t>BE PRIORISE</t>
  </si>
  <si>
    <t>ECART BE</t>
  </si>
  <si>
    <t>% BE / PRP</t>
  </si>
  <si>
    <t>FONCIER</t>
  </si>
  <si>
    <t>CONSTRUCTION</t>
  </si>
  <si>
    <t>ECART PRÊT</t>
  </si>
  <si>
    <t>ECART LBU y/c CAF</t>
  </si>
  <si>
    <t>ECART LBU/lgt</t>
  </si>
  <si>
    <t xml:space="preserve">Manapany </t>
  </si>
  <si>
    <t>St Joseph</t>
  </si>
  <si>
    <t>PRLC 0111</t>
  </si>
  <si>
    <t>FHO</t>
  </si>
  <si>
    <t>St Philippe</t>
  </si>
  <si>
    <t>PRLC 0093</t>
  </si>
  <si>
    <t>Takamaka</t>
  </si>
  <si>
    <t>St Leu</t>
  </si>
  <si>
    <t>Poker d'As 2</t>
  </si>
  <si>
    <t>Tampon</t>
  </si>
  <si>
    <t>PRLC 0139</t>
  </si>
  <si>
    <t>FMA</t>
  </si>
  <si>
    <t>RPA Chaloupe</t>
  </si>
  <si>
    <t>PRLC 0142</t>
  </si>
  <si>
    <t>PIVET-VELIN</t>
  </si>
  <si>
    <t>PRLC 0147</t>
  </si>
  <si>
    <t>Etang-Salé</t>
  </si>
  <si>
    <t>Trois Bassins</t>
  </si>
  <si>
    <t>PRLC 0149</t>
  </si>
  <si>
    <t>Palissandre</t>
  </si>
  <si>
    <t>PRLC 0110</t>
  </si>
  <si>
    <t>Rue de l'Eglise</t>
  </si>
  <si>
    <t>Entre-Deux</t>
  </si>
  <si>
    <t>PRLC 0148</t>
  </si>
  <si>
    <t>Barrage</t>
  </si>
  <si>
    <t>St Paul</t>
  </si>
  <si>
    <t>PRLC 0140</t>
  </si>
  <si>
    <t>Tamariniers</t>
  </si>
  <si>
    <t>PRLC 0113</t>
  </si>
  <si>
    <t>Lots</t>
  </si>
  <si>
    <t>Parc à Moutons</t>
  </si>
  <si>
    <t>PRLC 0121</t>
  </si>
  <si>
    <t>Josepha Fontaine</t>
  </si>
  <si>
    <t>PRLC 0122</t>
  </si>
  <si>
    <t>SFE</t>
  </si>
  <si>
    <t>Amaryllis</t>
  </si>
  <si>
    <t>PRLC 0109</t>
  </si>
  <si>
    <t>YFR</t>
  </si>
  <si>
    <t>N opér°</t>
  </si>
  <si>
    <t>N lgt</t>
  </si>
  <si>
    <t>LBU</t>
  </si>
  <si>
    <t>Propriétaire</t>
  </si>
  <si>
    <t>EPFR</t>
  </si>
  <si>
    <t>SODEGIS</t>
  </si>
  <si>
    <t>Commune</t>
  </si>
  <si>
    <t>Pivet-Velin</t>
  </si>
  <si>
    <t>Commune / MOREL</t>
  </si>
  <si>
    <t>AUBERT</t>
  </si>
  <si>
    <t>EPFR / RUET</t>
  </si>
  <si>
    <t>BARET</t>
  </si>
  <si>
    <t>POPINEAU</t>
  </si>
  <si>
    <t>LE GOFF</t>
  </si>
  <si>
    <t>SF</t>
  </si>
  <si>
    <t>PRP /m² SF</t>
  </si>
  <si>
    <t>Prog</t>
  </si>
  <si>
    <t xml:space="preserve">Avenue Raymond Barre </t>
  </si>
  <si>
    <t>Desiré 2</t>
  </si>
  <si>
    <t>Les Mimosas (Philidor Techer)</t>
  </si>
  <si>
    <t xml:space="preserve">Sceau de Salomon </t>
  </si>
  <si>
    <t xml:space="preserve">Alamandas  </t>
  </si>
  <si>
    <t>Bouton d'Or (Tampon 15e km)</t>
  </si>
  <si>
    <t>Le Cap (BH 228)</t>
  </si>
  <si>
    <t xml:space="preserve">Laurency </t>
  </si>
  <si>
    <t>La Chaloupe (CH 578)</t>
  </si>
  <si>
    <t>Petite-Ile</t>
  </si>
  <si>
    <t>PRLC 0116</t>
  </si>
  <si>
    <t>PRLC 0133</t>
  </si>
  <si>
    <t>PRLC 0114</t>
  </si>
  <si>
    <t>PRLC 0090</t>
  </si>
  <si>
    <t>PRLC 0128</t>
  </si>
  <si>
    <t>PRLC 0107</t>
  </si>
  <si>
    <t>PRLC 0117</t>
  </si>
  <si>
    <t>PRLC 0104</t>
  </si>
  <si>
    <t>PRLC 0135</t>
  </si>
  <si>
    <t>PRLC 0101</t>
  </si>
  <si>
    <t>PRLC 0138</t>
  </si>
  <si>
    <t>SGM</t>
  </si>
  <si>
    <t>Poker d'As LLS</t>
  </si>
  <si>
    <t>Poker d'As LLTS</t>
  </si>
  <si>
    <t>Étiquettes de lignes</t>
  </si>
  <si>
    <t>Total général</t>
  </si>
  <si>
    <t>Somme de N</t>
  </si>
  <si>
    <t>Étiquettes de colonnes</t>
  </si>
  <si>
    <t>Total Somme de N</t>
  </si>
  <si>
    <t xml:space="preserve">PRP TTC </t>
  </si>
  <si>
    <t>BE</t>
  </si>
  <si>
    <t xml:space="preserve">DEFISC </t>
  </si>
  <si>
    <t xml:space="preserve">PRÊT </t>
  </si>
  <si>
    <t xml:space="preserve">LBU y/c CAF </t>
  </si>
  <si>
    <t xml:space="preserve">LBU / lgt
</t>
  </si>
  <si>
    <t xml:space="preserve">Somme de LBU y/c CAF </t>
  </si>
  <si>
    <t xml:space="preserve">Total Somme de LBU y/c CAF </t>
  </si>
  <si>
    <t xml:space="preserve">Lavoir </t>
  </si>
  <si>
    <t>St Pierre</t>
  </si>
  <si>
    <t>PRLC 0105</t>
  </si>
  <si>
    <t>PRLC 0100</t>
  </si>
  <si>
    <t>PRLC 0123</t>
  </si>
  <si>
    <t>PRLC 0094</t>
  </si>
  <si>
    <t>PRLC 0124</t>
  </si>
  <si>
    <t>NBL</t>
  </si>
  <si>
    <t xml:space="preserve">P'titCanal  LLS       </t>
  </si>
  <si>
    <t>P'titCanal         LLTS</t>
  </si>
  <si>
    <t>Capucines</t>
  </si>
  <si>
    <t>Total</t>
  </si>
  <si>
    <t>PRP</t>
  </si>
  <si>
    <t>Sfin</t>
  </si>
  <si>
    <t>% LBU/PRP</t>
  </si>
  <si>
    <t>Ratio PRP/Log</t>
  </si>
  <si>
    <t>Ratio PRP/Sfin</t>
  </si>
  <si>
    <t>Ratio LBU / M² Sfin</t>
  </si>
  <si>
    <t>Ratio LBU / Logt</t>
  </si>
  <si>
    <t>Camphrier</t>
  </si>
  <si>
    <t>Fab all 2</t>
  </si>
  <si>
    <t>La Bruyère</t>
  </si>
  <si>
    <t>Clos St Etienne</t>
  </si>
  <si>
    <t>Cœur de Village</t>
  </si>
  <si>
    <t>Ile Bourbon</t>
  </si>
  <si>
    <t>Les Caféiers</t>
  </si>
  <si>
    <t>Réservoir de Stella</t>
  </si>
  <si>
    <t>BASSIN</t>
  </si>
  <si>
    <t>CA SUD</t>
  </si>
  <si>
    <t>TCO</t>
  </si>
  <si>
    <t>CIVIS</t>
  </si>
  <si>
    <t>Tamarin Becquet</t>
  </si>
  <si>
    <t>Désiré</t>
  </si>
  <si>
    <t>Jules Viennes</t>
  </si>
  <si>
    <t>TOTAL</t>
  </si>
  <si>
    <t>Altitude</t>
  </si>
  <si>
    <t>Pente</t>
  </si>
  <si>
    <t>SF / lgt</t>
  </si>
  <si>
    <t>Pkgs couverts</t>
  </si>
  <si>
    <t>oui</t>
  </si>
  <si>
    <t>non</t>
  </si>
  <si>
    <t>FRAFU</t>
  </si>
  <si>
    <t>AIDES ETAT / lgt</t>
  </si>
  <si>
    <t>TYPE</t>
  </si>
  <si>
    <t>SF priorisée</t>
  </si>
  <si>
    <t>Oui</t>
  </si>
  <si>
    <t>LOGIS 4</t>
  </si>
  <si>
    <t>Envoi dossier complet à arrangeur</t>
  </si>
  <si>
    <t>Dubois</t>
  </si>
  <si>
    <t>ok</t>
  </si>
  <si>
    <t>Priorisation</t>
  </si>
  <si>
    <t>PRP / lgt</t>
  </si>
  <si>
    <t>DEFISC / lgt</t>
  </si>
  <si>
    <t>PRÊT / lgt</t>
  </si>
  <si>
    <t>SUBVENTION COLLECTIVITE FRAFU</t>
  </si>
  <si>
    <t>FONDS PROPRES FRAFU</t>
  </si>
  <si>
    <t>AIDES PUBLIQUES / lgt</t>
  </si>
  <si>
    <t>LS 74</t>
  </si>
  <si>
    <t>Notaire VEFA</t>
  </si>
  <si>
    <t>QUINOT</t>
  </si>
  <si>
    <t>CR ok</t>
  </si>
  <si>
    <t>LS 75</t>
  </si>
  <si>
    <t>FONDS PROPRES CONSTRUCTION</t>
  </si>
  <si>
    <t>FANFAN</t>
  </si>
  <si>
    <t>LS 76</t>
  </si>
  <si>
    <t>DUBOIS</t>
  </si>
  <si>
    <t>BARET/GILLOT</t>
  </si>
  <si>
    <t>Résa 09/08/13</t>
  </si>
  <si>
    <t>LOGIS 5</t>
  </si>
  <si>
    <t>projet reçu 17/09/13</t>
  </si>
  <si>
    <t>BBL</t>
  </si>
  <si>
    <t>LS 73</t>
  </si>
  <si>
    <t>DOMBEYA 3</t>
  </si>
  <si>
    <t>MAREL</t>
  </si>
  <si>
    <t>LS 77</t>
  </si>
  <si>
    <t>Date Dde G EPCI</t>
  </si>
  <si>
    <t>Date Dde G CR</t>
  </si>
  <si>
    <t>Dde édition prêt</t>
  </si>
  <si>
    <t>JULES VIENNE</t>
  </si>
  <si>
    <t>DESIRE</t>
  </si>
  <si>
    <t>PRLC 0099</t>
  </si>
  <si>
    <t>PRP FRAFU hors TVA résiduelle</t>
  </si>
  <si>
    <t>PRLC 0098</t>
  </si>
  <si>
    <t>S espaces verts collectifs</t>
  </si>
  <si>
    <t>PRÊT 1 %</t>
  </si>
  <si>
    <t>AUTRES SUBVENTIONS</t>
  </si>
  <si>
    <t>PRLC 0160</t>
  </si>
  <si>
    <t>PRLC 0156</t>
  </si>
  <si>
    <t>St Louis</t>
  </si>
  <si>
    <t>PRLC 0159</t>
  </si>
  <si>
    <t>AX 18</t>
  </si>
  <si>
    <t>PRLC 0153</t>
  </si>
  <si>
    <t>Terrain Michel CV</t>
  </si>
  <si>
    <t>PRLC 0151</t>
  </si>
  <si>
    <t>PRLC 0155</t>
  </si>
  <si>
    <t>Somme de FONDS PROPRES FRAFU</t>
  </si>
  <si>
    <t>Somme de FONDS PROPRES CONSTRUCTION</t>
  </si>
  <si>
    <t>% PRP</t>
  </si>
  <si>
    <t>PRP GLOBAL</t>
  </si>
  <si>
    <t>Somme de PRP GLOBAL</t>
  </si>
  <si>
    <t>% LBU / PRP</t>
  </si>
  <si>
    <t>SO</t>
  </si>
  <si>
    <t>Transmission Projet VEFA à arrangeur</t>
  </si>
  <si>
    <t>CESSION FONCIERE</t>
  </si>
  <si>
    <t>Contrat de prêt</t>
  </si>
  <si>
    <t>29/10/2013 / manque des pièces</t>
  </si>
  <si>
    <t>25/10/13 + 05/11/13</t>
  </si>
  <si>
    <t>04/11/13 + 06/11/13</t>
  </si>
  <si>
    <t xml:space="preserve"> </t>
  </si>
  <si>
    <t>Date prév Conseil EPCI</t>
  </si>
  <si>
    <t>Date prév Commission CR</t>
  </si>
  <si>
    <t>Date Commission CG</t>
  </si>
  <si>
    <t>Date DCM</t>
  </si>
  <si>
    <t>Avancement</t>
  </si>
  <si>
    <t>GPA</t>
  </si>
  <si>
    <t>Tvx</t>
  </si>
  <si>
    <t>APD</t>
  </si>
  <si>
    <t>AO</t>
  </si>
  <si>
    <t>PRO</t>
  </si>
  <si>
    <t>Calendrier appel de fonds</t>
  </si>
  <si>
    <t>DROC</t>
  </si>
  <si>
    <t>14/11/2013
retour DS 04/12/13</t>
  </si>
  <si>
    <t>Projet VEFA Notaire</t>
  </si>
  <si>
    <t>31/10/2013
transmission modif 28/11/13
retour 04/12/13</t>
  </si>
  <si>
    <t>24/10/2013
transmission modif 28/11/13
2e retour 05/12/13</t>
  </si>
  <si>
    <t>transmission modif DS 05/12/13
retour INGEPAR 05/12/13</t>
  </si>
  <si>
    <t>05/12/2013
retour DS 06/12/13</t>
  </si>
  <si>
    <t>14/11/2013
retour notaire 06/12/13</t>
  </si>
  <si>
    <t>05/12/2013
retour INGEPAR 09/12/13</t>
  </si>
  <si>
    <t>18/11/2013
retour DS 19/11/13</t>
  </si>
  <si>
    <t>22/10/2013
transmiss° modif 04/12/13
retour 09/12/13</t>
  </si>
  <si>
    <t>14/11/2013
retour DS 21/11/13
2e 10/12/13</t>
  </si>
  <si>
    <t>25/11/2013
2e 10/12/13</t>
  </si>
  <si>
    <t xml:space="preserve">14/11/2013
retour DS 21/11/13
2e 10/12/13
</t>
  </si>
  <si>
    <t>25/11/2013
retour INGEPAR 28/11/13
2e 10/12/13</t>
  </si>
  <si>
    <t>31/10/2013
relance 15/11/13
retour DS 18/11/13
transmission modif 04/12/13
2e 10/12/13</t>
  </si>
  <si>
    <t>19/11/2013 retour 04/12/13 
2e 10/12/13</t>
  </si>
  <si>
    <t>04/12/2013
retour 10/12/13</t>
  </si>
  <si>
    <t>06/12/2013
retour 11/12/13</t>
  </si>
  <si>
    <t>09/12/2013
transmiss° modif 11/12/13</t>
  </si>
  <si>
    <t>Transmission garanties à CDC</t>
  </si>
  <si>
    <t>Date Retour EPCI</t>
  </si>
  <si>
    <t>Date retour CR</t>
  </si>
  <si>
    <t>CR + CASUD = 19/12/13
CG = 15/01/14
Commune = 15/01/14</t>
  </si>
  <si>
    <t>SAR</t>
  </si>
  <si>
    <t>MLO</t>
  </si>
  <si>
    <t>SRI</t>
  </si>
  <si>
    <t>NLE</t>
  </si>
  <si>
    <t>KGI</t>
  </si>
  <si>
    <t>DBE</t>
  </si>
  <si>
    <t>BELLANGER</t>
  </si>
  <si>
    <t>Prévisionnel Hono totaux</t>
  </si>
  <si>
    <t>Prévisionnel Hono signature</t>
  </si>
  <si>
    <t>LBU / lgt</t>
  </si>
  <si>
    <t>DEFISC</t>
  </si>
  <si>
    <t>Evolution de la répartition par bassin</t>
  </si>
  <si>
    <t>Somme de LLS</t>
  </si>
  <si>
    <t>Somme de LLTS</t>
  </si>
  <si>
    <t>Loyer max</t>
  </si>
  <si>
    <t>Loyer d'équilibre</t>
  </si>
  <si>
    <t>Somme de LBU y/c CAF 2</t>
  </si>
  <si>
    <t>Somme de DEFISC 2</t>
  </si>
  <si>
    <t>% AIDES PUBLIQUES</t>
  </si>
  <si>
    <t xml:space="preserve">PRP TTC  </t>
  </si>
  <si>
    <t xml:space="preserve">   </t>
  </si>
  <si>
    <t>LBU + DEFISC / lgt</t>
  </si>
  <si>
    <t>TOTAL CUMULE</t>
  </si>
  <si>
    <t>Moyenne / an</t>
  </si>
  <si>
    <t>Moyenne LBU / an</t>
  </si>
  <si>
    <t>Moyenne DEFISC / an</t>
  </si>
  <si>
    <t>Moyenne LBU + DEFISC / lgt</t>
  </si>
  <si>
    <r>
      <rPr>
        <b/>
        <sz val="11"/>
        <color rgb="FFFF0000"/>
        <rFont val="Calibri"/>
        <family val="2"/>
        <scheme val="minor"/>
      </rPr>
      <t xml:space="preserve"> VEFA</t>
    </r>
    <r>
      <rPr>
        <b/>
        <sz val="11"/>
        <rFont val="Calibri"/>
        <family val="2"/>
        <scheme val="minor"/>
      </rPr>
      <t xml:space="preserve"> 10e km RAMDIALE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</si>
  <si>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CAP OUEST</t>
    </r>
  </si>
  <si>
    <t>ZONAGE</t>
  </si>
  <si>
    <t>UB</t>
  </si>
  <si>
    <t>S TERRAIN</t>
  </si>
  <si>
    <t>S ANC</t>
  </si>
  <si>
    <t>S EMPRISE</t>
  </si>
  <si>
    <t>N niveaux lgt y/c RDC</t>
  </si>
  <si>
    <t>UD</t>
  </si>
  <si>
    <t>UA</t>
  </si>
  <si>
    <t>4/5</t>
  </si>
  <si>
    <t>AU5b</t>
  </si>
  <si>
    <t>NAUD</t>
  </si>
  <si>
    <t>Aub</t>
  </si>
  <si>
    <t>MICHEL</t>
  </si>
  <si>
    <t>PRLC 0161</t>
  </si>
  <si>
    <t>B</t>
  </si>
  <si>
    <t>Attrib</t>
  </si>
  <si>
    <t>PC</t>
  </si>
  <si>
    <t>CAF</t>
  </si>
  <si>
    <t>ok
manque attestation affichage en Mairie</t>
  </si>
  <si>
    <t xml:space="preserve">CR + CASUD = 19/12/13
CG = 15/01/14
CM = OK - mank attest° affichage
</t>
  </si>
  <si>
    <t>Notation</t>
  </si>
  <si>
    <t>Fiche Présentation</t>
  </si>
  <si>
    <t>ANC</t>
  </si>
  <si>
    <t xml:space="preserve">LBU </t>
  </si>
  <si>
    <t>PRIX m² SF</t>
  </si>
  <si>
    <t>UC</t>
  </si>
  <si>
    <t>UAa</t>
  </si>
  <si>
    <t>NAUC</t>
  </si>
  <si>
    <t>UCa</t>
  </si>
  <si>
    <t>U3</t>
  </si>
  <si>
    <t>NAU</t>
  </si>
  <si>
    <t>Emprise ANC</t>
  </si>
  <si>
    <t>PRIX TERRAIN AMENAGE</t>
  </si>
  <si>
    <t>PRIX TERRAIN BRUT</t>
  </si>
  <si>
    <t>PRIX m² terrain aménagé</t>
  </si>
  <si>
    <t>PRIX m² terrain brut</t>
  </si>
  <si>
    <t>T1</t>
  </si>
  <si>
    <t>T2</t>
  </si>
  <si>
    <t>T3</t>
  </si>
  <si>
    <t>T4</t>
  </si>
  <si>
    <t>T5</t>
  </si>
  <si>
    <t>M² TERRAIN / LGT</t>
  </si>
  <si>
    <t>LBU+Défisc/lgt</t>
  </si>
  <si>
    <t>LS 12</t>
  </si>
  <si>
    <t>LS 5</t>
  </si>
  <si>
    <t>LOGIS 1</t>
  </si>
  <si>
    <t>LOGIS 2</t>
  </si>
  <si>
    <t>LS 55</t>
  </si>
  <si>
    <t>LOGIS 3</t>
  </si>
  <si>
    <t>LS 20</t>
  </si>
  <si>
    <t>LS 19</t>
  </si>
  <si>
    <t>LS 44</t>
  </si>
  <si>
    <t>LS 11</t>
  </si>
  <si>
    <t>LS 56</t>
  </si>
  <si>
    <t>LS 4</t>
  </si>
  <si>
    <t>LS 97</t>
  </si>
  <si>
    <r>
      <t xml:space="preserve">VEFA </t>
    </r>
    <r>
      <rPr>
        <b/>
        <sz val="11"/>
        <rFont val="Calibri"/>
        <family val="2"/>
        <scheme val="minor"/>
      </rPr>
      <t>Petunias</t>
    </r>
  </si>
  <si>
    <t>A</t>
  </si>
  <si>
    <t>LS 101</t>
  </si>
  <si>
    <t>DENSITE</t>
  </si>
  <si>
    <t>IONIQUE 4</t>
  </si>
  <si>
    <t>PRIX VEFA HT</t>
  </si>
  <si>
    <t>PRIX AMENAGE/ LGT</t>
  </si>
  <si>
    <t>PRLC 0166</t>
  </si>
  <si>
    <t>ESQ</t>
  </si>
  <si>
    <t>BY 100</t>
  </si>
  <si>
    <t>SNC DORIQUE</t>
  </si>
  <si>
    <t>Bac Rouge</t>
  </si>
  <si>
    <t>?</t>
  </si>
  <si>
    <t>CD 61 Rue Bertaut</t>
  </si>
  <si>
    <t>HE 168</t>
  </si>
  <si>
    <t>PRLC 0171</t>
  </si>
  <si>
    <t xml:space="preserve">Bras Moutons </t>
  </si>
  <si>
    <t>LS 79</t>
  </si>
  <si>
    <t>LOGIS 7</t>
  </si>
  <si>
    <t>résa 04/09/14</t>
  </si>
  <si>
    <t>INTERINVEST</t>
  </si>
  <si>
    <t>MFL</t>
  </si>
  <si>
    <t>JMO</t>
  </si>
  <si>
    <t>Aubépines</t>
  </si>
  <si>
    <t>Ilot 6.2</t>
  </si>
  <si>
    <t>DCE</t>
  </si>
  <si>
    <t>La Plaine St Paul</t>
  </si>
  <si>
    <t>patrimoine</t>
  </si>
  <si>
    <t>PRLC 0129</t>
  </si>
  <si>
    <t>PRLC 0157</t>
  </si>
  <si>
    <t>PRLC 0173</t>
  </si>
  <si>
    <t>PRLC 0167</t>
  </si>
  <si>
    <t>PRLC 0174</t>
  </si>
  <si>
    <t>Dde dossier Ass</t>
  </si>
  <si>
    <t>Signature VEFA / Placement defisc</t>
  </si>
  <si>
    <t>Risque de recours des 1/3 sur PA (en cours de signature par le maire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</si>
  <si>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AJP HandyHome </t>
    </r>
  </si>
  <si>
    <t>Travaux</t>
  </si>
  <si>
    <t>OS</t>
  </si>
  <si>
    <t>22/10/2014
cr 24/11/14 - modif à faire</t>
  </si>
  <si>
    <t>Avirons</t>
  </si>
  <si>
    <t>RPA Clinifutur</t>
  </si>
  <si>
    <t>Chemin EDF</t>
  </si>
  <si>
    <t>Jamalac</t>
  </si>
  <si>
    <t>28/10/2014
12/01/15</t>
  </si>
  <si>
    <t>UB4</t>
  </si>
  <si>
    <t>Lacaussade 3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</si>
  <si>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DRAGONS</t>
    </r>
  </si>
  <si>
    <t xml:space="preserve">PRIX BRUT / LGT </t>
  </si>
  <si>
    <t>RPA mixte St Philippe</t>
  </si>
  <si>
    <t>Tx rétrocession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</si>
  <si>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LOULOU PITOU (LA SAFRANIERE)</t>
    </r>
  </si>
  <si>
    <t>23/01/2015
transmis à DAF 11/03/15</t>
  </si>
  <si>
    <t>Limite validité Ct prêt</t>
  </si>
  <si>
    <t>AGA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</si>
  <si>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BUTOR</t>
    </r>
  </si>
  <si>
    <t>Nombre de N</t>
  </si>
  <si>
    <t>Prosp</t>
  </si>
  <si>
    <t xml:space="preserve">Poker d'As </t>
  </si>
  <si>
    <t>Verveine des Indes</t>
  </si>
  <si>
    <t>FAHAM</t>
  </si>
  <si>
    <t>Fleurs Jaunes</t>
  </si>
  <si>
    <t>Phase</t>
  </si>
  <si>
    <t>Etudes</t>
  </si>
  <si>
    <t>%</t>
  </si>
  <si>
    <t>Total Nombre de N</t>
  </si>
  <si>
    <t>Lgt</t>
  </si>
  <si>
    <t xml:space="preserve">Total </t>
  </si>
  <si>
    <t>LOGIS 9</t>
  </si>
  <si>
    <t>PRLC 0176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</si>
  <si>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Paule et Gaston</t>
    </r>
  </si>
  <si>
    <t>Etat</t>
  </si>
  <si>
    <t>MOUTIEN</t>
  </si>
  <si>
    <t>Lgts</t>
  </si>
  <si>
    <t>Paille en Queue</t>
  </si>
  <si>
    <t>Verveine des Indes (Ilôt 5.1)</t>
  </si>
  <si>
    <t>FAHAM (Ilôt 5.6)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</si>
  <si>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Galabert</t>
    </r>
  </si>
  <si>
    <t>Z'ambaville (AX 18)</t>
  </si>
  <si>
    <t>CIVIS 25/05/15
Région 12/06/15
Commune 29/06/15
CG 30/06/15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</si>
  <si>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Maurice Lebon</t>
    </r>
  </si>
  <si>
    <t>EGI</t>
  </si>
  <si>
    <t>manque PC / 3 attestations arrangeur / FRAFU</t>
  </si>
  <si>
    <t>AD archi conseil</t>
  </si>
  <si>
    <t>faire courrier d'annulation LBU avec justificatifs</t>
  </si>
  <si>
    <t>SNC ALESIA 1</t>
  </si>
  <si>
    <t>SNC ALESIA 6</t>
  </si>
  <si>
    <t>LS 118</t>
  </si>
  <si>
    <t>Transmission Ct Prêt à DAF</t>
  </si>
  <si>
    <t>PRLC 0178</t>
  </si>
  <si>
    <t>PRLC 0179</t>
  </si>
  <si>
    <t>Les Kakis</t>
  </si>
  <si>
    <t>Les Bras de la Plaine</t>
  </si>
  <si>
    <t>OS démarrage</t>
  </si>
  <si>
    <t>1e pierre</t>
  </si>
  <si>
    <t>Visites pré-livraison / M-1</t>
  </si>
  <si>
    <t>Vérifications techniques Patrimoine</t>
  </si>
  <si>
    <t>Date réception entreprises</t>
  </si>
  <si>
    <t>Date transmission clés Patrimoine</t>
  </si>
  <si>
    <t>Date RDC GL</t>
  </si>
  <si>
    <t>Fin GPA</t>
  </si>
  <si>
    <t>sem 03/06/13</t>
  </si>
  <si>
    <t>19 et 26/04/13</t>
  </si>
  <si>
    <t>sem 03/07/13</t>
  </si>
  <si>
    <t>sem 10/06/13</t>
  </si>
  <si>
    <t>19 et 20/11/13</t>
  </si>
  <si>
    <t>étudiants 03/09/14</t>
  </si>
  <si>
    <t>RDV pré-clôture avec RO</t>
  </si>
  <si>
    <t>Transmission budget pré-clôture DAF</t>
  </si>
  <si>
    <t>RDV clôture avec RO</t>
  </si>
  <si>
    <t>Transmission budget DAF</t>
  </si>
  <si>
    <t>attente doc signé</t>
  </si>
  <si>
    <t>25/09/2014 : à détailler plus</t>
  </si>
  <si>
    <t>13/10/14 DPR</t>
  </si>
  <si>
    <t>14/10/14 DPR</t>
  </si>
  <si>
    <t>7/9/15 - correctifs à apporter</t>
  </si>
  <si>
    <r>
      <rPr>
        <b/>
        <sz val="11"/>
        <color rgb="FFFF0000"/>
        <rFont val="Calibri"/>
        <family val="2"/>
        <scheme val="minor"/>
      </rPr>
      <t>VEFA LLS</t>
    </r>
    <r>
      <rPr>
        <b/>
        <sz val="11"/>
        <rFont val="Calibri"/>
        <family val="2"/>
        <scheme val="minor"/>
      </rPr>
      <t xml:space="preserve">  Les Rosiers</t>
    </r>
    <r>
      <rPr>
        <b/>
        <sz val="11"/>
        <color rgb="FFFF0000"/>
        <rFont val="Calibri"/>
        <family val="2"/>
        <scheme val="minor"/>
      </rPr>
      <t xml:space="preserve"> </t>
    </r>
  </si>
  <si>
    <r>
      <rPr>
        <b/>
        <sz val="11"/>
        <color rgb="FFFF0000"/>
        <rFont val="Calibri"/>
        <family val="2"/>
        <scheme val="minor"/>
      </rPr>
      <t>VEFA LLTS</t>
    </r>
    <r>
      <rPr>
        <b/>
        <sz val="11"/>
        <rFont val="Calibri"/>
        <family val="2"/>
        <scheme val="minor"/>
      </rPr>
      <t xml:space="preserve"> Les Rosiers</t>
    </r>
    <r>
      <rPr>
        <b/>
        <sz val="11"/>
        <color rgb="FFFF0000"/>
        <rFont val="Calibri"/>
        <family val="2"/>
        <scheme val="minor"/>
      </rPr>
      <t xml:space="preserve"> 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</si>
  <si>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Oiseaux du Paradis 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</si>
  <si>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Les Pechers </t>
    </r>
  </si>
  <si>
    <t>Fleurs jaunes (Ilôt 6.1)</t>
  </si>
  <si>
    <t>Revue de Projet</t>
  </si>
  <si>
    <t>Archi conseil DEAL</t>
  </si>
  <si>
    <t>CA</t>
  </si>
  <si>
    <t>Echantillons</t>
  </si>
  <si>
    <t>PV réception signés</t>
  </si>
  <si>
    <t>Clôture DO</t>
  </si>
  <si>
    <t>DAT</t>
  </si>
  <si>
    <t>DDA définitif</t>
  </si>
  <si>
    <t>Avenant global</t>
  </si>
  <si>
    <t>PRLC 0181</t>
  </si>
  <si>
    <t>PRLC 0180</t>
  </si>
  <si>
    <t>Transmission à DAF</t>
  </si>
  <si>
    <t>Ville 18/03/15
Région 17/06/15
CG 30/06/15
CASUD 29/09/15</t>
  </si>
  <si>
    <t>17/02/2014
09/10/14</t>
  </si>
  <si>
    <t>Convention FT</t>
  </si>
  <si>
    <t>Convention EDF</t>
  </si>
  <si>
    <t>Convention SIDELEC</t>
  </si>
  <si>
    <t>à signer</t>
  </si>
  <si>
    <t>Planning signé</t>
  </si>
  <si>
    <t>Logement témoin</t>
  </si>
  <si>
    <t>13/1/14 - 07/04/2014</t>
  </si>
  <si>
    <t>en cours</t>
  </si>
  <si>
    <t>Constat 1</t>
  </si>
  <si>
    <t>Constat 2</t>
  </si>
  <si>
    <t>Constat 3</t>
  </si>
  <si>
    <t>DGD</t>
  </si>
  <si>
    <t>Date limite d'utilisation des fonds</t>
  </si>
  <si>
    <t>à faire</t>
  </si>
  <si>
    <t>CASUD = 02/07/14
CG : OK
Région : OK
Mairie : OK</t>
  </si>
  <si>
    <t>Transmission patrimoine</t>
  </si>
  <si>
    <t>05/03/2014
07/10/14</t>
  </si>
  <si>
    <t>Jules Arlandas (Alamandas)</t>
  </si>
  <si>
    <t>FBR</t>
  </si>
  <si>
    <t>DOE</t>
  </si>
  <si>
    <t>scanné 07/05/14</t>
  </si>
  <si>
    <t>20/03/2014 &amp; 06/11/14
13/10/15</t>
  </si>
  <si>
    <t>x</t>
  </si>
  <si>
    <t>Mairie 02/11/15</t>
  </si>
  <si>
    <t>PRLC 0175</t>
  </si>
  <si>
    <t>CONTRÔLE DEAL</t>
  </si>
  <si>
    <t>PARCELLE</t>
  </si>
  <si>
    <t>BX 855</t>
  </si>
  <si>
    <t>Accord SIEG</t>
  </si>
  <si>
    <t>RPA Du Parc</t>
  </si>
  <si>
    <t>Patrimoine</t>
  </si>
  <si>
    <t>TRAVAUX</t>
  </si>
  <si>
    <t>07/06/2012
06/11/15</t>
  </si>
  <si>
    <t>conv° réserv° 17/09/15
G 09/11/15</t>
  </si>
  <si>
    <t>19/06/2014
18/11/15</t>
  </si>
  <si>
    <t>18/11/2015
CR OK</t>
  </si>
  <si>
    <t>PRLC 0165</t>
  </si>
  <si>
    <t>RFCT</t>
  </si>
  <si>
    <t>Fin délai réservation</t>
  </si>
  <si>
    <t>LOGIS 8</t>
  </si>
  <si>
    <t>27/04/2015
21/07/15</t>
  </si>
  <si>
    <t>AVANCEMENT</t>
  </si>
  <si>
    <t>ASSISTANTE</t>
  </si>
  <si>
    <t>Attestation conformité Mairie</t>
  </si>
  <si>
    <t>Loyer mensuel</t>
  </si>
  <si>
    <t>Transmission Fiche Pgr GL</t>
  </si>
  <si>
    <t>Tamariniers LLS</t>
  </si>
  <si>
    <t>Tamariniers LLTS</t>
  </si>
  <si>
    <t>Barrage LLTS</t>
  </si>
  <si>
    <t>Barrage LLS</t>
  </si>
  <si>
    <t>Délai chantier réel</t>
  </si>
  <si>
    <t>Délai chantier initial</t>
  </si>
  <si>
    <t>Perte loyer</t>
  </si>
  <si>
    <t>dossier transmis</t>
  </si>
  <si>
    <t>Mises en chantier</t>
  </si>
  <si>
    <t>Livraisons</t>
  </si>
  <si>
    <t>Mail 16/12/15</t>
  </si>
  <si>
    <t>13/515</t>
  </si>
  <si>
    <t xml:space="preserve">Les Platanes </t>
  </si>
  <si>
    <t xml:space="preserve">env DEAL 2015 </t>
  </si>
  <si>
    <t>P1</t>
  </si>
  <si>
    <t>P2</t>
  </si>
  <si>
    <t xml:space="preserve">env DEAL 2014 </t>
  </si>
  <si>
    <t>Transmission contrats d'entretien</t>
  </si>
  <si>
    <t>AS 603</t>
  </si>
  <si>
    <t>BO 206-352</t>
  </si>
  <si>
    <t>AO 433</t>
  </si>
  <si>
    <t>AH 449 à 451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</si>
  <si>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PISCINE</t>
    </r>
  </si>
  <si>
    <t>DH 111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</si>
  <si>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TRISCOTTE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</si>
  <si>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APAYA</t>
    </r>
  </si>
  <si>
    <t>CX 1220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</si>
  <si>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EPERON</t>
    </r>
  </si>
  <si>
    <t>CT 1816-1817-2241</t>
  </si>
  <si>
    <t>DP 61 - 65- 66</t>
  </si>
  <si>
    <t>EM 512</t>
  </si>
  <si>
    <t>pas livrée</t>
  </si>
  <si>
    <t xml:space="preserve">Hortensias </t>
  </si>
  <si>
    <t>RPA Chaloupe + Antares</t>
  </si>
  <si>
    <t>Amata (HE 168)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</si>
  <si>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GIRDARY</t>
    </r>
  </si>
  <si>
    <t>manque GAIA/cheminée/epurfix</t>
  </si>
  <si>
    <t>TAILLE</t>
  </si>
  <si>
    <t>0-19</t>
  </si>
  <si>
    <t>20-39</t>
  </si>
  <si>
    <t>40-59</t>
  </si>
  <si>
    <t>&gt;60</t>
  </si>
  <si>
    <t>CD 61 Rue Bertaut LLTS</t>
  </si>
  <si>
    <t>AF FONDATIONS</t>
  </si>
  <si>
    <t>DATE LIMITE DAT</t>
  </si>
  <si>
    <t>16/02 G
23/02 H
01/03 F</t>
  </si>
  <si>
    <t>16/12/15 Région
20/01/16 CG
25/01/16 Mairie
10/02/16 CASUD</t>
  </si>
  <si>
    <t>Convention 18/01/16
Délib 18/01/16</t>
  </si>
  <si>
    <t>dde 05/02/16</t>
  </si>
  <si>
    <t>TCO 08/01/2016</t>
  </si>
  <si>
    <t>DQ 2016</t>
  </si>
  <si>
    <t>Livraison</t>
  </si>
  <si>
    <t>ILOT 5.1</t>
  </si>
  <si>
    <t>ILOT 6.1</t>
  </si>
  <si>
    <t>ILOT 5.6</t>
  </si>
  <si>
    <t>PSP</t>
  </si>
  <si>
    <t>L3</t>
  </si>
  <si>
    <t>ILOT 6.2</t>
  </si>
  <si>
    <t>Manapany</t>
  </si>
  <si>
    <t>Amata</t>
  </si>
  <si>
    <t>CD 61</t>
  </si>
  <si>
    <t>Poker As 2</t>
  </si>
  <si>
    <t>Boutons d'Or</t>
  </si>
  <si>
    <t>Fanfan</t>
  </si>
  <si>
    <t>RDE</t>
  </si>
  <si>
    <t>Le Cap</t>
  </si>
  <si>
    <t>P2 peut repasser en P1 si on a un accord avec TCO avant 02/03/16</t>
  </si>
  <si>
    <t>Transmission VEFA à DAF</t>
  </si>
  <si>
    <t>Scan VEFA</t>
  </si>
  <si>
    <t>doc jur 30/11/15</t>
  </si>
  <si>
    <t>Conv° cadre 24/02/16</t>
  </si>
  <si>
    <t>RDV RO DDAD</t>
  </si>
  <si>
    <t>APS</t>
  </si>
  <si>
    <t>10/06/2015
reste bât A</t>
  </si>
  <si>
    <t>LYCEE SCHOELCHER</t>
  </si>
  <si>
    <t>REHAB BAT M</t>
  </si>
  <si>
    <t>Pepinière d'entreprises Tranche 2</t>
  </si>
  <si>
    <t>SOBEPRE</t>
  </si>
  <si>
    <t>RHI BC</t>
  </si>
  <si>
    <t>17/11/2015
27/01/16
15/03/16</t>
  </si>
  <si>
    <t>07/12/2015
15/03/16</t>
  </si>
  <si>
    <t xml:space="preserve">PC 95 </t>
  </si>
  <si>
    <t xml:space="preserve">PC 97 </t>
  </si>
  <si>
    <t>BH 228</t>
  </si>
  <si>
    <t>CX 671 / 1141</t>
  </si>
  <si>
    <t>CF 549</t>
  </si>
  <si>
    <t>CH 401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</si>
  <si>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</si>
  <si>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Archivage</t>
  </si>
  <si>
    <t>MICHEL plus OK</t>
  </si>
  <si>
    <t xml:space="preserve">prorogation signée </t>
  </si>
  <si>
    <t>APU</t>
  </si>
  <si>
    <t>acte signé</t>
  </si>
  <si>
    <t>acheté 25/11/15
transmettre coordonnées riverains à FBR</t>
  </si>
  <si>
    <t>convention paroi clouée OK / notaire doit rédiger une constitution de servitude</t>
  </si>
  <si>
    <t>à faire avant 11/16</t>
  </si>
  <si>
    <t>30/06/2014
08/04/16</t>
  </si>
  <si>
    <t>ECS 03/03/16
Fosse 18/03/16
Inserts 15/04/16</t>
  </si>
  <si>
    <t>FVA</t>
  </si>
  <si>
    <t>ADE</t>
  </si>
  <si>
    <t>Jean MOREL (Amaryllis)</t>
  </si>
  <si>
    <t>Max GOBETTI (AUBEPINES)</t>
  </si>
  <si>
    <t>Lié ETHEVE (Poker As 2)</t>
  </si>
  <si>
    <t>Présentation APS</t>
  </si>
  <si>
    <t>clôture défisc</t>
  </si>
  <si>
    <t>DDA</t>
  </si>
  <si>
    <t>Travaux / Expro</t>
  </si>
  <si>
    <t>Assistantes</t>
  </si>
  <si>
    <t xml:space="preserve">Travaux  </t>
  </si>
  <si>
    <t>Lotissement Montvert</t>
  </si>
  <si>
    <t>Etude</t>
  </si>
  <si>
    <t>attente retour conv° garantie par signée CG &amp; transmise au CG 11/05/16</t>
  </si>
  <si>
    <t>16/12/15 Région 
16/12/15 Commune
10/02/16 CIVIS
11/05/16 CG</t>
  </si>
  <si>
    <t>16/10/2014
20/05/2016</t>
  </si>
  <si>
    <t>HONORAIRES</t>
  </si>
  <si>
    <t>NH PROG</t>
  </si>
  <si>
    <t>OS ESQ</t>
  </si>
  <si>
    <t>RECEPTION ESQ</t>
  </si>
  <si>
    <t>RECEPTION PREVUE ESQ</t>
  </si>
  <si>
    <t>ECART RECEPTION ESQ</t>
  </si>
  <si>
    <t>VALIDATION ESQ</t>
  </si>
  <si>
    <t>OS APS</t>
  </si>
  <si>
    <t>RECEPTION PREVUE APS</t>
  </si>
  <si>
    <t>RECEPTION APS</t>
  </si>
  <si>
    <t>ECART RECEPTION APS</t>
  </si>
  <si>
    <t>VALIDATION APS</t>
  </si>
  <si>
    <t>NH APS</t>
  </si>
  <si>
    <t>RECEPTION PC</t>
  </si>
  <si>
    <t>DEPOT PC</t>
  </si>
  <si>
    <t>NH PC</t>
  </si>
  <si>
    <t>OS APD</t>
  </si>
  <si>
    <t>RECEPTION APD</t>
  </si>
  <si>
    <t>ECART RECEPTION APD</t>
  </si>
  <si>
    <t>RECEPTION PREVUE APD</t>
  </si>
  <si>
    <t>VALIDATION APD</t>
  </si>
  <si>
    <t>NH APD</t>
  </si>
  <si>
    <t>OS PRO</t>
  </si>
  <si>
    <t>RECEPTION PREVUE PRO</t>
  </si>
  <si>
    <t>RECEPTION PRO</t>
  </si>
  <si>
    <t>ECART RECEPTION PRO</t>
  </si>
  <si>
    <t>VALIDATION PRO</t>
  </si>
  <si>
    <t>NH PRO</t>
  </si>
  <si>
    <t>OS DCE</t>
  </si>
  <si>
    <t>RECEPTION PREVUE DCE</t>
  </si>
  <si>
    <t>RECEPTION DCE</t>
  </si>
  <si>
    <t>ECART RECEPTION DCE</t>
  </si>
  <si>
    <t>LANCEMENT PREVU AO</t>
  </si>
  <si>
    <t>LANCEMENT AO</t>
  </si>
  <si>
    <t>cf PC</t>
  </si>
  <si>
    <t>Résiliations marchés</t>
  </si>
  <si>
    <t>attente arrêté LBU</t>
  </si>
  <si>
    <t>CD 61 Rue Bertaut LLS</t>
  </si>
  <si>
    <t>Plaine St Paul</t>
  </si>
  <si>
    <t>DUREE VALIDATION ESQ</t>
  </si>
  <si>
    <t>DUREE VALIDATION APS</t>
  </si>
  <si>
    <t>DUREE VALIDATION APD</t>
  </si>
  <si>
    <t>DUREE VALIDATION PRO</t>
  </si>
  <si>
    <t>Retard loyers</t>
  </si>
  <si>
    <t>Délai chantier initial L</t>
  </si>
  <si>
    <t>Mois de retard réception</t>
  </si>
  <si>
    <t>Délai inauguration</t>
  </si>
  <si>
    <t>Harry PAYET (Les Mimosas)</t>
  </si>
  <si>
    <t>AD 133</t>
  </si>
  <si>
    <t xml:space="preserve">Dakota </t>
  </si>
  <si>
    <t>EK 250</t>
  </si>
  <si>
    <t>capacité en cours par JLC : mettre dossier foncier complet à disposition en vue du lancement consultation archi</t>
  </si>
  <si>
    <t>Arizona</t>
  </si>
  <si>
    <t>CX 759 p</t>
  </si>
  <si>
    <t>Californie</t>
  </si>
  <si>
    <t>EK 286</t>
  </si>
  <si>
    <t>Chataigners</t>
  </si>
  <si>
    <t>DE 22</t>
  </si>
  <si>
    <t>Gallien</t>
  </si>
  <si>
    <t>Faisa</t>
  </si>
  <si>
    <t>Consult</t>
  </si>
  <si>
    <t>PRLC 0184</t>
  </si>
  <si>
    <t>PRLC 0185</t>
  </si>
  <si>
    <t>PRLC 0187</t>
  </si>
  <si>
    <t>PRLC 0186</t>
  </si>
  <si>
    <t>24/6/16 (mail)</t>
  </si>
  <si>
    <t>RTA</t>
  </si>
  <si>
    <t>ACHEVEMENT LIM VEFA</t>
  </si>
  <si>
    <t>ECART CAO</t>
  </si>
  <si>
    <t>DUREE CAO</t>
  </si>
  <si>
    <t>ECART VALIDATION APD</t>
  </si>
  <si>
    <t>ECART VALIDATION PRO</t>
  </si>
  <si>
    <t>ECART VALIDATION APS</t>
  </si>
  <si>
    <t>ECART LANCEMENT APD</t>
  </si>
  <si>
    <t>ECART LANCEMENT PRO</t>
  </si>
  <si>
    <t>ECART LANCEMENT DCE</t>
  </si>
  <si>
    <t>ECART LANCEMENT AO</t>
  </si>
  <si>
    <t>DUREE PHASE ESQ</t>
  </si>
  <si>
    <t>DUREE PHASE APS</t>
  </si>
  <si>
    <t>DUREE PHASE APD</t>
  </si>
  <si>
    <t>DUREE PHASE PRO</t>
  </si>
  <si>
    <t>DUREE ETUDES NORMALES (mois)</t>
  </si>
  <si>
    <t>ECART ETUDES (mois) prévisionnel</t>
  </si>
  <si>
    <t>DUREE DCE</t>
  </si>
  <si>
    <t>ECART VALIDATION ESQ</t>
  </si>
  <si>
    <t>ECART LANCEMENT APS</t>
  </si>
  <si>
    <t>ascenseur 19/08/16</t>
  </si>
  <si>
    <t>CAL</t>
  </si>
  <si>
    <t>à relancer</t>
  </si>
  <si>
    <t>LOGIS 10</t>
  </si>
  <si>
    <t>ET 909 / 1256</t>
  </si>
  <si>
    <t>Les Fourragères (Odyssée)</t>
  </si>
  <si>
    <r>
      <rPr>
        <b/>
        <sz val="11"/>
        <rFont val="Calibri"/>
        <family val="2"/>
        <scheme val="minor"/>
      </rPr>
      <t xml:space="preserve">1. Planning : </t>
    </r>
    <r>
      <rPr>
        <sz val="11"/>
        <rFont val="Calibri"/>
        <family val="2"/>
        <scheme val="minor"/>
      </rPr>
      <t xml:space="preserve">prévoir une réception en 12/16 / notifier le planning par OS car entreprises ne veulent pas le signer
</t>
    </r>
    <r>
      <rPr>
        <b/>
        <sz val="11"/>
        <rFont val="Calibri"/>
        <family val="2"/>
        <scheme val="minor"/>
      </rPr>
      <t>2. lancer consultation espaces verts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scheme val="minor"/>
      </rPr>
      <t>3. Concessionnaires :</t>
    </r>
    <r>
      <rPr>
        <sz val="11"/>
        <rFont val="Calibri"/>
        <family val="2"/>
        <scheme val="minor"/>
      </rPr>
      <t xml:space="preserve"> poste transfo OK
</t>
    </r>
    <r>
      <rPr>
        <b/>
        <sz val="11"/>
        <rFont val="Calibri"/>
        <family val="2"/>
        <scheme val="minor"/>
      </rPr>
      <t>4. voir avec BOISSEAU</t>
    </r>
    <r>
      <rPr>
        <sz val="11"/>
        <rFont val="Calibri"/>
        <family val="2"/>
        <scheme val="minor"/>
      </rPr>
      <t xml:space="preserve"> si possible de signer baux avant dépôt DAT
</t>
    </r>
    <r>
      <rPr>
        <b/>
        <sz val="11"/>
        <rFont val="Calibri"/>
        <family val="2"/>
        <scheme val="minor"/>
      </rPr>
      <t>5. Charpentier n'avance pas : intempéries - suivre l'avis de l'OPC</t>
    </r>
    <r>
      <rPr>
        <sz val="11"/>
        <rFont val="Calibri"/>
        <family val="2"/>
        <scheme val="minor"/>
      </rPr>
      <t xml:space="preserve">
</t>
    </r>
  </si>
  <si>
    <t>LS 119</t>
  </si>
  <si>
    <t>Date inauguration / livraison</t>
  </si>
  <si>
    <t>pas de difficultés pour le moment / Appel de fonds achèvement à recevoir prochainement</t>
  </si>
  <si>
    <t>30/06/2014
09/09/16</t>
  </si>
  <si>
    <t>Etude Sol</t>
  </si>
  <si>
    <t>SPS</t>
  </si>
  <si>
    <t>CT</t>
  </si>
  <si>
    <t>OPC</t>
  </si>
  <si>
    <t>SEGC</t>
  </si>
  <si>
    <t>APAVE</t>
  </si>
  <si>
    <t>SOCOTEC</t>
  </si>
  <si>
    <t>DIDES</t>
  </si>
  <si>
    <t>M2B RUN</t>
  </si>
  <si>
    <t>LACQ</t>
  </si>
  <si>
    <t>PREVENTIO</t>
  </si>
  <si>
    <t>en cours d'analyse au 22/09/16</t>
  </si>
  <si>
    <t>ARCHI TEX</t>
  </si>
  <si>
    <t>VERITAS</t>
  </si>
  <si>
    <t>L'Hospitalier</t>
  </si>
  <si>
    <t>DIDES non notifié</t>
  </si>
  <si>
    <r>
      <rPr>
        <b/>
        <sz val="11"/>
        <rFont val="Calibri"/>
        <family val="2"/>
        <scheme val="minor"/>
      </rPr>
      <t>1. Remise clés 10/10/16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scheme val="minor"/>
      </rPr>
      <t>2. Traiter appel de fonds achèvement</t>
    </r>
    <r>
      <rPr>
        <sz val="11"/>
        <rFont val="Calibri"/>
        <family val="2"/>
        <scheme val="minor"/>
      </rPr>
      <t xml:space="preserve"> 
</t>
    </r>
  </si>
  <si>
    <r>
      <rPr>
        <b/>
        <sz val="11"/>
        <rFont val="Calibri"/>
        <family val="2"/>
        <scheme val="minor"/>
      </rPr>
      <t>1. Réception 27/09/16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scheme val="minor"/>
      </rPr>
      <t>2. Concessionnaires :</t>
    </r>
    <r>
      <rPr>
        <sz val="11"/>
        <rFont val="Calibri"/>
        <family val="2"/>
        <scheme val="minor"/>
      </rPr>
      <t xml:space="preserve">
- FT : ok
- AEP : attente compteurs
- EDF : compteurs OK
- SDIS : aire retournement 15/10 au plus tard
</t>
    </r>
    <r>
      <rPr>
        <b/>
        <sz val="11"/>
        <rFont val="Calibri"/>
        <family val="2"/>
        <scheme val="minor"/>
      </rPr>
      <t xml:space="preserve">3. SOCOTEC : </t>
    </r>
    <r>
      <rPr>
        <sz val="11"/>
        <rFont val="Calibri"/>
        <family val="2"/>
        <scheme val="minor"/>
      </rPr>
      <t xml:space="preserve">20 pages de réserves / pas de nouvelles de CATAN
</t>
    </r>
    <r>
      <rPr>
        <b/>
        <sz val="11"/>
        <rFont val="Calibri"/>
        <family val="2"/>
        <scheme val="minor"/>
      </rPr>
      <t>4. Réserves CERQUAL à lever : 15 j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scheme val="minor"/>
      </rPr>
      <t>5. 110 000 € de travaux à faire</t>
    </r>
    <r>
      <rPr>
        <sz val="11"/>
        <rFont val="Calibri"/>
        <family val="2"/>
        <scheme val="minor"/>
      </rPr>
      <t xml:space="preserve"> pour récupérer la Base Eligible
</t>
    </r>
    <r>
      <rPr>
        <b/>
        <sz val="11"/>
        <rFont val="Calibri"/>
        <family val="2"/>
        <scheme val="minor"/>
      </rPr>
      <t>6. Essais JFG ok</t>
    </r>
    <r>
      <rPr>
        <sz val="11"/>
        <rFont val="Calibri"/>
        <family val="2"/>
        <scheme val="minor"/>
      </rPr>
      <t xml:space="preserve">
Canons définitifs posés après levée réserves</t>
    </r>
  </si>
  <si>
    <r>
      <rPr>
        <b/>
        <sz val="11"/>
        <rFont val="Calibri"/>
        <family val="2"/>
        <scheme val="minor"/>
      </rPr>
      <t>1. Reprise Charpente :</t>
    </r>
    <r>
      <rPr>
        <sz val="11"/>
        <rFont val="Calibri"/>
        <family val="2"/>
        <scheme val="minor"/>
      </rPr>
      <t xml:space="preserve">
- JPH refuse le marché
- prendre le 2e si possible
</t>
    </r>
    <r>
      <rPr>
        <b/>
        <sz val="11"/>
        <rFont val="Calibri"/>
        <family val="2"/>
        <scheme val="minor"/>
      </rPr>
      <t>2. Concessionnaires :</t>
    </r>
    <r>
      <rPr>
        <sz val="11"/>
        <rFont val="Calibri"/>
        <family val="2"/>
        <scheme val="minor"/>
      </rPr>
      <t xml:space="preserve">
- EDF : payer le reliquat / pré-réception mi-oct
- AEP : compteurs payés
- FT</t>
    </r>
  </si>
  <si>
    <t>PC purgé</t>
  </si>
  <si>
    <t>Attestation non recours Mairie + certificat d'affichage + TA</t>
  </si>
  <si>
    <t xml:space="preserve">DO </t>
  </si>
  <si>
    <t>wetransfer 26/06/16</t>
  </si>
  <si>
    <t>Agrément transmis le 25/08/2016</t>
  </si>
  <si>
    <t>Constats affichage ok
non recours 31/08/2016</t>
  </si>
  <si>
    <t>POINT AVANCEMENT AU 27/09/16</t>
  </si>
  <si>
    <t>14/09/2016
retour 28/09 pour signature</t>
  </si>
  <si>
    <t>note de couverture reçue 20/09/16
30 460,61</t>
  </si>
  <si>
    <t>demande 07/10/16</t>
  </si>
  <si>
    <t>So</t>
  </si>
  <si>
    <t>06/10/2016
renvoyé le 04/10/16 à CDC</t>
  </si>
  <si>
    <t>manque EDD</t>
  </si>
  <si>
    <t>à déposer</t>
  </si>
  <si>
    <t>GFA</t>
  </si>
  <si>
    <t>VEFA Maurice Lebon</t>
  </si>
  <si>
    <t>promoteur</t>
  </si>
  <si>
    <t xml:space="preserve">Risque 1 - Signature Morel
</t>
  </si>
  <si>
    <t>VEFA Loulou Pitou</t>
  </si>
  <si>
    <t>VEFA Paule &amp; Gaston</t>
  </si>
  <si>
    <t>relance RO 11/10/16</t>
  </si>
  <si>
    <t>07/09/2016
11/10/16</t>
  </si>
  <si>
    <t>Attente garanties : relance promoteur</t>
  </si>
  <si>
    <t>Transmission Projet VEFA à assistant juridique</t>
  </si>
  <si>
    <t>Assistant juridique</t>
  </si>
  <si>
    <t>DS AVOCATS</t>
  </si>
  <si>
    <t>MAREL / DS</t>
  </si>
  <si>
    <t>signature DG ok</t>
  </si>
  <si>
    <t>PC modif 25/08/16</t>
  </si>
  <si>
    <t>Risques :
- faire lettres de non retenue pour VRD et GO
- EDD</t>
  </si>
  <si>
    <t>dossier  envoyé</t>
  </si>
  <si>
    <t>CHADRIN</t>
  </si>
  <si>
    <t>CPC</t>
  </si>
  <si>
    <t>Fromentin</t>
  </si>
  <si>
    <t>Masanelli</t>
  </si>
  <si>
    <t>ArchiTex</t>
  </si>
  <si>
    <t>3C</t>
  </si>
  <si>
    <t>Preventio</t>
  </si>
  <si>
    <t>ARCHITEX</t>
  </si>
  <si>
    <t>CUMUL</t>
  </si>
  <si>
    <t>paiement OK</t>
  </si>
  <si>
    <t>M2BRUN</t>
  </si>
  <si>
    <t>Coco Huet (Parc à Moutons)</t>
  </si>
  <si>
    <t>INTERVENANCE</t>
  </si>
  <si>
    <t>20/10/2016 y/c certif adressage + plans</t>
  </si>
  <si>
    <t>INDIGO LLS</t>
  </si>
  <si>
    <t>INDIGO LLTS</t>
  </si>
  <si>
    <t>DD783 / 1298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</si>
  <si>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Ancien Hopital</t>
    </r>
  </si>
  <si>
    <t>CROUS St Pierre</t>
  </si>
  <si>
    <t>PLS</t>
  </si>
  <si>
    <t>EN 1337 p</t>
  </si>
  <si>
    <t>CROUS Tampon</t>
  </si>
  <si>
    <t>BW 683 p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</si>
  <si>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KASKAVEL</t>
    </r>
  </si>
  <si>
    <t>La Possession</t>
  </si>
  <si>
    <t>AP 1220</t>
  </si>
  <si>
    <t>CESARIA</t>
  </si>
  <si>
    <t>CI 192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</si>
  <si>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LA CRETE</t>
    </r>
  </si>
  <si>
    <t>JEAN PETIT</t>
  </si>
  <si>
    <t>CE 1289-775</t>
  </si>
  <si>
    <t>AT 1146, 1030, 1031</t>
  </si>
  <si>
    <t>Bougainvillées</t>
  </si>
  <si>
    <t>Rehab</t>
  </si>
  <si>
    <t>JER</t>
  </si>
  <si>
    <t>BT 607</t>
  </si>
  <si>
    <t>100 marches</t>
  </si>
  <si>
    <t>BR 617</t>
  </si>
  <si>
    <t>Caramboles</t>
  </si>
  <si>
    <t>AP 1375</t>
  </si>
  <si>
    <t>Hubert Delisle</t>
  </si>
  <si>
    <t>BR 1091</t>
  </si>
  <si>
    <t>Citronnelles</t>
  </si>
  <si>
    <t>BK 1082</t>
  </si>
  <si>
    <t>Bras des Etangs</t>
  </si>
  <si>
    <t>Cilaos</t>
  </si>
  <si>
    <t>AI 1718</t>
  </si>
  <si>
    <t>La Cure</t>
  </si>
  <si>
    <t>BN 781</t>
  </si>
  <si>
    <t>Canal Lilis</t>
  </si>
  <si>
    <t>Poinsétias</t>
  </si>
  <si>
    <t>Bellevue A-B-C</t>
  </si>
  <si>
    <t>Chapelle</t>
  </si>
  <si>
    <t>Casabianca</t>
  </si>
  <si>
    <t>BN 1004</t>
  </si>
  <si>
    <t>AS 1450</t>
  </si>
  <si>
    <t>BW 2862</t>
  </si>
  <si>
    <t>Chemin Galet 1</t>
  </si>
  <si>
    <t>Chemin Galet 2</t>
  </si>
  <si>
    <t>Les Orchidées</t>
  </si>
  <si>
    <t>Le Choka Bleu</t>
  </si>
  <si>
    <t>La Cure 2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</si>
  <si>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NORSA INVEST</t>
    </r>
  </si>
  <si>
    <t>BE 2236</t>
  </si>
  <si>
    <t>CAPRICORNE</t>
  </si>
  <si>
    <t>PRLC 0189</t>
  </si>
  <si>
    <t>EN 1892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</si>
  <si>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LES SERINS</t>
    </r>
  </si>
  <si>
    <t>EN 823</t>
  </si>
  <si>
    <t>BRAS CANOT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</si>
  <si>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ELISA</t>
    </r>
  </si>
  <si>
    <t>EN 339, 343, 568, 570</t>
  </si>
  <si>
    <t>AP 1535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</si>
  <si>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BOIS DE SOURCE</t>
    </r>
  </si>
  <si>
    <t>3 MARES</t>
  </si>
  <si>
    <t>BT 920</t>
  </si>
  <si>
    <t>BY 644</t>
  </si>
  <si>
    <t>MONSEIGNEURE DE BEAUMONT</t>
  </si>
  <si>
    <t>EN 575</t>
  </si>
  <si>
    <t>RPA Alamandas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</si>
  <si>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TREFLES</t>
    </r>
  </si>
  <si>
    <t>01/09/2016 + 14/09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</si>
  <si>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ANTARES</t>
    </r>
  </si>
  <si>
    <t>état des lieux avant le 21/11/16</t>
  </si>
  <si>
    <t>PERIMETRE</t>
  </si>
  <si>
    <t>données</t>
  </si>
  <si>
    <t>total</t>
  </si>
  <si>
    <t>55220,02 
27/10/16</t>
  </si>
  <si>
    <t>dossier envoyé le 18/10/16</t>
  </si>
  <si>
    <t>en signature au 30/09/16
34 921,07
payé 03/11/16</t>
  </si>
  <si>
    <t>VAF</t>
  </si>
  <si>
    <t>ok / manque SOREMIR</t>
  </si>
  <si>
    <t>RAS</t>
  </si>
  <si>
    <t>envoi élements à Lydie 18/11/16</t>
  </si>
  <si>
    <r>
      <t xml:space="preserve">Lot Charpente : BCCM par CMOI
Lot Peinture/Sol : RSOP par Corail
Lot Etanchéité : RVD par Corail
Lot ECS : Sunzil par Gaia 
</t>
    </r>
    <r>
      <rPr>
        <b/>
        <sz val="11"/>
        <color rgb="FFFF0000"/>
        <rFont val="Calibri"/>
        <family val="2"/>
        <scheme val="minor"/>
      </rPr>
      <t>Soit 4 lots / 14 lots  =  28 %</t>
    </r>
    <r>
      <rPr>
        <sz val="11"/>
        <color theme="1"/>
        <rFont val="Calibri"/>
        <family val="2"/>
        <scheme val="minor"/>
      </rPr>
      <t xml:space="preserve"> </t>
    </r>
  </si>
  <si>
    <r>
      <t xml:space="preserve">Lot GO : Dunite btp par CH2D
Lot Métallerie : Sodure par Espace alu
</t>
    </r>
    <r>
      <rPr>
        <b/>
        <sz val="11"/>
        <color rgb="FFFF0000"/>
        <rFont val="Calibri"/>
        <family val="2"/>
        <scheme val="minor"/>
      </rPr>
      <t>Soit 2 sur 14 lots = 14%</t>
    </r>
  </si>
  <si>
    <r>
      <t xml:space="preserve">Lot Cloison : SPB par CPR
Lot Etanchéité : RSOP par Corail
Lot Sol souple : RSOP par Corail
Lot peinture : RSOP par Marine Peinture
</t>
    </r>
    <r>
      <rPr>
        <b/>
        <sz val="11"/>
        <color rgb="FFFF0000"/>
        <rFont val="Calibri"/>
        <family val="2"/>
        <scheme val="minor"/>
      </rPr>
      <t>Soit 4 lots sur 15 lots = 26 %</t>
    </r>
  </si>
  <si>
    <r>
      <t xml:space="preserve">Lot 1.1 SATP
Lot 9 ERSEC 
</t>
    </r>
    <r>
      <rPr>
        <b/>
        <sz val="11"/>
        <color rgb="FFFF0000"/>
        <rFont val="Calibri"/>
        <family val="2"/>
        <scheme val="minor"/>
      </rPr>
      <t>Soit 2 lots sur 15 = 13%</t>
    </r>
  </si>
  <si>
    <r>
      <t xml:space="preserve">Lot VRD - SATP par Austral TP
Lot Cloisons - SPB par 3PPLUS
Lot Elec : DTS par EES
</t>
    </r>
    <r>
      <rPr>
        <b/>
        <sz val="11"/>
        <color rgb="FFFF0000"/>
        <rFont val="Calibri"/>
        <family val="2"/>
        <scheme val="minor"/>
      </rPr>
      <t>Soit 3 lots sur 14 = 21%</t>
    </r>
  </si>
  <si>
    <r>
      <t xml:space="preserve">OPC :  L'hospitalier par Fromentin
Lot Etanchéité :
Lot Peinture :
Lot Cloison : Plaquiste réunion par Plaquiste.com
Menui Alu : FAOI par Technipose
Menui Alu : Technipose par Soremir
Lot Elect : I2E par Megawatt
</t>
    </r>
    <r>
      <rPr>
        <b/>
        <sz val="11"/>
        <color rgb="FFFF0000"/>
        <rFont val="Calibri"/>
        <family val="2"/>
        <scheme val="minor"/>
      </rPr>
      <t>Soit  6 lots sur 22 = 27 %</t>
    </r>
  </si>
  <si>
    <r>
      <t xml:space="preserve">Lot Men Ext : APOI
Lot Metallerie : CSMD par M Metallerie
Lot Elec : Filea Elec par Mon ti caze Eclaire
</t>
    </r>
    <r>
      <rPr>
        <b/>
        <sz val="11"/>
        <color rgb="FFFF0000"/>
        <rFont val="Calibri"/>
        <family val="2"/>
        <scheme val="minor"/>
      </rPr>
      <t>Soit 3 lots sur 14 = 21%</t>
    </r>
    <r>
      <rPr>
        <sz val="11"/>
        <rFont val="Calibri"/>
        <family val="2"/>
        <scheme val="minor"/>
      </rPr>
      <t xml:space="preserve">
</t>
    </r>
  </si>
  <si>
    <r>
      <t xml:space="preserve">Lot Couverture : BCCM par GMF
</t>
    </r>
    <r>
      <rPr>
        <b/>
        <sz val="11"/>
        <color rgb="FFFF0000"/>
        <rFont val="Calibri"/>
        <family val="2"/>
        <scheme val="minor"/>
      </rPr>
      <t>soit 1 lot sur 14</t>
    </r>
  </si>
  <si>
    <r>
      <t xml:space="preserve">Lot Bardage : EEC par MJF
Lot Charpente : EEC par MJF
Lot Elect : I2E par IEB
Lot Plomb : Sarhane par Ersec
Lot Plomb : Ersec par CSO
</t>
    </r>
    <r>
      <rPr>
        <b/>
        <sz val="11"/>
        <color rgb="FFFF0000"/>
        <rFont val="Calibri"/>
        <family val="2"/>
        <scheme val="minor"/>
      </rPr>
      <t>Soit 4 lot sur 14 = 28%</t>
    </r>
  </si>
  <si>
    <r>
      <t xml:space="preserve">Résiliation ABR 21/08/13 - attribution EKCB 04/02/14 </t>
    </r>
    <r>
      <rPr>
        <sz val="11"/>
        <color theme="0"/>
        <rFont val="Calibri"/>
        <family val="2"/>
        <scheme val="minor"/>
      </rPr>
      <t>/ 4 mois</t>
    </r>
    <r>
      <rPr>
        <sz val="11"/>
        <rFont val="Calibri"/>
        <family val="2"/>
        <scheme val="minor"/>
      </rPr>
      <t xml:space="preserve">
Résiliation SATP 20/03/14 - attribution TPL 19/09/14 /</t>
    </r>
    <r>
      <rPr>
        <sz val="11"/>
        <color theme="0"/>
        <rFont val="Calibri"/>
        <family val="2"/>
        <scheme val="minor"/>
      </rPr>
      <t xml:space="preserve"> 6 mois</t>
    </r>
    <r>
      <rPr>
        <sz val="11"/>
        <rFont val="Calibri"/>
        <family val="2"/>
        <scheme val="minor"/>
      </rPr>
      <t xml:space="preserve">
Résiliation CSMD 16/05/14 - attribution EKCB 20/07/14 /</t>
    </r>
    <r>
      <rPr>
        <sz val="11"/>
        <color theme="0"/>
        <rFont val="Calibri"/>
        <family val="2"/>
        <scheme val="minor"/>
      </rPr>
      <t xml:space="preserve"> 2 mois</t>
    </r>
    <r>
      <rPr>
        <sz val="11"/>
        <rFont val="Calibri"/>
        <family val="2"/>
        <scheme val="minor"/>
      </rPr>
      <t xml:space="preserve">
Résiliation IJAP 20/06/14 - attribution M Peinture 03/12/14 </t>
    </r>
    <r>
      <rPr>
        <sz val="11"/>
        <color theme="0"/>
        <rFont val="Calibri"/>
        <family val="2"/>
        <scheme val="minor"/>
      </rPr>
      <t>5,5 mois</t>
    </r>
    <r>
      <rPr>
        <sz val="11"/>
        <rFont val="Calibri"/>
        <family val="2"/>
        <scheme val="minor"/>
      </rPr>
      <t xml:space="preserve">
Résiliation APOI 16/06/15 - attribution SOREMIR 04/09/15
Lot Elec : DTS par Idem
 </t>
    </r>
    <r>
      <rPr>
        <b/>
        <sz val="11"/>
        <color rgb="FFFF0000"/>
        <rFont val="Calibri"/>
        <family val="2"/>
        <scheme val="minor"/>
      </rPr>
      <t>soit 6 lots sur 15 soit 40%</t>
    </r>
  </si>
  <si>
    <r>
      <t xml:space="preserve">Lot Peinture : LSR par Marine Peinture
Lot ECS : Ersec par Gaia
Lot Plomb : Ersec par PSVR
Lot Cloison : CIOI par Austral Placo
Lot Charpente : CSMD par HJP
Lot Metallerie : CSMD par HJP
Lot Revetement Dur : PSOI par TPMIB
</t>
    </r>
    <r>
      <rPr>
        <b/>
        <sz val="11"/>
        <color rgb="FFFF0000"/>
        <rFont val="Calibri"/>
        <family val="2"/>
        <scheme val="minor"/>
      </rPr>
      <t>Soit 7 lots sur 15 soit 45 %</t>
    </r>
  </si>
  <si>
    <r>
      <t xml:space="preserve">Lot VRD
Lot Men Ext
</t>
    </r>
    <r>
      <rPr>
        <b/>
        <sz val="11"/>
        <color rgb="FFFF0000"/>
        <rFont val="Calibri"/>
        <family val="2"/>
        <scheme val="minor"/>
      </rPr>
      <t>Soit 2 lots sur 15 soit 13%</t>
    </r>
  </si>
  <si>
    <r>
      <t xml:space="preserve">Lot carrelage : EEPC par 
Lot plomberie : Attitude Plomb par 
Lot ECS : DYELL par 
Lot Charpente : Sorlier par JP Hoarau
Lot Charpente : JP Hoarau par CMOI
</t>
    </r>
    <r>
      <rPr>
        <b/>
        <sz val="11"/>
        <color rgb="FFFF0000"/>
        <rFont val="Calibri"/>
        <family val="2"/>
        <scheme val="minor"/>
      </rPr>
      <t>Soit 5 sur 15 lots  = 33 %</t>
    </r>
  </si>
  <si>
    <r>
      <t xml:space="preserve">Lot 4 Menuiserie - PVC 400 par Sofaal
Lot Metallerie : Technipose par Pumalu
</t>
    </r>
    <r>
      <rPr>
        <b/>
        <sz val="11"/>
        <color rgb="FFFF0000"/>
        <rFont val="Calibri"/>
        <family val="2"/>
        <scheme val="minor"/>
      </rPr>
      <t>soit 2 lots sur 16 = 12%</t>
    </r>
  </si>
  <si>
    <r>
      <t xml:space="preserve">lot menuiseries extérieures : APOI par Sorémir
lot charpente : Sorlier par (en cours)
</t>
    </r>
    <r>
      <rPr>
        <b/>
        <sz val="11"/>
        <color rgb="FFFF0000"/>
        <rFont val="Calibri"/>
        <family val="2"/>
        <scheme val="minor"/>
      </rPr>
      <t>soit 2 sur 17 lots = 12 %</t>
    </r>
  </si>
  <si>
    <r>
      <t xml:space="preserve">Lot Menui Ext :PVC 400 par Sofaal
</t>
    </r>
    <r>
      <rPr>
        <b/>
        <sz val="11"/>
        <color rgb="FFFF0000"/>
        <rFont val="Calibri"/>
        <family val="2"/>
        <scheme val="minor"/>
      </rPr>
      <t>soit 1 sur 15</t>
    </r>
  </si>
  <si>
    <r>
      <t xml:space="preserve">Lot élec : Eneris par Espace Soleil
</t>
    </r>
    <r>
      <rPr>
        <b/>
        <sz val="11"/>
        <color rgb="FFFF0000"/>
        <rFont val="Calibri"/>
        <family val="2"/>
        <scheme val="minor"/>
      </rPr>
      <t>Soit 1 sur 15</t>
    </r>
  </si>
  <si>
    <r>
      <t xml:space="preserve">Lot Elec : DTS par Rayroux
</t>
    </r>
    <r>
      <rPr>
        <b/>
        <sz val="11"/>
        <color rgb="FFFF0000"/>
        <rFont val="Calibri"/>
        <family val="2"/>
        <scheme val="minor"/>
      </rPr>
      <t>Soit 1 lot sur 16</t>
    </r>
  </si>
  <si>
    <r>
      <t xml:space="preserve">Lot Cloison : PRE par DROZ
</t>
    </r>
    <r>
      <rPr>
        <b/>
        <sz val="11"/>
        <color rgb="FFFF0000"/>
        <rFont val="Calibri"/>
        <family val="2"/>
        <scheme val="minor"/>
      </rPr>
      <t xml:space="preserve"> soit 1 sur 15</t>
    </r>
  </si>
  <si>
    <t>env DEAL 2016</t>
  </si>
  <si>
    <t>Esparon</t>
  </si>
  <si>
    <t>Poudroux</t>
  </si>
  <si>
    <t>Acte sur BW 1750 / 1752 / 1789
manque les justificatifs sur les autres parcelles</t>
  </si>
  <si>
    <t>HOAREAU</t>
  </si>
  <si>
    <t>HOARAU</t>
  </si>
  <si>
    <t>29/04/1994
27/07/93</t>
  </si>
  <si>
    <t>BN 787 / 789 n'existent plus au cadastre</t>
  </si>
  <si>
    <t>Hoarau</t>
  </si>
  <si>
    <t>bail à construction sur AP 1558 qui concerne Foyer Casabianca</t>
  </si>
  <si>
    <t>Le Goff</t>
  </si>
  <si>
    <t>Moutien</t>
  </si>
  <si>
    <t>CN 286</t>
  </si>
  <si>
    <t>HOARAU
HOARAU
ESPARON</t>
  </si>
  <si>
    <t>13/05/1992
09/08/96
22/08/94</t>
  </si>
  <si>
    <t>BY 105
BY 1045
BY 888
manque bcp de justificatifs</t>
  </si>
  <si>
    <t>BY 1385 …</t>
  </si>
  <si>
    <t>BY 1389 …</t>
  </si>
  <si>
    <t>ESPARON</t>
  </si>
  <si>
    <t>BN 813 / 812</t>
  </si>
  <si>
    <t>manque justificatif BN 812</t>
  </si>
  <si>
    <t>pas de justificatif</t>
  </si>
  <si>
    <t>LAGOURGUE</t>
  </si>
  <si>
    <t>manque les autres parcelles</t>
  </si>
  <si>
    <t>BASTI</t>
  </si>
  <si>
    <t>dépôt de pièces divisant BN 419/420/421/422/423/782/783/825
manque titre de propriété des parcelles divisées</t>
  </si>
  <si>
    <t>AS 62, 63, 64, 513 v n'existent plus au cadastre</t>
  </si>
  <si>
    <t>servitude EP à faire : délib CM transmise au notaire qui doit faire un projet de servitude
rétrocéder voirie : BJE doit faire DA / manque plan DOE de YFR</t>
  </si>
  <si>
    <t>lots à vendre : CA EPFR début 2017
LES : mise en demeure adressée à l'acquéreur faute de quoi classement du dossier</t>
  </si>
  <si>
    <t>DA finalisé pour CY 1351
DA en cours pour détachement des 5 lots
attente tableau des ventes de FBR
Commune a proposé SICA
Rétrocession du chemin de l'amitié à faire</t>
  </si>
  <si>
    <t>abandon servitude EP - si débordement on avisera</t>
  </si>
  <si>
    <t>acte signé 30/11/15
DA pour emprise de l'accès est signé &amp; numéroté mais l'une des parcelles a été détachée récemment
VEFA fin 2016 sur AT 257 p</t>
  </si>
  <si>
    <t>coordonnées des propriétaires limitrophes transmis à APU
courriers faits par BJE aux riverains pour une rencontre</t>
  </si>
  <si>
    <t>compromis vente signé / à proroger à fin 2017</t>
  </si>
  <si>
    <t>portage EPFR à mettre en place</t>
  </si>
  <si>
    <t>BT 130 / 319 / 111 : seule la BT 111 existe encore à ce jour
manque justificatifs des autres parcelles
récupérer fiche immeuble</t>
  </si>
  <si>
    <t>manque beaucoup de justificatifs
acte sur BR 570 / 571 qui n'existent plus
récupérer fiche immeuble</t>
  </si>
  <si>
    <t>AP 513 / AS 63 - 64 - n'existent plus au cadastre / manque des justificatifs
récupérer fiche immeuble</t>
  </si>
  <si>
    <t>pas de justificatif
récupérer fiche immeuble</t>
  </si>
  <si>
    <t>AE 44 / 45 /  46 / 48 n'existent plus au cadastre
récupérer fiche immeuble</t>
  </si>
  <si>
    <t>voie intérieure à rétrocéder
récupérer DOE
faire le DA</t>
  </si>
  <si>
    <t>Terre des chènes</t>
  </si>
  <si>
    <t>à présenter au CA de Janvier 2017
faire demande de prorogation du compromis</t>
  </si>
  <si>
    <t>Début préfinancement</t>
  </si>
  <si>
    <t>Fin préfinancement</t>
  </si>
  <si>
    <t>1e échéance prêt</t>
  </si>
  <si>
    <t>PROBLEME</t>
  </si>
  <si>
    <t>25/10/2016
pas conforme</t>
  </si>
  <si>
    <t>NH VEFA</t>
  </si>
  <si>
    <t>NH OS</t>
  </si>
  <si>
    <t>PC modif : manque dernier PV</t>
  </si>
  <si>
    <t>Risques : 
- DA
- purge PC modif</t>
  </si>
  <si>
    <t xml:space="preserve">
21/12/16
</t>
  </si>
  <si>
    <t>dde pièces entr OK
lettre de rejet à la signature
signature marchés à compter du 23
pas reçu dossier marché</t>
  </si>
  <si>
    <t>reçu 15/12/16</t>
  </si>
  <si>
    <t>avec OS</t>
  </si>
  <si>
    <t>CG 12/01/17</t>
  </si>
  <si>
    <t>OET</t>
  </si>
  <si>
    <r>
      <t xml:space="preserve">VEFA </t>
    </r>
    <r>
      <rPr>
        <b/>
        <sz val="11"/>
        <rFont val="Calibri"/>
        <family val="2"/>
        <scheme val="minor"/>
      </rPr>
      <t>Paule &amp; Gaston</t>
    </r>
  </si>
  <si>
    <t>CG 12/01/17
Commune 18/01/17
CIVIS 18/01/17</t>
  </si>
  <si>
    <t>branchement SIDELEC 21/02/17</t>
  </si>
  <si>
    <t>Concessionnaires OK</t>
  </si>
  <si>
    <t>dossier  envoyé à INGEPAR</t>
  </si>
  <si>
    <t>Baux</t>
  </si>
  <si>
    <t>dde GL 20/01/17</t>
  </si>
  <si>
    <t>NH Fondations</t>
  </si>
  <si>
    <t>NH R+1</t>
  </si>
  <si>
    <t>IONIQUE 5</t>
  </si>
  <si>
    <t>PRLC 0163</t>
  </si>
  <si>
    <t>demande ok</t>
  </si>
  <si>
    <t>1 partie du dossier déposé à OFOI</t>
  </si>
  <si>
    <t>manque GAIA</t>
  </si>
  <si>
    <t>PREVENTECH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</si>
  <si>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EQUILIBRE</t>
    </r>
  </si>
  <si>
    <t>dossier complet chez INGEPAR</t>
  </si>
  <si>
    <t>24/02/2016
06/09/2016</t>
  </si>
  <si>
    <t xml:space="preserve">1e envoi 05/09/16
</t>
  </si>
  <si>
    <t>12/01/2017 mail
30/01/2017 papier</t>
  </si>
  <si>
    <t>(vide)</t>
  </si>
  <si>
    <t>env DEAL 2017</t>
  </si>
  <si>
    <t>LLS / LLTS</t>
  </si>
  <si>
    <t>30/08/2016
01/02/17</t>
  </si>
  <si>
    <t>20/02/2014
02/07/14
26/08/15
01/02/17</t>
  </si>
  <si>
    <t>PHBB</t>
  </si>
  <si>
    <t>dde GL 03/02/17</t>
  </si>
  <si>
    <r>
      <t xml:space="preserve">Lot Charpente Couverture : Trait Carré par HJP
Lot Gros-œuvre : Robert Construction par CH2D
Lot Men Ext :APOI par Espace Alu
Lot électricité : Electric Services par
Lot Gros-Œuvre : CH2D par
</t>
    </r>
    <r>
      <rPr>
        <b/>
        <sz val="11"/>
        <color rgb="FFFF0000"/>
        <rFont val="Calibri"/>
        <family val="2"/>
        <scheme val="minor"/>
      </rPr>
      <t>Soit 5 lots sur 14 = 34%</t>
    </r>
  </si>
  <si>
    <r>
      <t xml:space="preserve">Lot Men Ext
Lot Cloisons
Lot Bardage
Lot Bardage
</t>
    </r>
    <r>
      <rPr>
        <b/>
        <sz val="11"/>
        <color rgb="FFFF0000"/>
        <rFont val="Calibri"/>
        <family val="2"/>
        <scheme val="minor"/>
      </rPr>
      <t>soit 4 lots sur 14 = 29%</t>
    </r>
  </si>
  <si>
    <t xml:space="preserve">Attention à DYELL
</t>
  </si>
  <si>
    <t>INDIGO Tranche 1</t>
  </si>
  <si>
    <t>à notifier aux entreprises</t>
  </si>
  <si>
    <t>manque RFCT vierge</t>
  </si>
  <si>
    <t>Transmission dossier H2 à GL</t>
  </si>
  <si>
    <t>rétrocession voirie Mairie
vente des lots  :  attestation de non opposition à conformité reçu
dossier en préparation chez notaire pour signature SICA</t>
  </si>
  <si>
    <t>vente des lots à faire : signature SICA en mai 2017</t>
  </si>
  <si>
    <t>rétrocession voirie Mairie à faire / DA en attente validation par Commune
transmettre DOE à Commune</t>
  </si>
  <si>
    <t>DA finalisé pour CY 1351
DA en cours pour détachement des 5 lots
attente tableau des ventes de FBR
Commune a proposé SICA
Rétrocession du chemin de l'amitié à faire
transmettre plan des EV à la Commune
==&gt; relancer RO</t>
  </si>
  <si>
    <t>tableau de vente des lots OK - RDV RO 09/12/16
courrier fait à la commune sur la mise en vente des parcelles</t>
  </si>
  <si>
    <t xml:space="preserve"> servitude EP OK / échange de lot à faire
DA  en cours pour les lots
manque les pièces PA</t>
  </si>
  <si>
    <t>accès Morel pas signé le 02/11/15 : on part sur un avenant au compromis
BJE en attente du notaire et du DA pour les lots et les voies (lotissement &amp; voies internes) : signature acte dès réception du DA
terrains communes : signature acte dès réception du DA
agrément 2016 obtenu
VEFA juillet 2017</t>
  </si>
  <si>
    <t>servitude PERRAU à mettre en place</t>
  </si>
  <si>
    <t xml:space="preserve">acheté 25/11/15
DA ER fait
convention de prise de possession anticipée reçue, à signer  / attention aux enrobés
</t>
  </si>
  <si>
    <t>bornage signé mais remis en cause / servitude de tréfonds SAPHIR
prorogation EPFR d'un an à mettre en place : attente décision Ville et EPFR</t>
  </si>
  <si>
    <t>projet de convention EPFR à valider 
manque CA SODEGIS de février 2017
projet de bornage transmis à FBR</t>
  </si>
  <si>
    <t>compromis signé / topo ok / bornage en cours / droit de passage à valider 
EPFR n'a pas encore acheté le terrain ==&gt; compromis avec le propriétaire à proroger
négos  pour voie d'accès : refus de l'Association Diocésaine qui a un projet d'aménagement / EPFR achète si accès OK</t>
  </si>
  <si>
    <t>pas de réseau EU</t>
  </si>
  <si>
    <t xml:space="preserve">recours contentieux / compromis signé / pb d'accès </t>
  </si>
  <si>
    <t>pb futurs avec riverains / promesses électorales Mairie non tenues / protocole évacuation rejet EP signé
avis défavorable DEAL</t>
  </si>
  <si>
    <t>portage EPFR à mettre en place / attente CA pour valider portage</t>
  </si>
  <si>
    <t>courrier envoyé à la Mairie sur prix du foncier : pas de réponse</t>
  </si>
  <si>
    <t>bornage OK
compromis signé</t>
  </si>
  <si>
    <t xml:space="preserve">rétrocession voirie Mairie
lots à commercialisez
vérifier avec notaire s'il faut afficher le PA modif
notaire prépare cession de la CH 505 à M. RIVIERE
</t>
  </si>
  <si>
    <t>réserves à lever</t>
  </si>
  <si>
    <t>attente notification de la réception</t>
  </si>
  <si>
    <t>manque 4 entreprises</t>
  </si>
  <si>
    <t>retour contrat 10/02/17</t>
  </si>
  <si>
    <t>OK sauf DAT</t>
  </si>
  <si>
    <t>3 réserves à lever</t>
  </si>
  <si>
    <t>relance au MOE faite le 01/02</t>
  </si>
  <si>
    <t>DAT pas déposée</t>
  </si>
  <si>
    <t>1e partie envoyée à OFOI le 08/02/17</t>
  </si>
  <si>
    <t>notifiés le 20/06/2016</t>
  </si>
  <si>
    <t>à recevoir le 17/02/17</t>
  </si>
  <si>
    <t>reçu 23/12/16 avec beaucoup de réserves
réunions programmées entre / MOE pour suite à donner</t>
  </si>
  <si>
    <t>prévu pour le 03/03/17</t>
  </si>
  <si>
    <t>prévu pour le 17/02/17</t>
  </si>
  <si>
    <t>relance Mairie le 16/01/17</t>
  </si>
  <si>
    <t>à faire après purge réserves RFCT</t>
  </si>
  <si>
    <t>Envoi papier : 23/12/16 (pièces complémentaires envoyées entre le 30/01 et le 09/02)</t>
  </si>
  <si>
    <t>à notifier semaine du 20/02/17</t>
  </si>
  <si>
    <t xml:space="preserve">PRO </t>
  </si>
  <si>
    <t>non conformités à lever</t>
  </si>
  <si>
    <r>
      <t xml:space="preserve">Commune 09/11/16
Région 13/12/16
</t>
    </r>
    <r>
      <rPr>
        <sz val="11"/>
        <color rgb="FFFF0000"/>
        <rFont val="Calibri"/>
        <family val="2"/>
        <scheme val="minor"/>
      </rPr>
      <t>CASUD 21/12/16 non conforme</t>
    </r>
    <r>
      <rPr>
        <sz val="11"/>
        <rFont val="Calibri"/>
        <family val="2"/>
        <scheme val="minor"/>
      </rPr>
      <t xml:space="preserve">
CG 12/01/17</t>
    </r>
  </si>
  <si>
    <r>
      <t>Commune 16/11/16
Région 13/12/16</t>
    </r>
    <r>
      <rPr>
        <sz val="11"/>
        <color rgb="FFFF0000"/>
        <rFont val="Calibri"/>
        <family val="2"/>
        <scheme val="minor"/>
      </rPr>
      <t xml:space="preserve">
CASUD 18/01/17 non conforme</t>
    </r>
  </si>
  <si>
    <r>
      <t xml:space="preserve">Commune 21/12/16
CG 12/01/17
</t>
    </r>
    <r>
      <rPr>
        <sz val="11"/>
        <color rgb="FFFF0000"/>
        <rFont val="Calibri"/>
        <family val="2"/>
        <scheme val="minor"/>
      </rPr>
      <t>CASUD non reçue &amp; non conforme</t>
    </r>
  </si>
  <si>
    <t>mi-mars  Commission sectorielle</t>
  </si>
  <si>
    <r>
      <t xml:space="preserve">liste locataires OK
</t>
    </r>
    <r>
      <rPr>
        <sz val="11"/>
        <color rgb="FFFF0000"/>
        <rFont val="Calibri"/>
        <family val="2"/>
        <scheme val="minor"/>
      </rPr>
      <t>dde baux 17/02/17</t>
    </r>
  </si>
  <si>
    <t xml:space="preserve">
compléments envoyés 21/04/16</t>
  </si>
  <si>
    <t xml:space="preserve">dossier complet envoyé 
</t>
  </si>
  <si>
    <t>14/09/2016
21/02/16</t>
  </si>
  <si>
    <r>
      <t xml:space="preserve">05/10/2016
</t>
    </r>
    <r>
      <rPr>
        <sz val="11"/>
        <color rgb="FFFF0000"/>
        <rFont val="Calibri"/>
        <family val="2"/>
        <scheme val="minor"/>
      </rPr>
      <t>28/02/17</t>
    </r>
  </si>
  <si>
    <t>23/12/2016
21/02/17</t>
  </si>
  <si>
    <t>14/12/2016
21/02/17</t>
  </si>
  <si>
    <t>MISES EN CHANTIER &amp; LIVRAISONS</t>
  </si>
  <si>
    <t>Nbre opération</t>
  </si>
  <si>
    <t>TAILLE DES OPERATIONS LLS / LLTS (Hors Rehab &amp; PLS)</t>
  </si>
  <si>
    <t>Logements</t>
  </si>
  <si>
    <t>Intention de programmation 2017</t>
  </si>
  <si>
    <t>DARDEL</t>
  </si>
  <si>
    <t>dossier envoyé 22/02/17</t>
  </si>
  <si>
    <t>sans P2</t>
  </si>
  <si>
    <t>ENV 2017</t>
  </si>
  <si>
    <t>37/38 000 000 €</t>
  </si>
  <si>
    <t>COUT DU FONCIER PAR ANNEE DE PROGRAMMATION &amp; PAR LOGEMENT</t>
  </si>
  <si>
    <t>€ / lgt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</si>
</sst>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65" formatCode="#,##0\ _€"/>
    <numFmt numFmtId="166" formatCode="_-* #,##0\ _€_-;\-* #,##0\ _€_-;_-* &quot;-&quot;??\ _€_-;_-@_-"/>
    <numFmt numFmtId="167" formatCode="#,##0.00\ &quot;€&quot;"/>
    <numFmt numFmtId="168" formatCode="_(* #,##0.00_);_(* \(#,##0.00\);_(* &quot;-&quot;??_);_(@_)"/>
    <numFmt numFmtId="169" formatCode="[$-40C]mmmm\-yy;@"/>
    <numFmt numFmtId="170" formatCode="[$-40C]mmm\-yy;@"/>
    <numFmt numFmtId="171" formatCode="&quot;NH PROG&quot;\ 0%"/>
    <numFmt numFmtId="172" formatCode="&quot;NH APS&quot;\ 0%"/>
    <numFmt numFmtId="173" formatCode="&quot;NH PC&quot;\ 0%"/>
    <numFmt numFmtId="174" formatCode="&quot;NH APD&quot;\ 0%"/>
    <numFmt numFmtId="175" formatCode="&quot;NH PRO&quot;\ 0%"/>
    <numFmt numFmtId="176" formatCode="0.0"/>
    <numFmt numFmtId="177" formatCode="&quot;NH VEFA&quot;\ 0%"/>
    <numFmt numFmtId="178" formatCode="&quot;NH OS&quot;\ 0%"/>
    <numFmt numFmtId="179" formatCode="&quot;NH Fondations&quot;\ 0%"/>
    <numFmt numFmtId="180" formatCode="&quot;NH R+1&quot;\ 0%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Calibri"/>
      <family val="2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C0000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0"/>
      <name val="Arial"/>
      <family val="2"/>
    </font>
    <font>
      <sz val="11"/>
      <color rgb="FF0070C0"/>
      <name val="Calibri"/>
      <family val="2"/>
      <scheme val="minor"/>
    </font>
    <font>
      <b/>
      <sz val="11"/>
      <color rgb="FF0066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0"/>
      <name val="Arial"/>
      <family val="2"/>
    </font>
    <font>
      <i/>
      <sz val="11"/>
      <color rgb="FFFF0000"/>
      <name val="Calibri"/>
      <family val="2"/>
      <scheme val="minor"/>
    </font>
    <font>
      <b/>
      <sz val="11"/>
      <color indexed="12"/>
      <name val="Calibri"/>
      <family val="2"/>
      <scheme val="minor"/>
    </font>
    <font>
      <sz val="11"/>
      <color indexed="40"/>
      <name val="Calibri"/>
      <family val="2"/>
      <scheme val="minor"/>
    </font>
    <font>
      <sz val="11"/>
      <color indexed="53"/>
      <name val="Calibri"/>
      <family val="2"/>
      <scheme val="minor"/>
    </font>
    <font>
      <sz val="11"/>
      <color indexed="12"/>
      <name val="Calibri"/>
      <family val="2"/>
      <scheme val="minor"/>
    </font>
    <font>
      <sz val="11"/>
      <color indexed="24"/>
      <name val="Calibri"/>
      <family val="2"/>
      <scheme val="minor"/>
    </font>
    <font>
      <sz val="11"/>
      <color indexed="16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indexed="10"/>
      <name val="Calibri"/>
      <family val="2"/>
      <scheme val="minor"/>
    </font>
    <font>
      <sz val="11"/>
      <color rgb="FFFF5050"/>
      <name val="Calibri"/>
      <family val="2"/>
      <scheme val="minor"/>
    </font>
    <font>
      <sz val="11"/>
      <color rgb="FF7030A0"/>
      <name val="Calibri"/>
      <family val="2"/>
      <scheme val="minor"/>
    </font>
    <font>
      <sz val="12"/>
      <name val="Arial"/>
      <family val="2"/>
    </font>
    <font>
      <b/>
      <sz val="14"/>
      <color rgb="FF000000"/>
      <name val="Calibri"/>
      <family val="2"/>
    </font>
    <font>
      <b/>
      <sz val="11"/>
      <color theme="0"/>
      <name val="Calibri"/>
      <family val="2"/>
      <scheme val="minor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gray0625">
        <bgColor theme="0" tint="-0.249977111117893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8E61D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lightGray">
        <bgColor theme="6" tint="0.39994506668294322"/>
      </patternFill>
    </fill>
    <fill>
      <patternFill patternType="lightGray">
        <bgColor rgb="FFC6EFCE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FF0066"/>
        <bgColor indexed="64"/>
      </patternFill>
    </fill>
    <fill>
      <patternFill patternType="gray125">
        <bgColor theme="5" tint="0.39997558519241921"/>
      </patternFill>
    </fill>
    <fill>
      <patternFill patternType="gray125">
        <bgColor theme="5" tint="-0.249977111117893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gray125">
        <bgColor theme="0" tint="-0.249977111117893"/>
      </patternFill>
    </fill>
    <fill>
      <patternFill patternType="solid">
        <fgColor theme="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 style="double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double">
        <color auto="1"/>
      </left>
      <right/>
      <top/>
      <bottom style="thin">
        <color theme="4" tint="0.3999755851924192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 style="thin">
        <color theme="4" tint="0.39997558519241921"/>
      </top>
      <bottom style="medium">
        <color auto="1"/>
      </bottom>
      <diagonal/>
    </border>
    <border>
      <left/>
      <right/>
      <top style="thin">
        <color theme="4" tint="0.3999755851924192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double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theme="4" tint="0.39997558519241921"/>
      </bottom>
      <diagonal/>
    </border>
    <border>
      <left/>
      <right style="double">
        <color auto="1"/>
      </right>
      <top/>
      <bottom style="thin">
        <color theme="4" tint="0.39997558519241921"/>
      </bottom>
      <diagonal/>
    </border>
    <border>
      <left style="medium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/>
      <top style="thin">
        <color theme="4" tint="0.39997558519241921"/>
      </top>
      <bottom style="medium">
        <color auto="1"/>
      </bottom>
      <diagonal/>
    </border>
    <border>
      <left/>
      <right style="double">
        <color auto="1"/>
      </right>
      <top style="thin">
        <color theme="4" tint="0.3999755851924192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theme="4" tint="0.3999755851924192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theme="4" tint="0.3999755851924192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1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44" fontId="1" fillId="0" borderId="0" applyFont="0" applyFill="0" applyBorder="0" applyAlignment="0" applyProtection="0"/>
    <xf numFmtId="0" fontId="15" fillId="0" borderId="0"/>
    <xf numFmtId="0" fontId="19" fillId="0" borderId="0"/>
    <xf numFmtId="168" fontId="15" fillId="0" borderId="0" applyFont="0" applyFill="0" applyBorder="0" applyAlignment="0" applyProtection="0"/>
    <xf numFmtId="0" fontId="15" fillId="0" borderId="0"/>
  </cellStyleXfs>
  <cellXfs count="689">
    <xf numFmtId="0" fontId="0" fillId="0" borderId="0" xfId="0"/>
    <xf numFmtId="0" fontId="5" fillId="8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8" borderId="1" xfId="1" applyNumberFormat="1" applyFont="1" applyFill="1" applyBorder="1" applyAlignment="1">
      <alignment horizontal="center" vertical="center" wrapText="1"/>
    </xf>
    <xf numFmtId="0" fontId="6" fillId="6" borderId="1" xfId="7" applyFont="1" applyBorder="1" applyAlignment="1">
      <alignment horizontal="center" vertical="center" wrapText="1"/>
    </xf>
    <xf numFmtId="0" fontId="6" fillId="4" borderId="1" xfId="5" applyFont="1" applyBorder="1" applyAlignment="1">
      <alignment horizontal="center" vertical="center" wrapText="1"/>
    </xf>
    <xf numFmtId="0" fontId="0" fillId="8" borderId="1" xfId="0" applyFill="1" applyBorder="1" applyAlignment="1">
      <alignment horizontal="center"/>
    </xf>
    <xf numFmtId="0" fontId="0" fillId="8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9" fillId="8" borderId="0" xfId="5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pivotButton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/>
    </xf>
    <xf numFmtId="0" fontId="7" fillId="8" borderId="1" xfId="0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 vertical="center"/>
    </xf>
    <xf numFmtId="4" fontId="0" fillId="8" borderId="1" xfId="0" applyNumberFormat="1" applyFont="1" applyFill="1" applyBorder="1" applyAlignment="1">
      <alignment horizontal="center" vertical="center"/>
    </xf>
    <xf numFmtId="165" fontId="0" fillId="10" borderId="1" xfId="0" applyNumberFormat="1" applyFont="1" applyFill="1" applyBorder="1" applyAlignment="1">
      <alignment horizontal="center" vertical="center"/>
    </xf>
    <xf numFmtId="165" fontId="0" fillId="11" borderId="1" xfId="0" applyNumberFormat="1" applyFont="1" applyFill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165" fontId="0" fillId="12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9" fillId="11" borderId="1" xfId="1" applyNumberFormat="1" applyFont="1" applyFill="1" applyBorder="1" applyAlignment="1">
      <alignment horizontal="center" vertical="center" wrapText="1"/>
    </xf>
    <xf numFmtId="43" fontId="9" fillId="10" borderId="1" xfId="1" applyFont="1" applyFill="1" applyBorder="1" applyAlignment="1">
      <alignment horizontal="center" vertical="center" wrapText="1"/>
    </xf>
    <xf numFmtId="43" fontId="9" fillId="11" borderId="1" xfId="1" applyFont="1" applyFill="1" applyBorder="1" applyAlignment="1">
      <alignment horizontal="center" vertical="center" wrapText="1"/>
    </xf>
    <xf numFmtId="0" fontId="6" fillId="8" borderId="0" xfId="0" applyFont="1" applyFill="1" applyAlignment="1">
      <alignment horizontal="center" vertical="center" wrapText="1"/>
    </xf>
    <xf numFmtId="0" fontId="6" fillId="8" borderId="1" xfId="0" applyFont="1" applyFill="1" applyBorder="1" applyAlignment="1">
      <alignment horizontal="center"/>
    </xf>
    <xf numFmtId="0" fontId="0" fillId="8" borderId="1" xfId="0" applyFill="1" applyBorder="1" applyAlignment="1">
      <alignment horizontal="center" vertical="center"/>
    </xf>
    <xf numFmtId="9" fontId="0" fillId="0" borderId="0" xfId="0" applyNumberFormat="1"/>
    <xf numFmtId="3" fontId="0" fillId="0" borderId="0" xfId="0" applyNumberFormat="1"/>
    <xf numFmtId="0" fontId="13" fillId="0" borderId="0" xfId="0" applyFont="1"/>
    <xf numFmtId="3" fontId="13" fillId="0" borderId="0" xfId="0" applyNumberFormat="1" applyFont="1"/>
    <xf numFmtId="9" fontId="13" fillId="0" borderId="0" xfId="0" applyNumberFormat="1" applyFont="1"/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NumberFormat="1" applyAlignment="1">
      <alignment vertical="center"/>
    </xf>
    <xf numFmtId="41" fontId="0" fillId="0" borderId="0" xfId="0" applyNumberFormat="1" applyAlignment="1">
      <alignment vertical="center"/>
    </xf>
    <xf numFmtId="0" fontId="14" fillId="0" borderId="0" xfId="0" applyFont="1"/>
    <xf numFmtId="3" fontId="14" fillId="0" borderId="0" xfId="0" applyNumberFormat="1" applyFont="1"/>
    <xf numFmtId="9" fontId="14" fillId="0" borderId="0" xfId="0" applyNumberFormat="1" applyFont="1"/>
    <xf numFmtId="41" fontId="0" fillId="0" borderId="0" xfId="0" applyNumberFormat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165" fontId="9" fillId="8" borderId="1" xfId="0" applyNumberFormat="1" applyFont="1" applyFill="1" applyBorder="1" applyAlignment="1">
      <alignment horizontal="center" vertical="center"/>
    </xf>
    <xf numFmtId="165" fontId="9" fillId="10" borderId="1" xfId="0" applyNumberFormat="1" applyFont="1" applyFill="1" applyBorder="1" applyAlignment="1">
      <alignment horizontal="center" vertical="center"/>
    </xf>
    <xf numFmtId="165" fontId="0" fillId="20" borderId="1" xfId="0" applyNumberFormat="1" applyFont="1" applyFill="1" applyBorder="1" applyAlignment="1">
      <alignment horizontal="center" vertical="center"/>
    </xf>
    <xf numFmtId="165" fontId="0" fillId="8" borderId="1" xfId="0" applyNumberFormat="1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9" fillId="8" borderId="0" xfId="0" applyFont="1" applyFill="1" applyAlignment="1">
      <alignment horizontal="center" vertical="center"/>
    </xf>
    <xf numFmtId="4" fontId="9" fillId="8" borderId="1" xfId="0" applyNumberFormat="1" applyFont="1" applyFill="1" applyBorder="1" applyAlignment="1">
      <alignment horizontal="center" vertical="center"/>
    </xf>
    <xf numFmtId="0" fontId="9" fillId="17" borderId="1" xfId="5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3" fontId="7" fillId="0" borderId="0" xfId="0" applyNumberFormat="1" applyFont="1" applyBorder="1" applyAlignment="1">
      <alignment horizontal="center" vertical="center"/>
    </xf>
    <xf numFmtId="9" fontId="0" fillId="0" borderId="0" xfId="2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65" fontId="9" fillId="11" borderId="1" xfId="0" applyNumberFormat="1" applyFont="1" applyFill="1" applyBorder="1" applyAlignment="1">
      <alignment horizontal="center" vertical="center"/>
    </xf>
    <xf numFmtId="0" fontId="9" fillId="23" borderId="1" xfId="5" applyFont="1" applyFill="1" applyBorder="1" applyAlignment="1">
      <alignment horizontal="center" vertical="center"/>
    </xf>
    <xf numFmtId="164" fontId="9" fillId="23" borderId="1" xfId="5" applyNumberFormat="1" applyFont="1" applyFill="1" applyBorder="1" applyAlignment="1">
      <alignment horizontal="center" vertical="center"/>
    </xf>
    <xf numFmtId="0" fontId="6" fillId="18" borderId="1" xfId="6" applyFont="1" applyFill="1" applyBorder="1" applyAlignment="1">
      <alignment horizontal="center" vertical="center" wrapText="1"/>
    </xf>
    <xf numFmtId="0" fontId="9" fillId="18" borderId="1" xfId="6" applyFont="1" applyFill="1" applyBorder="1" applyAlignment="1">
      <alignment horizontal="center" vertical="center" wrapText="1"/>
    </xf>
    <xf numFmtId="0" fontId="9" fillId="18" borderId="1" xfId="7" applyFont="1" applyFill="1" applyBorder="1" applyAlignment="1">
      <alignment horizontal="center" vertical="center" wrapText="1"/>
    </xf>
    <xf numFmtId="0" fontId="6" fillId="18" borderId="1" xfId="7" applyFont="1" applyFill="1" applyBorder="1" applyAlignment="1">
      <alignment horizontal="center" vertical="center" wrapText="1"/>
    </xf>
    <xf numFmtId="165" fontId="0" fillId="25" borderId="1" xfId="0" applyNumberFormat="1" applyFont="1" applyFill="1" applyBorder="1" applyAlignment="1">
      <alignment horizontal="center" vertical="center"/>
    </xf>
    <xf numFmtId="165" fontId="9" fillId="25" borderId="1" xfId="0" applyNumberFormat="1" applyFont="1" applyFill="1" applyBorder="1" applyAlignment="1">
      <alignment horizontal="center" vertical="center"/>
    </xf>
    <xf numFmtId="165" fontId="0" fillId="24" borderId="1" xfId="0" applyNumberFormat="1" applyFont="1" applyFill="1" applyBorder="1" applyAlignment="1">
      <alignment horizontal="center" vertical="center"/>
    </xf>
    <xf numFmtId="9" fontId="9" fillId="11" borderId="1" xfId="2" applyFont="1" applyFill="1" applyBorder="1" applyAlignment="1">
      <alignment horizontal="center" vertical="center" wrapText="1"/>
    </xf>
    <xf numFmtId="43" fontId="9" fillId="26" borderId="1" xfId="1" applyFont="1" applyFill="1" applyBorder="1" applyAlignment="1">
      <alignment horizontal="center" vertical="center" wrapText="1"/>
    </xf>
    <xf numFmtId="4" fontId="0" fillId="0" borderId="0" xfId="0" applyNumberFormat="1"/>
    <xf numFmtId="10" fontId="0" fillId="0" borderId="0" xfId="2" applyNumberFormat="1" applyFont="1"/>
    <xf numFmtId="164" fontId="9" fillId="18" borderId="1" xfId="6" applyNumberFormat="1" applyFont="1" applyFill="1" applyBorder="1" applyAlignment="1">
      <alignment horizontal="center" vertical="center" wrapText="1"/>
    </xf>
    <xf numFmtId="164" fontId="9" fillId="18" borderId="1" xfId="6" applyNumberFormat="1" applyFont="1" applyFill="1" applyBorder="1" applyAlignment="1">
      <alignment horizontal="center" vertical="center"/>
    </xf>
    <xf numFmtId="164" fontId="9" fillId="18" borderId="1" xfId="7" applyNumberFormat="1" applyFont="1" applyFill="1" applyBorder="1" applyAlignment="1">
      <alignment horizontal="center" vertical="center"/>
    </xf>
    <xf numFmtId="10" fontId="0" fillId="0" borderId="0" xfId="2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7" fillId="0" borderId="0" xfId="0" applyFont="1"/>
    <xf numFmtId="9" fontId="7" fillId="0" borderId="0" xfId="2" applyFont="1" applyAlignment="1">
      <alignment horizontal="center"/>
    </xf>
    <xf numFmtId="9" fontId="0" fillId="0" borderId="0" xfId="2" applyFont="1" applyAlignment="1">
      <alignment horizontal="center"/>
    </xf>
    <xf numFmtId="0" fontId="7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7" fillId="0" borderId="8" xfId="0" applyFont="1" applyBorder="1" applyAlignment="1">
      <alignment horizontal="left" indent="1"/>
    </xf>
    <xf numFmtId="0" fontId="9" fillId="8" borderId="1" xfId="0" applyFont="1" applyFill="1" applyBorder="1" applyAlignment="1">
      <alignment horizontal="center"/>
    </xf>
    <xf numFmtId="165" fontId="9" fillId="0" borderId="1" xfId="0" applyNumberFormat="1" applyFont="1" applyBorder="1" applyAlignment="1">
      <alignment horizontal="center" vertical="center"/>
    </xf>
    <xf numFmtId="165" fontId="9" fillId="12" borderId="1" xfId="0" applyNumberFormat="1" applyFont="1" applyFill="1" applyBorder="1" applyAlignment="1">
      <alignment horizontal="center" vertical="center"/>
    </xf>
    <xf numFmtId="165" fontId="9" fillId="24" borderId="1" xfId="0" applyNumberFormat="1" applyFont="1" applyFill="1" applyBorder="1" applyAlignment="1">
      <alignment horizontal="center" vertical="center"/>
    </xf>
    <xf numFmtId="165" fontId="9" fillId="20" borderId="1" xfId="0" applyNumberFormat="1" applyFont="1" applyFill="1" applyBorder="1" applyAlignment="1">
      <alignment horizontal="center" vertical="center"/>
    </xf>
    <xf numFmtId="4" fontId="0" fillId="28" borderId="8" xfId="0" applyNumberFormat="1" applyFont="1" applyFill="1" applyBorder="1" applyAlignment="1">
      <alignment horizontal="center" vertical="center"/>
    </xf>
    <xf numFmtId="4" fontId="9" fillId="28" borderId="8" xfId="0" applyNumberFormat="1" applyFont="1" applyFill="1" applyBorder="1" applyAlignment="1">
      <alignment horizontal="center" vertical="center"/>
    </xf>
    <xf numFmtId="165" fontId="0" fillId="20" borderId="9" xfId="0" applyNumberFormat="1" applyFont="1" applyFill="1" applyBorder="1" applyAlignment="1">
      <alignment horizontal="center" vertical="center"/>
    </xf>
    <xf numFmtId="9" fontId="0" fillId="20" borderId="9" xfId="2" applyFont="1" applyFill="1" applyBorder="1" applyAlignment="1">
      <alignment horizontal="center" vertical="center"/>
    </xf>
    <xf numFmtId="3" fontId="0" fillId="0" borderId="3" xfId="0" applyNumberFormat="1" applyFont="1" applyBorder="1" applyAlignment="1">
      <alignment horizontal="center" vertical="center"/>
    </xf>
    <xf numFmtId="0" fontId="9" fillId="14" borderId="1" xfId="0" applyFont="1" applyFill="1" applyBorder="1" applyAlignment="1">
      <alignment horizontal="center" vertical="center"/>
    </xf>
    <xf numFmtId="165" fontId="0" fillId="0" borderId="9" xfId="0" applyNumberFormat="1" applyBorder="1"/>
    <xf numFmtId="0" fontId="7" fillId="0" borderId="9" xfId="0" applyFont="1" applyBorder="1" applyAlignment="1">
      <alignment horizontal="center" vertical="center" wrapText="1"/>
    </xf>
    <xf numFmtId="0" fontId="7" fillId="27" borderId="9" xfId="0" applyFont="1" applyFill="1" applyBorder="1" applyAlignment="1">
      <alignment horizontal="center" vertical="center" wrapText="1"/>
    </xf>
    <xf numFmtId="165" fontId="7" fillId="27" borderId="9" xfId="0" applyNumberFormat="1" applyFont="1" applyFill="1" applyBorder="1"/>
    <xf numFmtId="165" fontId="0" fillId="22" borderId="9" xfId="0" applyNumberFormat="1" applyFill="1" applyBorder="1"/>
    <xf numFmtId="165" fontId="7" fillId="27" borderId="9" xfId="0" applyNumberFormat="1" applyFont="1" applyFill="1" applyBorder="1" applyAlignment="1">
      <alignment horizontal="center" vertical="center" wrapText="1"/>
    </xf>
    <xf numFmtId="165" fontId="0" fillId="27" borderId="9" xfId="0" applyNumberFormat="1" applyFont="1" applyFill="1" applyBorder="1"/>
    <xf numFmtId="0" fontId="0" fillId="8" borderId="9" xfId="0" applyFill="1" applyBorder="1" applyAlignment="1">
      <alignment horizontal="center" vertical="center"/>
    </xf>
    <xf numFmtId="0" fontId="0" fillId="8" borderId="9" xfId="0" applyFont="1" applyFill="1" applyBorder="1" applyAlignment="1">
      <alignment horizontal="center" vertical="center"/>
    </xf>
    <xf numFmtId="0" fontId="9" fillId="8" borderId="9" xfId="0" applyFont="1" applyFill="1" applyBorder="1" applyAlignment="1">
      <alignment horizontal="center" vertical="center"/>
    </xf>
    <xf numFmtId="0" fontId="0" fillId="8" borderId="9" xfId="0" applyFont="1" applyFill="1" applyBorder="1" applyAlignment="1">
      <alignment horizontal="center" vertical="center" wrapText="1"/>
    </xf>
    <xf numFmtId="0" fontId="9" fillId="8" borderId="9" xfId="0" applyFont="1" applyFill="1" applyBorder="1" applyAlignment="1">
      <alignment horizontal="center" vertical="center" wrapText="1"/>
    </xf>
    <xf numFmtId="4" fontId="0" fillId="8" borderId="9" xfId="0" applyNumberFormat="1" applyFont="1" applyFill="1" applyBorder="1" applyAlignment="1">
      <alignment horizontal="center" vertical="center"/>
    </xf>
    <xf numFmtId="4" fontId="9" fillId="8" borderId="9" xfId="0" applyNumberFormat="1" applyFont="1" applyFill="1" applyBorder="1" applyAlignment="1">
      <alignment horizontal="center" vertical="center"/>
    </xf>
    <xf numFmtId="3" fontId="0" fillId="8" borderId="9" xfId="0" applyNumberFormat="1" applyFont="1" applyFill="1" applyBorder="1" applyAlignment="1">
      <alignment horizontal="center" vertical="center"/>
    </xf>
    <xf numFmtId="3" fontId="9" fillId="8" borderId="9" xfId="0" applyNumberFormat="1" applyFont="1" applyFill="1" applyBorder="1" applyAlignment="1">
      <alignment horizontal="center" vertical="center"/>
    </xf>
    <xf numFmtId="3" fontId="0" fillId="8" borderId="9" xfId="0" applyNumberFormat="1" applyFont="1" applyFill="1" applyBorder="1" applyAlignment="1">
      <alignment horizontal="center" wrapText="1"/>
    </xf>
    <xf numFmtId="0" fontId="0" fillId="8" borderId="0" xfId="0" applyFont="1" applyFill="1" applyAlignment="1">
      <alignment horizontal="center" vertical="center"/>
    </xf>
    <xf numFmtId="49" fontId="0" fillId="8" borderId="9" xfId="0" applyNumberFormat="1" applyFont="1" applyFill="1" applyBorder="1" applyAlignment="1">
      <alignment horizontal="center" vertical="center"/>
    </xf>
    <xf numFmtId="0" fontId="0" fillId="14" borderId="9" xfId="0" applyFont="1" applyFill="1" applyBorder="1" applyAlignment="1">
      <alignment horizontal="center" vertical="center"/>
    </xf>
    <xf numFmtId="3" fontId="0" fillId="14" borderId="9" xfId="0" applyNumberFormat="1" applyFont="1" applyFill="1" applyBorder="1" applyAlignment="1">
      <alignment horizontal="center" vertical="center"/>
    </xf>
    <xf numFmtId="43" fontId="9" fillId="11" borderId="9" xfId="1" applyFont="1" applyFill="1" applyBorder="1" applyAlignment="1">
      <alignment horizontal="center" vertical="center" wrapText="1"/>
    </xf>
    <xf numFmtId="165" fontId="0" fillId="11" borderId="9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3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165" fontId="8" fillId="11" borderId="9" xfId="0" applyNumberFormat="1" applyFont="1" applyFill="1" applyBorder="1" applyAlignment="1">
      <alignment horizontal="center" vertical="center"/>
    </xf>
    <xf numFmtId="165" fontId="9" fillId="11" borderId="9" xfId="0" applyNumberFormat="1" applyFont="1" applyFill="1" applyBorder="1" applyAlignment="1">
      <alignment horizontal="center" vertical="center"/>
    </xf>
    <xf numFmtId="0" fontId="6" fillId="29" borderId="0" xfId="0" applyFont="1" applyFill="1" applyAlignment="1">
      <alignment horizontal="center" vertical="center" wrapText="1"/>
    </xf>
    <xf numFmtId="3" fontId="6" fillId="29" borderId="0" xfId="0" applyNumberFormat="1" applyFont="1" applyFill="1" applyAlignment="1">
      <alignment horizontal="center" vertical="center"/>
    </xf>
    <xf numFmtId="165" fontId="17" fillId="0" borderId="0" xfId="0" applyNumberFormat="1" applyFont="1" applyAlignment="1">
      <alignment horizontal="center" vertical="center"/>
    </xf>
    <xf numFmtId="41" fontId="0" fillId="8" borderId="9" xfId="0" applyNumberFormat="1" applyFont="1" applyFill="1" applyBorder="1" applyAlignment="1">
      <alignment horizontal="center" vertical="center"/>
    </xf>
    <xf numFmtId="41" fontId="9" fillId="8" borderId="9" xfId="0" applyNumberFormat="1" applyFont="1" applyFill="1" applyBorder="1" applyAlignment="1">
      <alignment horizontal="center" vertical="center"/>
    </xf>
    <xf numFmtId="9" fontId="0" fillId="8" borderId="9" xfId="2" applyFont="1" applyFill="1" applyBorder="1" applyAlignment="1">
      <alignment horizontal="center" vertical="center"/>
    </xf>
    <xf numFmtId="9" fontId="9" fillId="8" borderId="9" xfId="2" applyFont="1" applyFill="1" applyBorder="1" applyAlignment="1">
      <alignment horizontal="center" vertical="center"/>
    </xf>
    <xf numFmtId="9" fontId="0" fillId="8" borderId="0" xfId="2" applyFont="1" applyFill="1" applyBorder="1" applyAlignment="1">
      <alignment horizontal="center"/>
    </xf>
    <xf numFmtId="165" fontId="9" fillId="20" borderId="9" xfId="0" applyNumberFormat="1" applyFont="1" applyFill="1" applyBorder="1" applyAlignment="1">
      <alignment horizontal="center" vertical="center"/>
    </xf>
    <xf numFmtId="4" fontId="0" fillId="26" borderId="1" xfId="0" applyNumberFormat="1" applyFont="1" applyFill="1" applyBorder="1" applyAlignment="1">
      <alignment horizontal="center" vertical="center"/>
    </xf>
    <xf numFmtId="4" fontId="9" fillId="26" borderId="1" xfId="0" applyNumberFormat="1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 wrapText="1"/>
    </xf>
    <xf numFmtId="4" fontId="0" fillId="0" borderId="3" xfId="0" applyNumberFormat="1" applyFont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 wrapText="1"/>
    </xf>
    <xf numFmtId="0" fontId="0" fillId="0" borderId="0" xfId="0" pivotButton="1" applyAlignment="1">
      <alignment horizontal="center" vertical="center"/>
    </xf>
    <xf numFmtId="0" fontId="7" fillId="15" borderId="2" xfId="0" applyFont="1" applyFill="1" applyBorder="1" applyAlignment="1">
      <alignment horizontal="center" vertical="center"/>
    </xf>
    <xf numFmtId="0" fontId="7" fillId="8" borderId="9" xfId="0" applyFont="1" applyFill="1" applyBorder="1" applyAlignment="1">
      <alignment horizontal="center" vertical="center"/>
    </xf>
    <xf numFmtId="165" fontId="0" fillId="12" borderId="9" xfId="0" applyNumberFormat="1" applyFont="1" applyFill="1" applyBorder="1" applyAlignment="1">
      <alignment horizontal="center" vertical="center"/>
    </xf>
    <xf numFmtId="9" fontId="9" fillId="11" borderId="9" xfId="2" applyFont="1" applyFill="1" applyBorder="1" applyAlignment="1">
      <alignment horizontal="center" vertical="center" wrapText="1"/>
    </xf>
    <xf numFmtId="165" fontId="0" fillId="8" borderId="9" xfId="0" applyNumberFormat="1" applyFont="1" applyFill="1" applyBorder="1" applyAlignment="1">
      <alignment horizontal="center" vertical="center"/>
    </xf>
    <xf numFmtId="4" fontId="9" fillId="28" borderId="9" xfId="0" applyNumberFormat="1" applyFont="1" applyFill="1" applyBorder="1" applyAlignment="1">
      <alignment horizontal="center" vertical="center"/>
    </xf>
    <xf numFmtId="165" fontId="0" fillId="24" borderId="9" xfId="0" applyNumberFormat="1" applyFont="1" applyFill="1" applyBorder="1" applyAlignment="1">
      <alignment horizontal="center" vertical="center"/>
    </xf>
    <xf numFmtId="4" fontId="10" fillId="26" borderId="9" xfId="0" applyNumberFormat="1" applyFont="1" applyFill="1" applyBorder="1" applyAlignment="1">
      <alignment horizontal="center" vertical="center"/>
    </xf>
    <xf numFmtId="165" fontId="0" fillId="10" borderId="9" xfId="0" applyNumberFormat="1" applyFont="1" applyFill="1" applyBorder="1" applyAlignment="1">
      <alignment horizontal="center" vertical="center"/>
    </xf>
    <xf numFmtId="165" fontId="0" fillId="0" borderId="9" xfId="0" applyNumberFormat="1" applyFont="1" applyBorder="1" applyAlignment="1">
      <alignment horizontal="center" vertical="center"/>
    </xf>
    <xf numFmtId="165" fontId="0" fillId="25" borderId="9" xfId="0" applyNumberFormat="1" applyFont="1" applyFill="1" applyBorder="1" applyAlignment="1">
      <alignment horizontal="center" vertical="center"/>
    </xf>
    <xf numFmtId="43" fontId="9" fillId="26" borderId="9" xfId="1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wrapText="1"/>
    </xf>
    <xf numFmtId="0" fontId="9" fillId="23" borderId="9" xfId="5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 vertical="center" wrapText="1"/>
    </xf>
    <xf numFmtId="14" fontId="9" fillId="23" borderId="9" xfId="5" applyNumberFormat="1" applyFont="1" applyFill="1" applyBorder="1" applyAlignment="1">
      <alignment horizontal="center" vertical="center"/>
    </xf>
    <xf numFmtId="164" fontId="9" fillId="18" borderId="9" xfId="7" applyNumberFormat="1" applyFont="1" applyFill="1" applyBorder="1" applyAlignment="1">
      <alignment horizontal="center" vertical="center"/>
    </xf>
    <xf numFmtId="164" fontId="9" fillId="18" borderId="9" xfId="6" applyNumberFormat="1" applyFont="1" applyFill="1" applyBorder="1" applyAlignment="1">
      <alignment horizontal="center" vertical="center"/>
    </xf>
    <xf numFmtId="4" fontId="0" fillId="26" borderId="9" xfId="0" applyNumberFormat="1" applyFont="1" applyFill="1" applyBorder="1" applyAlignment="1">
      <alignment horizontal="center" vertical="center"/>
    </xf>
    <xf numFmtId="0" fontId="6" fillId="18" borderId="9" xfId="7" applyFont="1" applyFill="1" applyBorder="1" applyAlignment="1">
      <alignment horizontal="center" vertical="center" wrapText="1"/>
    </xf>
    <xf numFmtId="0" fontId="9" fillId="18" borderId="9" xfId="6" applyFont="1" applyFill="1" applyBorder="1" applyAlignment="1">
      <alignment horizontal="center" vertical="center" wrapText="1"/>
    </xf>
    <xf numFmtId="164" fontId="9" fillId="18" borderId="9" xfId="6" applyNumberFormat="1" applyFont="1" applyFill="1" applyBorder="1" applyAlignment="1">
      <alignment horizontal="center" vertical="center" wrapText="1"/>
    </xf>
    <xf numFmtId="9" fontId="0" fillId="0" borderId="0" xfId="2" applyFont="1" applyBorder="1" applyAlignment="1">
      <alignment horizontal="center"/>
    </xf>
    <xf numFmtId="0" fontId="9" fillId="8" borderId="0" xfId="0" applyFont="1" applyFill="1" applyAlignment="1">
      <alignment horizontal="center"/>
    </xf>
    <xf numFmtId="0" fontId="7" fillId="15" borderId="10" xfId="0" applyFont="1" applyFill="1" applyBorder="1" applyAlignment="1">
      <alignment horizontal="left"/>
    </xf>
    <xf numFmtId="0" fontId="7" fillId="15" borderId="2" xfId="0" applyFont="1" applyFill="1" applyBorder="1"/>
    <xf numFmtId="0" fontId="7" fillId="15" borderId="10" xfId="0" applyNumberFormat="1" applyFont="1" applyFill="1" applyBorder="1"/>
    <xf numFmtId="0" fontId="7" fillId="15" borderId="0" xfId="0" applyFont="1" applyFill="1" applyAlignment="1">
      <alignment horizontal="center" vertical="center"/>
    </xf>
    <xf numFmtId="0" fontId="7" fillId="15" borderId="12" xfId="0" applyFont="1" applyFill="1" applyBorder="1" applyAlignment="1">
      <alignment horizontal="center" vertical="center"/>
    </xf>
    <xf numFmtId="0" fontId="7" fillId="15" borderId="13" xfId="0" applyFont="1" applyFill="1" applyBorder="1" applyAlignment="1">
      <alignment horizontal="center" vertical="center"/>
    </xf>
    <xf numFmtId="0" fontId="7" fillId="15" borderId="19" xfId="0" applyFont="1" applyFill="1" applyBorder="1" applyAlignment="1">
      <alignment horizontal="center" vertical="center"/>
    </xf>
    <xf numFmtId="0" fontId="7" fillId="15" borderId="20" xfId="0" applyFont="1" applyFill="1" applyBorder="1" applyAlignment="1">
      <alignment horizontal="center" vertical="center"/>
    </xf>
    <xf numFmtId="0" fontId="7" fillId="15" borderId="6" xfId="0" applyFont="1" applyFill="1" applyBorder="1" applyAlignment="1">
      <alignment horizontal="center" vertical="center"/>
    </xf>
    <xf numFmtId="0" fontId="7" fillId="15" borderId="25" xfId="0" applyFont="1" applyFill="1" applyBorder="1" applyAlignment="1">
      <alignment horizontal="center" vertical="center"/>
    </xf>
    <xf numFmtId="0" fontId="0" fillId="0" borderId="21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9" fontId="0" fillId="0" borderId="22" xfId="2" applyFon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9" fontId="0" fillId="0" borderId="0" xfId="2" applyFont="1" applyBorder="1" applyAlignment="1">
      <alignment horizontal="center" vertical="center"/>
    </xf>
    <xf numFmtId="0" fontId="0" fillId="0" borderId="26" xfId="0" applyNumberFormat="1" applyBorder="1" applyAlignment="1">
      <alignment horizontal="center" vertical="center"/>
    </xf>
    <xf numFmtId="0" fontId="7" fillId="15" borderId="23" xfId="0" applyNumberFormat="1" applyFont="1" applyFill="1" applyBorder="1" applyAlignment="1">
      <alignment horizontal="center" vertical="center"/>
    </xf>
    <xf numFmtId="0" fontId="7" fillId="15" borderId="16" xfId="0" applyNumberFormat="1" applyFont="1" applyFill="1" applyBorder="1" applyAlignment="1">
      <alignment horizontal="center" vertical="center"/>
    </xf>
    <xf numFmtId="0" fontId="7" fillId="15" borderId="24" xfId="0" applyNumberFormat="1" applyFont="1" applyFill="1" applyBorder="1" applyAlignment="1">
      <alignment horizontal="center" vertical="center"/>
    </xf>
    <xf numFmtId="0" fontId="7" fillId="15" borderId="15" xfId="0" applyNumberFormat="1" applyFont="1" applyFill="1" applyBorder="1" applyAlignment="1">
      <alignment horizontal="center" vertical="center"/>
    </xf>
    <xf numFmtId="0" fontId="7" fillId="15" borderId="27" xfId="0" applyNumberFormat="1" applyFont="1" applyFill="1" applyBorder="1" applyAlignment="1">
      <alignment horizontal="center" vertical="center"/>
    </xf>
    <xf numFmtId="0" fontId="9" fillId="9" borderId="1" xfId="8" applyFont="1" applyFill="1" applyBorder="1" applyAlignment="1">
      <alignment horizontal="center" vertical="center"/>
    </xf>
    <xf numFmtId="164" fontId="9" fillId="9" borderId="1" xfId="8" applyNumberFormat="1" applyFont="1" applyFill="1" applyBorder="1" applyAlignment="1">
      <alignment horizontal="center" vertical="center"/>
    </xf>
    <xf numFmtId="41" fontId="0" fillId="8" borderId="1" xfId="0" applyNumberFormat="1" applyFont="1" applyFill="1" applyBorder="1" applyAlignment="1">
      <alignment horizontal="center" vertical="center"/>
    </xf>
    <xf numFmtId="9" fontId="0" fillId="14" borderId="9" xfId="2" applyFont="1" applyFill="1" applyBorder="1" applyAlignment="1">
      <alignment horizontal="center" vertical="center"/>
    </xf>
    <xf numFmtId="0" fontId="9" fillId="22" borderId="1" xfId="4" applyFont="1" applyFill="1" applyBorder="1" applyAlignment="1">
      <alignment horizontal="center" vertical="center"/>
    </xf>
    <xf numFmtId="0" fontId="9" fillId="18" borderId="1" xfId="3" applyFont="1" applyFill="1" applyBorder="1" applyAlignment="1">
      <alignment horizontal="center" vertical="center"/>
    </xf>
    <xf numFmtId="0" fontId="9" fillId="22" borderId="9" xfId="4" applyFont="1" applyFill="1" applyBorder="1" applyAlignment="1">
      <alignment horizontal="center" vertical="center"/>
    </xf>
    <xf numFmtId="0" fontId="9" fillId="18" borderId="9" xfId="7" applyFont="1" applyFill="1" applyBorder="1" applyAlignment="1">
      <alignment horizontal="center" vertical="center" wrapText="1"/>
    </xf>
    <xf numFmtId="0" fontId="6" fillId="18" borderId="9" xfId="6" applyFont="1" applyFill="1" applyBorder="1" applyAlignment="1">
      <alignment horizontal="center" vertical="center" wrapText="1"/>
    </xf>
    <xf numFmtId="0" fontId="9" fillId="18" borderId="9" xfId="3" applyFont="1" applyFill="1" applyBorder="1" applyAlignment="1">
      <alignment horizontal="center" vertical="center"/>
    </xf>
    <xf numFmtId="165" fontId="8" fillId="11" borderId="1" xfId="0" applyNumberFormat="1" applyFont="1" applyFill="1" applyBorder="1" applyAlignment="1">
      <alignment horizontal="center" vertical="center"/>
    </xf>
    <xf numFmtId="14" fontId="0" fillId="33" borderId="9" xfId="0" applyNumberFormat="1" applyFont="1" applyFill="1" applyBorder="1" applyAlignment="1">
      <alignment horizontal="center" vertical="center"/>
    </xf>
    <xf numFmtId="0" fontId="0" fillId="33" borderId="9" xfId="0" applyFont="1" applyFill="1" applyBorder="1" applyAlignment="1">
      <alignment horizontal="center" vertical="center"/>
    </xf>
    <xf numFmtId="164" fontId="9" fillId="33" borderId="9" xfId="1" applyNumberFormat="1" applyFont="1" applyFill="1" applyBorder="1" applyAlignment="1">
      <alignment horizontal="center" vertical="center"/>
    </xf>
    <xf numFmtId="17" fontId="9" fillId="33" borderId="9" xfId="1" applyNumberFormat="1" applyFont="1" applyFill="1" applyBorder="1" applyAlignment="1">
      <alignment horizontal="center" vertical="center"/>
    </xf>
    <xf numFmtId="1" fontId="9" fillId="33" borderId="9" xfId="1" applyNumberFormat="1" applyFont="1" applyFill="1" applyBorder="1" applyAlignment="1">
      <alignment horizontal="center" vertical="center"/>
    </xf>
    <xf numFmtId="164" fontId="10" fillId="0" borderId="9" xfId="0" applyNumberFormat="1" applyFont="1" applyBorder="1" applyAlignment="1">
      <alignment horizontal="center" vertical="center"/>
    </xf>
    <xf numFmtId="164" fontId="9" fillId="0" borderId="9" xfId="0" applyNumberFormat="1" applyFont="1" applyBorder="1" applyAlignment="1">
      <alignment horizontal="center" vertical="center" wrapText="1"/>
    </xf>
    <xf numFmtId="164" fontId="10" fillId="0" borderId="9" xfId="1" applyNumberFormat="1" applyFont="1" applyBorder="1" applyAlignment="1">
      <alignment horizontal="center" vertical="center"/>
    </xf>
    <xf numFmtId="164" fontId="9" fillId="0" borderId="9" xfId="0" applyNumberFormat="1" applyFont="1" applyBorder="1" applyAlignment="1">
      <alignment horizontal="center" vertical="center"/>
    </xf>
    <xf numFmtId="169" fontId="10" fillId="8" borderId="9" xfId="1" applyNumberFormat="1" applyFont="1" applyFill="1" applyBorder="1" applyAlignment="1">
      <alignment horizontal="center" vertical="center"/>
    </xf>
    <xf numFmtId="170" fontId="10" fillId="0" borderId="9" xfId="0" applyNumberFormat="1" applyFont="1" applyBorder="1" applyAlignment="1">
      <alignment horizontal="center" vertical="center"/>
    </xf>
    <xf numFmtId="164" fontId="0" fillId="8" borderId="9" xfId="0" applyNumberFormat="1" applyFont="1" applyFill="1" applyBorder="1" applyAlignment="1">
      <alignment horizontal="center" vertical="center"/>
    </xf>
    <xf numFmtId="164" fontId="0" fillId="33" borderId="9" xfId="0" applyNumberFormat="1" applyFont="1" applyFill="1" applyBorder="1" applyAlignment="1">
      <alignment horizontal="center" vertical="center"/>
    </xf>
    <xf numFmtId="169" fontId="10" fillId="33" borderId="9" xfId="1" applyNumberFormat="1" applyFont="1" applyFill="1" applyBorder="1" applyAlignment="1">
      <alignment horizontal="center" vertical="center"/>
    </xf>
    <xf numFmtId="164" fontId="10" fillId="33" borderId="9" xfId="1" applyNumberFormat="1" applyFont="1" applyFill="1" applyBorder="1" applyAlignment="1">
      <alignment horizontal="center" vertical="center" wrapText="1"/>
    </xf>
    <xf numFmtId="164" fontId="10" fillId="33" borderId="9" xfId="1" applyNumberFormat="1" applyFont="1" applyFill="1" applyBorder="1" applyAlignment="1">
      <alignment horizontal="center" vertical="center"/>
    </xf>
    <xf numFmtId="169" fontId="9" fillId="33" borderId="9" xfId="1" applyNumberFormat="1" applyFont="1" applyFill="1" applyBorder="1" applyAlignment="1">
      <alignment horizontal="center" vertical="center"/>
    </xf>
    <xf numFmtId="164" fontId="9" fillId="8" borderId="9" xfId="0" applyNumberFormat="1" applyFont="1" applyFill="1" applyBorder="1" applyAlignment="1">
      <alignment horizontal="center" vertical="center"/>
    </xf>
    <xf numFmtId="1" fontId="9" fillId="8" borderId="9" xfId="0" applyNumberFormat="1" applyFont="1" applyFill="1" applyBorder="1" applyAlignment="1">
      <alignment horizontal="center" vertical="center"/>
    </xf>
    <xf numFmtId="170" fontId="10" fillId="8" borderId="9" xfId="0" applyNumberFormat="1" applyFont="1" applyFill="1" applyBorder="1" applyAlignment="1">
      <alignment horizontal="center" vertical="center" wrapText="1"/>
    </xf>
    <xf numFmtId="164" fontId="9" fillId="8" borderId="9" xfId="1" applyNumberFormat="1" applyFont="1" applyFill="1" applyBorder="1" applyAlignment="1">
      <alignment horizontal="center" vertical="center"/>
    </xf>
    <xf numFmtId="1" fontId="9" fillId="8" borderId="9" xfId="1" applyNumberFormat="1" applyFont="1" applyFill="1" applyBorder="1" applyAlignment="1">
      <alignment horizontal="center" vertical="center"/>
    </xf>
    <xf numFmtId="14" fontId="10" fillId="8" borderId="9" xfId="1" applyNumberFormat="1" applyFont="1" applyFill="1" applyBorder="1" applyAlignment="1">
      <alignment horizontal="center" vertical="center"/>
    </xf>
    <xf numFmtId="1" fontId="10" fillId="8" borderId="9" xfId="1" applyNumberFormat="1" applyFont="1" applyFill="1" applyBorder="1" applyAlignment="1">
      <alignment horizontal="center" vertical="center"/>
    </xf>
    <xf numFmtId="170" fontId="9" fillId="0" borderId="9" xfId="0" applyNumberFormat="1" applyFont="1" applyBorder="1" applyAlignment="1">
      <alignment horizontal="center" vertical="center" wrapText="1"/>
    </xf>
    <xf numFmtId="14" fontId="10" fillId="0" borderId="9" xfId="1" applyNumberFormat="1" applyFont="1" applyFill="1" applyBorder="1" applyAlignment="1">
      <alignment horizontal="center" vertical="center"/>
    </xf>
    <xf numFmtId="170" fontId="10" fillId="8" borderId="9" xfId="1" applyNumberFormat="1" applyFont="1" applyFill="1" applyBorder="1" applyAlignment="1">
      <alignment horizontal="center" vertical="center"/>
    </xf>
    <xf numFmtId="169" fontId="20" fillId="8" borderId="9" xfId="1" applyNumberFormat="1" applyFont="1" applyFill="1" applyBorder="1" applyAlignment="1">
      <alignment horizontal="center" vertical="center"/>
    </xf>
    <xf numFmtId="1" fontId="0" fillId="33" borderId="9" xfId="0" applyNumberFormat="1" applyFont="1" applyFill="1" applyBorder="1" applyAlignment="1">
      <alignment horizontal="center" vertical="center"/>
    </xf>
    <xf numFmtId="164" fontId="0" fillId="33" borderId="9" xfId="1" applyNumberFormat="1" applyFont="1" applyFill="1" applyBorder="1" applyAlignment="1">
      <alignment horizontal="center" vertical="center"/>
    </xf>
    <xf numFmtId="9" fontId="0" fillId="11" borderId="1" xfId="2" applyFont="1" applyFill="1" applyBorder="1" applyAlignment="1">
      <alignment horizontal="center" vertical="center"/>
    </xf>
    <xf numFmtId="9" fontId="0" fillId="11" borderId="9" xfId="2" applyFont="1" applyFill="1" applyBorder="1" applyAlignment="1">
      <alignment horizontal="center" vertical="center"/>
    </xf>
    <xf numFmtId="3" fontId="0" fillId="8" borderId="1" xfId="0" applyNumberFormat="1" applyFont="1" applyFill="1" applyBorder="1" applyAlignment="1">
      <alignment horizontal="center" vertical="center"/>
    </xf>
    <xf numFmtId="10" fontId="0" fillId="30" borderId="9" xfId="2" applyNumberFormat="1" applyFont="1" applyFill="1" applyBorder="1" applyAlignment="1">
      <alignment horizontal="center" vertical="center"/>
    </xf>
    <xf numFmtId="0" fontId="0" fillId="0" borderId="0" xfId="0" applyFont="1"/>
    <xf numFmtId="0" fontId="0" fillId="8" borderId="0" xfId="0" applyFont="1" applyFill="1" applyBorder="1" applyAlignment="1">
      <alignment horizontal="center"/>
    </xf>
    <xf numFmtId="0" fontId="0" fillId="8" borderId="0" xfId="0" applyFont="1" applyFill="1" applyBorder="1" applyAlignment="1">
      <alignment horizontal="center" vertical="center"/>
    </xf>
    <xf numFmtId="41" fontId="0" fillId="8" borderId="0" xfId="0" applyNumberFormat="1" applyFont="1" applyFill="1" applyBorder="1" applyAlignment="1">
      <alignment horizontal="center"/>
    </xf>
    <xf numFmtId="165" fontId="0" fillId="0" borderId="0" xfId="0" applyNumberFormat="1" applyFont="1" applyBorder="1" applyAlignment="1">
      <alignment horizontal="center"/>
    </xf>
    <xf numFmtId="165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41" fontId="0" fillId="0" borderId="0" xfId="0" applyNumberFormat="1" applyFont="1" applyBorder="1" applyAlignment="1">
      <alignment horizontal="center"/>
    </xf>
    <xf numFmtId="0" fontId="0" fillId="25" borderId="0" xfId="0" applyFont="1" applyFill="1" applyBorder="1" applyAlignment="1">
      <alignment horizontal="center"/>
    </xf>
    <xf numFmtId="9" fontId="0" fillId="0" borderId="0" xfId="0" applyNumberFormat="1" applyFont="1" applyAlignment="1">
      <alignment horizontal="center"/>
    </xf>
    <xf numFmtId="41" fontId="0" fillId="0" borderId="0" xfId="0" applyNumberFormat="1" applyFont="1" applyAlignment="1">
      <alignment horizontal="center"/>
    </xf>
    <xf numFmtId="0" fontId="6" fillId="0" borderId="0" xfId="1" applyNumberFormat="1" applyFont="1" applyAlignment="1">
      <alignment horizontal="right" vertical="center"/>
    </xf>
    <xf numFmtId="41" fontId="0" fillId="0" borderId="0" xfId="0" applyNumberFormat="1" applyFont="1" applyAlignment="1">
      <alignment horizontal="center" vertical="center"/>
    </xf>
    <xf numFmtId="165" fontId="0" fillId="0" borderId="0" xfId="0" applyNumberFormat="1" applyFont="1" applyAlignment="1">
      <alignment horizontal="center" vertical="center"/>
    </xf>
    <xf numFmtId="3" fontId="0" fillId="0" borderId="0" xfId="0" applyNumberFormat="1" applyFont="1" applyAlignment="1">
      <alignment horizontal="center" vertical="center"/>
    </xf>
    <xf numFmtId="0" fontId="0" fillId="8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left" vertical="center"/>
    </xf>
    <xf numFmtId="0" fontId="9" fillId="8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21" fillId="13" borderId="0" xfId="0" applyFont="1" applyFill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left"/>
    </xf>
    <xf numFmtId="0" fontId="0" fillId="0" borderId="0" xfId="0" applyNumberFormat="1" applyFont="1"/>
    <xf numFmtId="0" fontId="0" fillId="0" borderId="0" xfId="0" applyFont="1" applyAlignment="1">
      <alignment horizontal="left" indent="1"/>
    </xf>
    <xf numFmtId="0" fontId="6" fillId="11" borderId="1" xfId="0" applyFont="1" applyFill="1" applyBorder="1" applyAlignment="1">
      <alignment horizontal="center" vertical="center" wrapText="1"/>
    </xf>
    <xf numFmtId="41" fontId="6" fillId="8" borderId="9" xfId="0" applyNumberFormat="1" applyFont="1" applyFill="1" applyBorder="1" applyAlignment="1">
      <alignment horizontal="center" vertical="center" wrapText="1"/>
    </xf>
    <xf numFmtId="9" fontId="6" fillId="8" borderId="9" xfId="2" applyFont="1" applyFill="1" applyBorder="1" applyAlignment="1">
      <alignment horizontal="center" vertical="center" wrapText="1"/>
    </xf>
    <xf numFmtId="3" fontId="6" fillId="10" borderId="1" xfId="1" applyNumberFormat="1" applyFont="1" applyFill="1" applyBorder="1" applyAlignment="1">
      <alignment horizontal="center" vertical="center" wrapText="1"/>
    </xf>
    <xf numFmtId="3" fontId="6" fillId="11" borderId="1" xfId="1" applyNumberFormat="1" applyFont="1" applyFill="1" applyBorder="1" applyAlignment="1">
      <alignment horizontal="center" vertical="center" wrapText="1"/>
    </xf>
    <xf numFmtId="3" fontId="6" fillId="8" borderId="1" xfId="1" applyNumberFormat="1" applyFont="1" applyFill="1" applyBorder="1" applyAlignment="1">
      <alignment horizontal="center" vertical="center" wrapText="1"/>
    </xf>
    <xf numFmtId="3" fontId="6" fillId="19" borderId="1" xfId="1" applyNumberFormat="1" applyFont="1" applyFill="1" applyBorder="1" applyAlignment="1">
      <alignment horizontal="center" vertical="center" wrapText="1"/>
    </xf>
    <xf numFmtId="43" fontId="6" fillId="10" borderId="1" xfId="1" applyFont="1" applyFill="1" applyBorder="1" applyAlignment="1">
      <alignment horizontal="center" vertical="center" wrapText="1"/>
    </xf>
    <xf numFmtId="43" fontId="6" fillId="11" borderId="1" xfId="1" applyFont="1" applyFill="1" applyBorder="1" applyAlignment="1">
      <alignment horizontal="center" vertical="center" wrapText="1"/>
    </xf>
    <xf numFmtId="43" fontId="6" fillId="8" borderId="1" xfId="1" applyFont="1" applyFill="1" applyBorder="1" applyAlignment="1">
      <alignment horizontal="center" vertical="center" wrapText="1"/>
    </xf>
    <xf numFmtId="43" fontId="6" fillId="30" borderId="9" xfId="1" applyFont="1" applyFill="1" applyBorder="1" applyAlignment="1">
      <alignment horizontal="center" vertical="center" wrapText="1"/>
    </xf>
    <xf numFmtId="43" fontId="6" fillId="19" borderId="1" xfId="1" applyFont="1" applyFill="1" applyBorder="1" applyAlignment="1">
      <alignment horizontal="center" vertical="center" wrapText="1"/>
    </xf>
    <xf numFmtId="43" fontId="6" fillId="11" borderId="9" xfId="1" applyFont="1" applyFill="1" applyBorder="1" applyAlignment="1">
      <alignment horizontal="center" vertical="center" wrapText="1"/>
    </xf>
    <xf numFmtId="43" fontId="6" fillId="19" borderId="9" xfId="1" applyFont="1" applyFill="1" applyBorder="1" applyAlignment="1">
      <alignment horizontal="center" vertical="center" wrapText="1"/>
    </xf>
    <xf numFmtId="43" fontId="6" fillId="27" borderId="8" xfId="1" applyFont="1" applyFill="1" applyBorder="1" applyAlignment="1">
      <alignment horizontal="center" vertical="center" wrapText="1"/>
    </xf>
    <xf numFmtId="43" fontId="6" fillId="21" borderId="1" xfId="1" applyFont="1" applyFill="1" applyBorder="1" applyAlignment="1">
      <alignment horizontal="center" vertical="center" wrapText="1"/>
    </xf>
    <xf numFmtId="0" fontId="6" fillId="8" borderId="0" xfId="0" applyFont="1" applyFill="1" applyBorder="1" applyAlignment="1">
      <alignment horizontal="center"/>
    </xf>
    <xf numFmtId="0" fontId="22" fillId="0" borderId="17" xfId="1" applyNumberFormat="1" applyFont="1" applyBorder="1" applyAlignment="1">
      <alignment horizontal="center"/>
    </xf>
    <xf numFmtId="0" fontId="23" fillId="0" borderId="21" xfId="1" applyNumberFormat="1" applyFont="1" applyBorder="1" applyAlignment="1">
      <alignment horizontal="center"/>
    </xf>
    <xf numFmtId="1" fontId="24" fillId="8" borderId="21" xfId="1" applyNumberFormat="1" applyFont="1" applyFill="1" applyBorder="1" applyAlignment="1">
      <alignment horizontal="center"/>
    </xf>
    <xf numFmtId="0" fontId="9" fillId="8" borderId="21" xfId="1" applyNumberFormat="1" applyFont="1" applyFill="1" applyBorder="1" applyAlignment="1">
      <alignment horizontal="center"/>
    </xf>
    <xf numFmtId="0" fontId="25" fillId="8" borderId="21" xfId="1" applyNumberFormat="1" applyFont="1" applyFill="1" applyBorder="1" applyAlignment="1">
      <alignment horizontal="center"/>
    </xf>
    <xf numFmtId="0" fontId="26" fillId="8" borderId="21" xfId="1" applyNumberFormat="1" applyFont="1" applyFill="1" applyBorder="1" applyAlignment="1">
      <alignment horizontal="center"/>
    </xf>
    <xf numFmtId="0" fontId="27" fillId="8" borderId="21" xfId="1" applyNumberFormat="1" applyFont="1" applyFill="1" applyBorder="1" applyAlignment="1">
      <alignment horizontal="center"/>
    </xf>
    <xf numFmtId="0" fontId="28" fillId="8" borderId="28" xfId="1" applyNumberFormat="1" applyFont="1" applyFill="1" applyBorder="1" applyAlignment="1">
      <alignment horizontal="center"/>
    </xf>
    <xf numFmtId="0" fontId="9" fillId="8" borderId="6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8" borderId="7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6" fillId="6" borderId="9" xfId="7" applyFont="1" applyBorder="1" applyAlignment="1">
      <alignment horizontal="center" vertical="center" wrapText="1"/>
    </xf>
    <xf numFmtId="0" fontId="6" fillId="9" borderId="1" xfId="3" applyFont="1" applyFill="1" applyBorder="1" applyAlignment="1">
      <alignment horizontal="center" vertical="center" wrapText="1"/>
    </xf>
    <xf numFmtId="0" fontId="6" fillId="2" borderId="1" xfId="3" applyFont="1" applyBorder="1" applyAlignment="1">
      <alignment horizontal="center" vertical="center" wrapText="1"/>
    </xf>
    <xf numFmtId="43" fontId="6" fillId="2" borderId="1" xfId="3" applyNumberFormat="1" applyFont="1" applyBorder="1" applyAlignment="1">
      <alignment horizontal="center" vertical="center" wrapText="1"/>
    </xf>
    <xf numFmtId="43" fontId="6" fillId="2" borderId="9" xfId="3" applyNumberFormat="1" applyFont="1" applyBorder="1" applyAlignment="1">
      <alignment horizontal="center" vertical="center" wrapText="1"/>
    </xf>
    <xf numFmtId="43" fontId="6" fillId="18" borderId="1" xfId="3" applyNumberFormat="1" applyFont="1" applyFill="1" applyBorder="1" applyAlignment="1">
      <alignment horizontal="center" vertical="center" wrapText="1"/>
    </xf>
    <xf numFmtId="0" fontId="9" fillId="9" borderId="1" xfId="3" applyFont="1" applyFill="1" applyBorder="1" applyAlignment="1">
      <alignment horizontal="center" vertical="center" wrapText="1"/>
    </xf>
    <xf numFmtId="0" fontId="9" fillId="2" borderId="1" xfId="3" applyFont="1" applyBorder="1" applyAlignment="1">
      <alignment horizontal="center" vertical="center" wrapText="1"/>
    </xf>
    <xf numFmtId="43" fontId="9" fillId="2" borderId="1" xfId="3" applyNumberFormat="1" applyFont="1" applyBorder="1" applyAlignment="1">
      <alignment horizontal="center" vertical="center" wrapText="1"/>
    </xf>
    <xf numFmtId="43" fontId="9" fillId="2" borderId="9" xfId="3" applyNumberFormat="1" applyFont="1" applyBorder="1" applyAlignment="1">
      <alignment horizontal="center" vertical="center" wrapText="1"/>
    </xf>
    <xf numFmtId="0" fontId="9" fillId="2" borderId="9" xfId="3" applyFont="1" applyBorder="1" applyAlignment="1">
      <alignment horizontal="center" vertical="center" wrapText="1"/>
    </xf>
    <xf numFmtId="165" fontId="9" fillId="2" borderId="1" xfId="3" applyNumberFormat="1" applyFont="1" applyBorder="1" applyAlignment="1">
      <alignment horizontal="center" vertical="center" wrapText="1"/>
    </xf>
    <xf numFmtId="14" fontId="9" fillId="18" borderId="1" xfId="7" applyNumberFormat="1" applyFont="1" applyFill="1" applyBorder="1" applyAlignment="1">
      <alignment horizontal="center" vertical="center"/>
    </xf>
    <xf numFmtId="14" fontId="9" fillId="18" borderId="9" xfId="7" applyNumberFormat="1" applyFont="1" applyFill="1" applyBorder="1" applyAlignment="1">
      <alignment horizontal="center" vertical="center"/>
    </xf>
    <xf numFmtId="164" fontId="9" fillId="9" borderId="1" xfId="6" applyNumberFormat="1" applyFont="1" applyFill="1" applyBorder="1" applyAlignment="1">
      <alignment horizontal="center" vertical="center"/>
    </xf>
    <xf numFmtId="14" fontId="9" fillId="2" borderId="1" xfId="3" applyNumberFormat="1" applyFont="1" applyBorder="1" applyAlignment="1">
      <alignment horizontal="center" vertical="center" wrapText="1"/>
    </xf>
    <xf numFmtId="14" fontId="9" fillId="18" borderId="1" xfId="7" applyNumberFormat="1" applyFont="1" applyFill="1" applyBorder="1" applyAlignment="1">
      <alignment horizontal="center" vertical="center" wrapText="1"/>
    </xf>
    <xf numFmtId="0" fontId="9" fillId="18" borderId="1" xfId="7" applyFont="1" applyFill="1" applyBorder="1" applyAlignment="1">
      <alignment horizontal="center" vertical="center"/>
    </xf>
    <xf numFmtId="14" fontId="9" fillId="18" borderId="9" xfId="7" applyNumberFormat="1" applyFont="1" applyFill="1" applyBorder="1" applyAlignment="1">
      <alignment horizontal="center" vertical="center" wrapText="1"/>
    </xf>
    <xf numFmtId="0" fontId="9" fillId="18" borderId="9" xfId="7" applyFont="1" applyFill="1" applyBorder="1" applyAlignment="1">
      <alignment horizontal="center" vertical="center"/>
    </xf>
    <xf numFmtId="164" fontId="9" fillId="9" borderId="9" xfId="6" applyNumberFormat="1" applyFont="1" applyFill="1" applyBorder="1" applyAlignment="1">
      <alignment horizontal="center" vertical="center"/>
    </xf>
    <xf numFmtId="0" fontId="9" fillId="9" borderId="9" xfId="8" applyFont="1" applyFill="1" applyBorder="1" applyAlignment="1">
      <alignment horizontal="center" vertical="center"/>
    </xf>
    <xf numFmtId="164" fontId="9" fillId="9" borderId="9" xfId="8" applyNumberFormat="1" applyFont="1" applyFill="1" applyBorder="1" applyAlignment="1">
      <alignment horizontal="center" vertical="center"/>
    </xf>
    <xf numFmtId="0" fontId="6" fillId="2" borderId="9" xfId="3" applyFont="1" applyBorder="1" applyAlignment="1">
      <alignment horizontal="center" vertical="center" wrapText="1"/>
    </xf>
    <xf numFmtId="165" fontId="9" fillId="2" borderId="9" xfId="3" applyNumberFormat="1" applyFont="1" applyBorder="1" applyAlignment="1">
      <alignment horizontal="center" vertical="center" wrapText="1"/>
    </xf>
    <xf numFmtId="0" fontId="9" fillId="8" borderId="0" xfId="4" applyFont="1" applyFill="1" applyBorder="1" applyAlignment="1">
      <alignment horizontal="center"/>
    </xf>
    <xf numFmtId="164" fontId="9" fillId="8" borderId="0" xfId="5" applyNumberFormat="1" applyFont="1" applyFill="1" applyBorder="1" applyAlignment="1">
      <alignment horizontal="center"/>
    </xf>
    <xf numFmtId="0" fontId="9" fillId="8" borderId="0" xfId="7" applyFont="1" applyFill="1" applyBorder="1" applyAlignment="1">
      <alignment horizontal="center"/>
    </xf>
    <xf numFmtId="164" fontId="9" fillId="8" borderId="0" xfId="7" applyNumberFormat="1" applyFont="1" applyFill="1" applyBorder="1" applyAlignment="1">
      <alignment horizontal="center"/>
    </xf>
    <xf numFmtId="164" fontId="9" fillId="8" borderId="0" xfId="6" applyNumberFormat="1" applyFont="1" applyFill="1" applyBorder="1" applyAlignment="1">
      <alignment horizontal="center"/>
    </xf>
    <xf numFmtId="164" fontId="9" fillId="8" borderId="0" xfId="8" applyNumberFormat="1" applyFont="1" applyFill="1" applyBorder="1" applyAlignment="1">
      <alignment horizontal="center"/>
    </xf>
    <xf numFmtId="0" fontId="9" fillId="8" borderId="0" xfId="3" applyFont="1" applyFill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167" fontId="6" fillId="0" borderId="0" xfId="0" applyNumberFormat="1" applyFont="1" applyAlignment="1">
      <alignment horizontal="center" vertical="center"/>
    </xf>
    <xf numFmtId="44" fontId="9" fillId="0" borderId="0" xfId="9" applyFont="1" applyAlignment="1">
      <alignment horizontal="center" vertical="center"/>
    </xf>
    <xf numFmtId="44" fontId="9" fillId="0" borderId="0" xfId="0" applyNumberFormat="1" applyFont="1" applyAlignment="1">
      <alignment horizontal="center" vertical="center"/>
    </xf>
    <xf numFmtId="164" fontId="0" fillId="33" borderId="9" xfId="0" applyNumberFormat="1" applyFont="1" applyFill="1" applyBorder="1" applyAlignment="1">
      <alignment horizontal="center" vertical="center" wrapText="1"/>
    </xf>
    <xf numFmtId="41" fontId="0" fillId="14" borderId="9" xfId="0" applyNumberFormat="1" applyFont="1" applyFill="1" applyBorder="1" applyAlignment="1">
      <alignment horizontal="center" vertical="center"/>
    </xf>
    <xf numFmtId="164" fontId="0" fillId="8" borderId="9" xfId="0" applyNumberFormat="1" applyFont="1" applyFill="1" applyBorder="1" applyAlignment="1">
      <alignment horizontal="center" vertical="center" wrapText="1"/>
    </xf>
    <xf numFmtId="170" fontId="9" fillId="0" borderId="9" xfId="0" applyNumberFormat="1" applyFont="1" applyBorder="1" applyAlignment="1">
      <alignment horizontal="center" vertical="center"/>
    </xf>
    <xf numFmtId="14" fontId="0" fillId="8" borderId="9" xfId="0" applyNumberFormat="1" applyFont="1" applyFill="1" applyBorder="1" applyAlignment="1">
      <alignment horizontal="center" vertical="center"/>
    </xf>
    <xf numFmtId="164" fontId="9" fillId="33" borderId="9" xfId="1" applyNumberFormat="1" applyFont="1" applyFill="1" applyBorder="1" applyAlignment="1">
      <alignment horizontal="center" vertical="center" wrapText="1"/>
    </xf>
    <xf numFmtId="164" fontId="10" fillId="8" borderId="9" xfId="1" applyNumberFormat="1" applyFont="1" applyFill="1" applyBorder="1" applyAlignment="1">
      <alignment horizontal="center" vertical="center"/>
    </xf>
    <xf numFmtId="164" fontId="0" fillId="8" borderId="9" xfId="2" applyNumberFormat="1" applyFont="1" applyFill="1" applyBorder="1" applyAlignment="1">
      <alignment horizontal="center" vertical="center"/>
    </xf>
    <xf numFmtId="164" fontId="9" fillId="18" borderId="9" xfId="7" applyNumberFormat="1" applyFont="1" applyFill="1" applyBorder="1" applyAlignment="1">
      <alignment horizontal="center" vertical="center" wrapText="1"/>
    </xf>
    <xf numFmtId="14" fontId="0" fillId="8" borderId="9" xfId="2" applyNumberFormat="1" applyFont="1" applyFill="1" applyBorder="1" applyAlignment="1">
      <alignment horizontal="center" vertical="center"/>
    </xf>
    <xf numFmtId="14" fontId="9" fillId="8" borderId="9" xfId="0" applyNumberFormat="1" applyFont="1" applyFill="1" applyBorder="1" applyAlignment="1">
      <alignment horizontal="center" vertical="center"/>
    </xf>
    <xf numFmtId="0" fontId="9" fillId="22" borderId="9" xfId="4" applyFont="1" applyFill="1" applyBorder="1" applyAlignment="1">
      <alignment horizontal="center" vertical="center" wrapText="1"/>
    </xf>
    <xf numFmtId="169" fontId="10" fillId="0" borderId="9" xfId="1" applyNumberFormat="1" applyFont="1" applyFill="1" applyBorder="1" applyAlignment="1">
      <alignment horizontal="center" vertical="center"/>
    </xf>
    <xf numFmtId="14" fontId="9" fillId="23" borderId="9" xfId="5" applyNumberFormat="1" applyFont="1" applyFill="1" applyBorder="1" applyAlignment="1">
      <alignment horizontal="center" vertical="center" wrapText="1"/>
    </xf>
    <xf numFmtId="1" fontId="0" fillId="8" borderId="9" xfId="0" applyNumberFormat="1" applyFont="1" applyFill="1" applyBorder="1" applyAlignment="1">
      <alignment horizontal="center" vertical="center"/>
    </xf>
    <xf numFmtId="0" fontId="6" fillId="22" borderId="1" xfId="4" applyFont="1" applyFill="1" applyBorder="1" applyAlignment="1">
      <alignment horizontal="center" vertical="center" wrapText="1"/>
    </xf>
    <xf numFmtId="0" fontId="9" fillId="22" borderId="1" xfId="4" applyFont="1" applyFill="1" applyBorder="1" applyAlignment="1">
      <alignment horizontal="center" vertical="center" wrapText="1"/>
    </xf>
    <xf numFmtId="14" fontId="9" fillId="22" borderId="1" xfId="4" applyNumberFormat="1" applyFont="1" applyFill="1" applyBorder="1" applyAlignment="1">
      <alignment horizontal="center" vertical="center"/>
    </xf>
    <xf numFmtId="0" fontId="6" fillId="4" borderId="9" xfId="5" applyFont="1" applyBorder="1" applyAlignment="1">
      <alignment horizontal="center" vertical="center" wrapText="1"/>
    </xf>
    <xf numFmtId="164" fontId="0" fillId="34" borderId="9" xfId="0" applyNumberFormat="1" applyFont="1" applyFill="1" applyBorder="1" applyAlignment="1">
      <alignment horizontal="center" vertical="center"/>
    </xf>
    <xf numFmtId="0" fontId="0" fillId="8" borderId="0" xfId="0" applyFont="1" applyFill="1" applyBorder="1" applyAlignment="1">
      <alignment horizontal="center" wrapText="1"/>
    </xf>
    <xf numFmtId="0" fontId="0" fillId="0" borderId="0" xfId="0" applyFont="1" applyBorder="1" applyAlignment="1">
      <alignment horizontal="center" wrapText="1"/>
    </xf>
    <xf numFmtId="0" fontId="0" fillId="0" borderId="0" xfId="0" applyFont="1" applyAlignment="1">
      <alignment horizontal="center" vertical="center" wrapText="1"/>
    </xf>
    <xf numFmtId="9" fontId="0" fillId="0" borderId="0" xfId="2" applyFont="1" applyAlignment="1">
      <alignment horizontal="center" vertical="center" wrapText="1"/>
    </xf>
    <xf numFmtId="0" fontId="0" fillId="0" borderId="29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9" fontId="0" fillId="14" borderId="1" xfId="2" applyFont="1" applyFill="1" applyBorder="1" applyAlignment="1">
      <alignment horizontal="center" vertical="center"/>
    </xf>
    <xf numFmtId="165" fontId="9" fillId="23" borderId="1" xfId="5" applyNumberFormat="1" applyFont="1" applyFill="1" applyBorder="1" applyAlignment="1">
      <alignment horizontal="center" vertical="center"/>
    </xf>
    <xf numFmtId="164" fontId="9" fillId="34" borderId="9" xfId="0" applyNumberFormat="1" applyFont="1" applyFill="1" applyBorder="1" applyAlignment="1">
      <alignment horizontal="center" vertical="center" wrapText="1"/>
    </xf>
    <xf numFmtId="0" fontId="6" fillId="22" borderId="9" xfId="4" applyFont="1" applyFill="1" applyBorder="1" applyAlignment="1">
      <alignment horizontal="center" vertical="center" wrapText="1"/>
    </xf>
    <xf numFmtId="14" fontId="9" fillId="22" borderId="9" xfId="4" applyNumberFormat="1" applyFont="1" applyFill="1" applyBorder="1" applyAlignment="1">
      <alignment horizontal="center" vertical="center"/>
    </xf>
    <xf numFmtId="0" fontId="6" fillId="35" borderId="9" xfId="1" applyNumberFormat="1" applyFont="1" applyFill="1" applyBorder="1" applyAlignment="1">
      <alignment horizontal="center" vertical="center" wrapText="1"/>
    </xf>
    <xf numFmtId="0" fontId="6" fillId="36" borderId="9" xfId="1" applyNumberFormat="1" applyFont="1" applyFill="1" applyBorder="1" applyAlignment="1">
      <alignment horizontal="center" vertical="center" wrapText="1"/>
    </xf>
    <xf numFmtId="0" fontId="6" fillId="37" borderId="9" xfId="1" applyNumberFormat="1" applyFont="1" applyFill="1" applyBorder="1" applyAlignment="1">
      <alignment horizontal="center" vertical="center" wrapText="1"/>
    </xf>
    <xf numFmtId="0" fontId="6" fillId="39" borderId="1" xfId="7" applyFont="1" applyFill="1" applyBorder="1" applyAlignment="1">
      <alignment horizontal="center" vertical="center" wrapText="1"/>
    </xf>
    <xf numFmtId="0" fontId="9" fillId="39" borderId="1" xfId="6" applyFont="1" applyFill="1" applyBorder="1" applyAlignment="1">
      <alignment horizontal="center" vertical="center" wrapText="1"/>
    </xf>
    <xf numFmtId="0" fontId="6" fillId="39" borderId="1" xfId="6" applyFont="1" applyFill="1" applyBorder="1" applyAlignment="1">
      <alignment horizontal="center" vertical="center" wrapText="1"/>
    </xf>
    <xf numFmtId="164" fontId="9" fillId="39" borderId="1" xfId="6" applyNumberFormat="1" applyFont="1" applyFill="1" applyBorder="1" applyAlignment="1">
      <alignment horizontal="center" vertical="center"/>
    </xf>
    <xf numFmtId="164" fontId="9" fillId="39" borderId="1" xfId="6" applyNumberFormat="1" applyFont="1" applyFill="1" applyBorder="1" applyAlignment="1">
      <alignment horizontal="center" vertical="center" wrapText="1"/>
    </xf>
    <xf numFmtId="164" fontId="9" fillId="39" borderId="9" xfId="6" applyNumberFormat="1" applyFont="1" applyFill="1" applyBorder="1" applyAlignment="1">
      <alignment horizontal="center" vertical="center"/>
    </xf>
    <xf numFmtId="164" fontId="9" fillId="39" borderId="9" xfId="6" applyNumberFormat="1" applyFont="1" applyFill="1" applyBorder="1" applyAlignment="1">
      <alignment horizontal="center" vertical="center" wrapText="1"/>
    </xf>
    <xf numFmtId="0" fontId="9" fillId="39" borderId="1" xfId="7" applyFont="1" applyFill="1" applyBorder="1" applyAlignment="1">
      <alignment horizontal="center" vertical="center" wrapText="1"/>
    </xf>
    <xf numFmtId="164" fontId="9" fillId="39" borderId="1" xfId="7" applyNumberFormat="1" applyFont="1" applyFill="1" applyBorder="1" applyAlignment="1">
      <alignment horizontal="center" vertical="center"/>
    </xf>
    <xf numFmtId="164" fontId="9" fillId="39" borderId="9" xfId="7" applyNumberFormat="1" applyFont="1" applyFill="1" applyBorder="1" applyAlignment="1">
      <alignment horizontal="center" vertical="center"/>
    </xf>
    <xf numFmtId="14" fontId="9" fillId="39" borderId="1" xfId="7" applyNumberFormat="1" applyFont="1" applyFill="1" applyBorder="1" applyAlignment="1">
      <alignment horizontal="center" vertical="center"/>
    </xf>
    <xf numFmtId="14" fontId="9" fillId="39" borderId="1" xfId="7" applyNumberFormat="1" applyFont="1" applyFill="1" applyBorder="1" applyAlignment="1">
      <alignment horizontal="center" vertical="center" wrapText="1"/>
    </xf>
    <xf numFmtId="14" fontId="9" fillId="39" borderId="9" xfId="7" applyNumberFormat="1" applyFont="1" applyFill="1" applyBorder="1" applyAlignment="1">
      <alignment horizontal="center" vertical="center"/>
    </xf>
    <xf numFmtId="0" fontId="6" fillId="38" borderId="1" xfId="5" applyFont="1" applyFill="1" applyBorder="1" applyAlignment="1">
      <alignment horizontal="center" vertical="center" wrapText="1"/>
    </xf>
    <xf numFmtId="14" fontId="9" fillId="38" borderId="9" xfId="5" applyNumberFormat="1" applyFont="1" applyFill="1" applyBorder="1" applyAlignment="1">
      <alignment horizontal="center" vertical="center"/>
    </xf>
    <xf numFmtId="14" fontId="9" fillId="38" borderId="9" xfId="5" applyNumberFormat="1" applyFont="1" applyFill="1" applyBorder="1" applyAlignment="1">
      <alignment horizontal="center" vertical="center" wrapText="1"/>
    </xf>
    <xf numFmtId="0" fontId="6" fillId="9" borderId="9" xfId="0" applyFont="1" applyFill="1" applyBorder="1" applyAlignment="1">
      <alignment horizontal="center" vertical="center" wrapText="1"/>
    </xf>
    <xf numFmtId="3" fontId="0" fillId="9" borderId="9" xfId="0" applyNumberFormat="1" applyFont="1" applyFill="1" applyBorder="1" applyAlignment="1">
      <alignment horizontal="center" vertical="center"/>
    </xf>
    <xf numFmtId="0" fontId="0" fillId="9" borderId="9" xfId="0" applyFont="1" applyFill="1" applyBorder="1" applyAlignment="1">
      <alignment horizontal="center" vertical="center"/>
    </xf>
    <xf numFmtId="9" fontId="0" fillId="9" borderId="9" xfId="2" applyFont="1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9" fontId="0" fillId="9" borderId="1" xfId="2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9" fontId="9" fillId="9" borderId="1" xfId="2" applyFont="1" applyFill="1" applyBorder="1" applyAlignment="1">
      <alignment horizontal="center" vertical="center"/>
    </xf>
    <xf numFmtId="3" fontId="9" fillId="9" borderId="9" xfId="0" applyNumberFormat="1" applyFont="1" applyFill="1" applyBorder="1" applyAlignment="1">
      <alignment horizontal="center" vertical="center" wrapText="1"/>
    </xf>
    <xf numFmtId="3" fontId="0" fillId="9" borderId="9" xfId="0" applyNumberFormat="1" applyFont="1" applyFill="1" applyBorder="1" applyAlignment="1">
      <alignment horizontal="center" vertical="center" wrapText="1"/>
    </xf>
    <xf numFmtId="0" fontId="9" fillId="9" borderId="9" xfId="0" applyFont="1" applyFill="1" applyBorder="1" applyAlignment="1">
      <alignment horizontal="center" vertical="center" wrapText="1"/>
    </xf>
    <xf numFmtId="9" fontId="9" fillId="9" borderId="9" xfId="2" applyFont="1" applyFill="1" applyBorder="1" applyAlignment="1">
      <alignment horizontal="center" vertical="center" wrapText="1"/>
    </xf>
    <xf numFmtId="9" fontId="9" fillId="9" borderId="9" xfId="2" applyFont="1" applyFill="1" applyBorder="1" applyAlignment="1">
      <alignment horizontal="center" vertical="center"/>
    </xf>
    <xf numFmtId="0" fontId="0" fillId="9" borderId="9" xfId="0" applyFont="1" applyFill="1" applyBorder="1" applyAlignment="1">
      <alignment horizontal="center" vertical="center" wrapText="1"/>
    </xf>
    <xf numFmtId="9" fontId="0" fillId="9" borderId="9" xfId="2" applyFont="1" applyFill="1" applyBorder="1" applyAlignment="1">
      <alignment horizontal="center" vertical="center" wrapText="1"/>
    </xf>
    <xf numFmtId="3" fontId="9" fillId="9" borderId="9" xfId="0" applyNumberFormat="1" applyFont="1" applyFill="1" applyBorder="1" applyAlignment="1">
      <alignment horizontal="center" vertical="center"/>
    </xf>
    <xf numFmtId="0" fontId="9" fillId="9" borderId="9" xfId="0" applyFont="1" applyFill="1" applyBorder="1" applyAlignment="1">
      <alignment horizontal="center" vertical="center"/>
    </xf>
    <xf numFmtId="0" fontId="9" fillId="9" borderId="0" xfId="3" applyFont="1" applyFill="1" applyBorder="1" applyAlignment="1">
      <alignment horizontal="center"/>
    </xf>
    <xf numFmtId="0" fontId="9" fillId="9" borderId="0" xfId="0" applyFont="1" applyFill="1" applyBorder="1" applyAlignment="1">
      <alignment horizontal="center"/>
    </xf>
    <xf numFmtId="0" fontId="9" fillId="9" borderId="0" xfId="0" applyFont="1" applyFill="1" applyAlignment="1">
      <alignment horizontal="center"/>
    </xf>
    <xf numFmtId="0" fontId="9" fillId="9" borderId="0" xfId="0" applyFont="1" applyFill="1" applyAlignment="1">
      <alignment horizontal="center" vertical="center"/>
    </xf>
    <xf numFmtId="44" fontId="9" fillId="9" borderId="0" xfId="0" applyNumberFormat="1" applyFont="1" applyFill="1" applyAlignment="1">
      <alignment horizontal="center" vertical="center"/>
    </xf>
    <xf numFmtId="167" fontId="9" fillId="0" borderId="0" xfId="0" applyNumberFormat="1" applyFont="1" applyAlignment="1">
      <alignment horizontal="center" vertical="center"/>
    </xf>
    <xf numFmtId="4" fontId="10" fillId="26" borderId="1" xfId="0" applyNumberFormat="1" applyFont="1" applyFill="1" applyBorder="1" applyAlignment="1">
      <alignment horizontal="center" vertical="center"/>
    </xf>
    <xf numFmtId="1" fontId="6" fillId="37" borderId="9" xfId="1" applyNumberFormat="1" applyFont="1" applyFill="1" applyBorder="1" applyAlignment="1">
      <alignment horizontal="center" vertical="center" wrapText="1"/>
    </xf>
    <xf numFmtId="1" fontId="0" fillId="8" borderId="0" xfId="0" applyNumberFormat="1" applyFont="1" applyFill="1" applyBorder="1" applyAlignment="1">
      <alignment horizontal="center"/>
    </xf>
    <xf numFmtId="1" fontId="0" fillId="0" borderId="0" xfId="0" applyNumberFormat="1" applyFont="1" applyBorder="1" applyAlignment="1">
      <alignment horizontal="center"/>
    </xf>
    <xf numFmtId="1" fontId="0" fillId="0" borderId="0" xfId="0" applyNumberFormat="1" applyFont="1" applyAlignment="1">
      <alignment horizontal="center"/>
    </xf>
    <xf numFmtId="1" fontId="0" fillId="0" borderId="0" xfId="0" applyNumberFormat="1" applyFont="1" applyAlignment="1">
      <alignment horizontal="center" vertical="center"/>
    </xf>
    <xf numFmtId="1" fontId="8" fillId="0" borderId="0" xfId="0" applyNumberFormat="1" applyFont="1" applyBorder="1" applyAlignment="1">
      <alignment horizontal="center" vertical="center"/>
    </xf>
    <xf numFmtId="3" fontId="0" fillId="33" borderId="9" xfId="0" applyNumberFormat="1" applyFont="1" applyFill="1" applyBorder="1" applyAlignment="1">
      <alignment horizontal="center" vertical="center"/>
    </xf>
    <xf numFmtId="3" fontId="9" fillId="33" borderId="9" xfId="1" applyNumberFormat="1" applyFont="1" applyFill="1" applyBorder="1" applyAlignment="1">
      <alignment horizontal="center" vertical="center"/>
    </xf>
    <xf numFmtId="3" fontId="9" fillId="8" borderId="9" xfId="1" applyNumberFormat="1" applyFont="1" applyFill="1" applyBorder="1" applyAlignment="1">
      <alignment horizontal="center" vertical="center"/>
    </xf>
    <xf numFmtId="3" fontId="10" fillId="8" borderId="9" xfId="1" applyNumberFormat="1" applyFont="1" applyFill="1" applyBorder="1" applyAlignment="1">
      <alignment horizontal="center" vertical="center"/>
    </xf>
    <xf numFmtId="164" fontId="0" fillId="34" borderId="9" xfId="0" applyNumberFormat="1" applyFont="1" applyFill="1" applyBorder="1" applyAlignment="1">
      <alignment horizontal="center" vertical="center" wrapText="1"/>
    </xf>
    <xf numFmtId="164" fontId="9" fillId="34" borderId="9" xfId="1" applyNumberFormat="1" applyFont="1" applyFill="1" applyBorder="1" applyAlignment="1">
      <alignment horizontal="center" vertical="center"/>
    </xf>
    <xf numFmtId="164" fontId="9" fillId="34" borderId="9" xfId="0" applyNumberFormat="1" applyFont="1" applyFill="1" applyBorder="1" applyAlignment="1">
      <alignment horizontal="center" vertical="center"/>
    </xf>
    <xf numFmtId="14" fontId="0" fillId="34" borderId="9" xfId="0" applyNumberFormat="1" applyFont="1" applyFill="1" applyBorder="1" applyAlignment="1">
      <alignment horizontal="center" vertical="center"/>
    </xf>
    <xf numFmtId="170" fontId="0" fillId="34" borderId="9" xfId="0" applyNumberFormat="1" applyFont="1" applyFill="1" applyBorder="1" applyAlignment="1">
      <alignment horizontal="center" vertical="center"/>
    </xf>
    <xf numFmtId="164" fontId="0" fillId="34" borderId="9" xfId="1" applyNumberFormat="1" applyFont="1" applyFill="1" applyBorder="1" applyAlignment="1">
      <alignment horizontal="center" vertical="center"/>
    </xf>
    <xf numFmtId="14" fontId="0" fillId="34" borderId="9" xfId="0" applyNumberFormat="1" applyFont="1" applyFill="1" applyBorder="1" applyAlignment="1">
      <alignment horizontal="center" vertical="center" wrapText="1"/>
    </xf>
    <xf numFmtId="14" fontId="0" fillId="34" borderId="9" xfId="2" applyNumberFormat="1" applyFont="1" applyFill="1" applyBorder="1" applyAlignment="1">
      <alignment horizontal="center" vertical="center"/>
    </xf>
    <xf numFmtId="14" fontId="9" fillId="34" borderId="9" xfId="0" applyNumberFormat="1" applyFont="1" applyFill="1" applyBorder="1" applyAlignment="1">
      <alignment horizontal="center" vertical="center"/>
    </xf>
    <xf numFmtId="1" fontId="9" fillId="34" borderId="9" xfId="1" applyNumberFormat="1" applyFont="1" applyFill="1" applyBorder="1" applyAlignment="1">
      <alignment horizontal="center" vertical="center"/>
    </xf>
    <xf numFmtId="1" fontId="29" fillId="8" borderId="9" xfId="1" applyNumberFormat="1" applyFont="1" applyFill="1" applyBorder="1" applyAlignment="1">
      <alignment horizontal="center" vertical="center"/>
    </xf>
    <xf numFmtId="0" fontId="29" fillId="8" borderId="9" xfId="0" applyFont="1" applyFill="1" applyBorder="1" applyAlignment="1">
      <alignment horizontal="center" vertical="center"/>
    </xf>
    <xf numFmtId="164" fontId="20" fillId="34" borderId="9" xfId="1" applyNumberFormat="1" applyFont="1" applyFill="1" applyBorder="1" applyAlignment="1">
      <alignment horizontal="center" vertical="center"/>
    </xf>
    <xf numFmtId="169" fontId="20" fillId="34" borderId="9" xfId="1" applyNumberFormat="1" applyFont="1" applyFill="1" applyBorder="1" applyAlignment="1">
      <alignment horizontal="center" vertical="center"/>
    </xf>
    <xf numFmtId="14" fontId="9" fillId="34" borderId="9" xfId="1" applyNumberFormat="1" applyFont="1" applyFill="1" applyBorder="1" applyAlignment="1">
      <alignment horizontal="center" vertical="center" wrapText="1"/>
    </xf>
    <xf numFmtId="3" fontId="9" fillId="34" borderId="9" xfId="1" applyNumberFormat="1" applyFont="1" applyFill="1" applyBorder="1" applyAlignment="1">
      <alignment horizontal="center" vertical="center"/>
    </xf>
    <xf numFmtId="1" fontId="1" fillId="34" borderId="9" xfId="1" applyNumberFormat="1" applyFont="1" applyFill="1" applyBorder="1" applyAlignment="1">
      <alignment horizontal="center" vertical="center"/>
    </xf>
    <xf numFmtId="1" fontId="0" fillId="34" borderId="9" xfId="0" applyNumberFormat="1" applyFont="1" applyFill="1" applyBorder="1" applyAlignment="1">
      <alignment horizontal="center" vertical="center"/>
    </xf>
    <xf numFmtId="1" fontId="29" fillId="8" borderId="9" xfId="0" applyNumberFormat="1" applyFont="1" applyFill="1" applyBorder="1" applyAlignment="1">
      <alignment horizontal="center" vertical="center"/>
    </xf>
    <xf numFmtId="3" fontId="29" fillId="8" borderId="9" xfId="0" applyNumberFormat="1" applyFont="1" applyFill="1" applyBorder="1" applyAlignment="1">
      <alignment horizontal="center" vertical="center"/>
    </xf>
    <xf numFmtId="14" fontId="29" fillId="8" borderId="9" xfId="1" applyNumberFormat="1" applyFont="1" applyFill="1" applyBorder="1" applyAlignment="1">
      <alignment horizontal="center" vertical="center"/>
    </xf>
    <xf numFmtId="169" fontId="29" fillId="8" borderId="9" xfId="0" applyNumberFormat="1" applyFont="1" applyFill="1" applyBorder="1" applyAlignment="1">
      <alignment horizontal="center" vertical="center"/>
    </xf>
    <xf numFmtId="164" fontId="29" fillId="8" borderId="9" xfId="0" applyNumberFormat="1" applyFont="1" applyFill="1" applyBorder="1" applyAlignment="1">
      <alignment horizontal="center" vertical="center"/>
    </xf>
    <xf numFmtId="14" fontId="29" fillId="8" borderId="9" xfId="2" applyNumberFormat="1" applyFont="1" applyFill="1" applyBorder="1" applyAlignment="1">
      <alignment horizontal="center" vertical="center"/>
    </xf>
    <xf numFmtId="9" fontId="29" fillId="8" borderId="9" xfId="2" applyFont="1" applyFill="1" applyBorder="1" applyAlignment="1">
      <alignment horizontal="center" vertical="center"/>
    </xf>
    <xf numFmtId="1" fontId="29" fillId="8" borderId="9" xfId="2" applyNumberFormat="1" applyFont="1" applyFill="1" applyBorder="1" applyAlignment="1">
      <alignment horizontal="center" vertical="center"/>
    </xf>
    <xf numFmtId="3" fontId="29" fillId="8" borderId="9" xfId="2" applyNumberFormat="1" applyFont="1" applyFill="1" applyBorder="1" applyAlignment="1">
      <alignment horizontal="center" vertical="center"/>
    </xf>
    <xf numFmtId="164" fontId="29" fillId="8" borderId="9" xfId="2" applyNumberFormat="1" applyFont="1" applyFill="1" applyBorder="1" applyAlignment="1">
      <alignment horizontal="center" vertical="center"/>
    </xf>
    <xf numFmtId="3" fontId="30" fillId="0" borderId="0" xfId="0" applyNumberFormat="1" applyFont="1" applyAlignment="1">
      <alignment horizontal="center" vertical="center"/>
    </xf>
    <xf numFmtId="3" fontId="6" fillId="0" borderId="0" xfId="0" applyNumberFormat="1" applyFont="1" applyAlignment="1">
      <alignment horizontal="center" vertical="center" wrapText="1"/>
    </xf>
    <xf numFmtId="3" fontId="9" fillId="0" borderId="0" xfId="0" applyNumberFormat="1" applyFont="1" applyAlignment="1">
      <alignment horizontal="center" vertical="center" wrapText="1"/>
    </xf>
    <xf numFmtId="14" fontId="9" fillId="2" borderId="9" xfId="3" applyNumberFormat="1" applyFont="1" applyBorder="1" applyAlignment="1">
      <alignment horizontal="center" vertical="center" wrapText="1"/>
    </xf>
    <xf numFmtId="0" fontId="6" fillId="8" borderId="9" xfId="0" applyFont="1" applyFill="1" applyBorder="1" applyAlignment="1">
      <alignment horizontal="center" vertical="center"/>
    </xf>
    <xf numFmtId="164" fontId="10" fillId="0" borderId="9" xfId="1" applyNumberFormat="1" applyFont="1" applyBorder="1" applyAlignment="1">
      <alignment horizontal="center" vertical="center" wrapText="1"/>
    </xf>
    <xf numFmtId="4" fontId="0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14" fontId="10" fillId="8" borderId="9" xfId="0" applyNumberFormat="1" applyFont="1" applyFill="1" applyBorder="1" applyAlignment="1">
      <alignment horizontal="center" vertical="center" wrapText="1"/>
    </xf>
    <xf numFmtId="14" fontId="10" fillId="0" borderId="9" xfId="0" applyNumberFormat="1" applyFont="1" applyBorder="1" applyAlignment="1">
      <alignment horizontal="center" vertical="center"/>
    </xf>
    <xf numFmtId="1" fontId="9" fillId="33" borderId="9" xfId="0" applyNumberFormat="1" applyFont="1" applyFill="1" applyBorder="1" applyAlignment="1">
      <alignment horizontal="center" vertical="center"/>
    </xf>
    <xf numFmtId="14" fontId="10" fillId="8" borderId="9" xfId="1" applyNumberFormat="1" applyFont="1" applyFill="1" applyBorder="1" applyAlignment="1">
      <alignment horizontal="center" vertical="center" wrapText="1"/>
    </xf>
    <xf numFmtId="0" fontId="7" fillId="9" borderId="9" xfId="0" applyFont="1" applyFill="1" applyBorder="1" applyAlignment="1">
      <alignment horizontal="center" vertical="center" wrapText="1"/>
    </xf>
    <xf numFmtId="14" fontId="10" fillId="2" borderId="9" xfId="3" applyNumberFormat="1" applyFont="1" applyBorder="1" applyAlignment="1">
      <alignment horizontal="center" vertical="center" wrapText="1"/>
    </xf>
    <xf numFmtId="0" fontId="9" fillId="14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14" borderId="9" xfId="0" applyFont="1" applyFill="1" applyBorder="1" applyAlignment="1">
      <alignment horizontal="center" vertical="center"/>
    </xf>
    <xf numFmtId="0" fontId="9" fillId="4" borderId="1" xfId="5" applyFont="1" applyBorder="1" applyAlignment="1">
      <alignment horizontal="center" vertical="center" wrapText="1"/>
    </xf>
    <xf numFmtId="43" fontId="9" fillId="18" borderId="1" xfId="3" applyNumberFormat="1" applyFont="1" applyFill="1" applyBorder="1" applyAlignment="1">
      <alignment horizontal="center" vertical="center" wrapText="1"/>
    </xf>
    <xf numFmtId="166" fontId="9" fillId="10" borderId="1" xfId="1" applyNumberFormat="1" applyFont="1" applyFill="1" applyBorder="1" applyAlignment="1">
      <alignment horizontal="center" vertical="center" wrapText="1"/>
    </xf>
    <xf numFmtId="164" fontId="9" fillId="23" borderId="9" xfId="5" applyNumberFormat="1" applyFont="1" applyFill="1" applyBorder="1" applyAlignment="1">
      <alignment horizontal="center" vertical="center"/>
    </xf>
    <xf numFmtId="4" fontId="0" fillId="28" borderId="9" xfId="0" applyNumberFormat="1" applyFont="1" applyFill="1" applyBorder="1" applyAlignment="1">
      <alignment horizontal="center" vertical="center"/>
    </xf>
    <xf numFmtId="9" fontId="1" fillId="0" borderId="0" xfId="2" applyFont="1" applyAlignment="1">
      <alignment horizontal="center" vertical="center"/>
    </xf>
    <xf numFmtId="14" fontId="10" fillId="8" borderId="9" xfId="0" applyNumberFormat="1" applyFont="1" applyFill="1" applyBorder="1" applyAlignment="1">
      <alignment horizontal="center" vertical="center"/>
    </xf>
    <xf numFmtId="14" fontId="9" fillId="0" borderId="9" xfId="1" applyNumberFormat="1" applyFont="1" applyFill="1" applyBorder="1" applyAlignment="1">
      <alignment horizontal="center" vertical="center" wrapText="1"/>
    </xf>
    <xf numFmtId="170" fontId="10" fillId="0" borderId="9" xfId="0" applyNumberFormat="1" applyFont="1" applyBorder="1" applyAlignment="1">
      <alignment horizontal="center" vertical="center" wrapText="1"/>
    </xf>
    <xf numFmtId="0" fontId="0" fillId="30" borderId="0" xfId="0" applyFont="1" applyFill="1" applyAlignment="1">
      <alignment horizontal="center" vertical="center"/>
    </xf>
    <xf numFmtId="0" fontId="7" fillId="30" borderId="0" xfId="0" applyFont="1" applyFill="1" applyAlignment="1">
      <alignment horizontal="center" vertical="center"/>
    </xf>
    <xf numFmtId="0" fontId="7" fillId="30" borderId="0" xfId="0" applyFont="1" applyFill="1" applyAlignment="1">
      <alignment horizontal="center" vertical="center" wrapText="1"/>
    </xf>
    <xf numFmtId="41" fontId="0" fillId="30" borderId="0" xfId="0" applyNumberFormat="1" applyFont="1" applyFill="1" applyAlignment="1">
      <alignment horizontal="center" vertical="center"/>
    </xf>
    <xf numFmtId="0" fontId="0" fillId="30" borderId="9" xfId="0" applyFont="1" applyFill="1" applyBorder="1" applyAlignment="1">
      <alignment horizontal="center" vertical="center"/>
    </xf>
    <xf numFmtId="0" fontId="31" fillId="30" borderId="30" xfId="13" applyFont="1" applyFill="1" applyBorder="1"/>
    <xf numFmtId="0" fontId="31" fillId="30" borderId="30" xfId="10" applyFont="1" applyFill="1" applyBorder="1"/>
    <xf numFmtId="14" fontId="9" fillId="40" borderId="9" xfId="0" applyNumberFormat="1" applyFont="1" applyFill="1" applyBorder="1" applyAlignment="1">
      <alignment horizontal="center" vertical="center"/>
    </xf>
    <xf numFmtId="14" fontId="0" fillId="40" borderId="9" xfId="0" applyNumberFormat="1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14" fontId="0" fillId="0" borderId="9" xfId="0" applyNumberFormat="1" applyFont="1" applyBorder="1" applyAlignment="1">
      <alignment horizontal="center" vertical="center"/>
    </xf>
    <xf numFmtId="164" fontId="0" fillId="0" borderId="9" xfId="0" applyNumberFormat="1" applyFont="1" applyBorder="1" applyAlignment="1">
      <alignment horizontal="center" vertical="center"/>
    </xf>
    <xf numFmtId="175" fontId="6" fillId="8" borderId="9" xfId="2" applyNumberFormat="1" applyFont="1" applyFill="1" applyBorder="1" applyAlignment="1">
      <alignment horizontal="center" vertical="center" wrapText="1"/>
    </xf>
    <xf numFmtId="0" fontId="6" fillId="35" borderId="9" xfId="0" applyFont="1" applyFill="1" applyBorder="1" applyAlignment="1">
      <alignment horizontal="center" vertical="center" wrapText="1"/>
    </xf>
    <xf numFmtId="0" fontId="0" fillId="35" borderId="9" xfId="0" applyFont="1" applyFill="1" applyBorder="1" applyAlignment="1">
      <alignment horizontal="center" vertical="center"/>
    </xf>
    <xf numFmtId="1" fontId="0" fillId="35" borderId="9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69" fontId="10" fillId="0" borderId="9" xfId="0" applyNumberFormat="1" applyFont="1" applyBorder="1" applyAlignment="1">
      <alignment horizontal="center" vertical="center"/>
    </xf>
    <xf numFmtId="0" fontId="6" fillId="41" borderId="9" xfId="0" applyFont="1" applyFill="1" applyBorder="1" applyAlignment="1">
      <alignment horizontal="center" vertical="center" wrapText="1"/>
    </xf>
    <xf numFmtId="175" fontId="6" fillId="41" borderId="9" xfId="2" applyNumberFormat="1" applyFont="1" applyFill="1" applyBorder="1" applyAlignment="1">
      <alignment horizontal="center" vertical="center" wrapText="1"/>
    </xf>
    <xf numFmtId="3" fontId="0" fillId="41" borderId="9" xfId="0" applyNumberFormat="1" applyFont="1" applyFill="1" applyBorder="1" applyAlignment="1">
      <alignment horizontal="center" vertical="center"/>
    </xf>
    <xf numFmtId="0" fontId="6" fillId="42" borderId="9" xfId="0" applyFont="1" applyFill="1" applyBorder="1" applyAlignment="1">
      <alignment horizontal="center" vertical="center" wrapText="1"/>
    </xf>
    <xf numFmtId="175" fontId="6" fillId="42" borderId="9" xfId="2" applyNumberFormat="1" applyFont="1" applyFill="1" applyBorder="1" applyAlignment="1">
      <alignment horizontal="center" vertical="center" wrapText="1"/>
    </xf>
    <xf numFmtId="164" fontId="0" fillId="42" borderId="9" xfId="0" applyNumberFormat="1" applyFont="1" applyFill="1" applyBorder="1" applyAlignment="1">
      <alignment horizontal="center" vertical="center"/>
    </xf>
    <xf numFmtId="3" fontId="0" fillId="42" borderId="9" xfId="0" applyNumberFormat="1" applyFont="1" applyFill="1" applyBorder="1" applyAlignment="1">
      <alignment horizontal="center" vertical="center"/>
    </xf>
    <xf numFmtId="174" fontId="6" fillId="42" borderId="9" xfId="2" applyNumberFormat="1" applyFont="1" applyFill="1" applyBorder="1" applyAlignment="1">
      <alignment horizontal="center" vertical="center" wrapText="1"/>
    </xf>
    <xf numFmtId="173" fontId="6" fillId="42" borderId="9" xfId="2" applyNumberFormat="1" applyFont="1" applyFill="1" applyBorder="1" applyAlignment="1">
      <alignment horizontal="center" vertical="center" wrapText="1"/>
    </xf>
    <xf numFmtId="14" fontId="0" fillId="42" borderId="9" xfId="0" applyNumberFormat="1" applyFont="1" applyFill="1" applyBorder="1" applyAlignment="1">
      <alignment horizontal="center" vertical="center"/>
    </xf>
    <xf numFmtId="172" fontId="6" fillId="42" borderId="9" xfId="2" applyNumberFormat="1" applyFont="1" applyFill="1" applyBorder="1" applyAlignment="1">
      <alignment horizontal="center" vertical="center" wrapText="1"/>
    </xf>
    <xf numFmtId="171" fontId="6" fillId="42" borderId="9" xfId="2" applyNumberFormat="1" applyFont="1" applyFill="1" applyBorder="1" applyAlignment="1">
      <alignment horizontal="center" vertical="center" wrapText="1"/>
    </xf>
    <xf numFmtId="0" fontId="0" fillId="41" borderId="9" xfId="0" applyFont="1" applyFill="1" applyBorder="1" applyAlignment="1">
      <alignment horizontal="center" vertical="center"/>
    </xf>
    <xf numFmtId="1" fontId="0" fillId="41" borderId="9" xfId="0" applyNumberFormat="1" applyFont="1" applyFill="1" applyBorder="1" applyAlignment="1">
      <alignment horizontal="center" vertical="center"/>
    </xf>
    <xf numFmtId="164" fontId="0" fillId="8" borderId="31" xfId="0" applyNumberFormat="1" applyFont="1" applyFill="1" applyBorder="1" applyAlignment="1">
      <alignment horizontal="center" vertical="center"/>
    </xf>
    <xf numFmtId="175" fontId="6" fillId="35" borderId="9" xfId="2" applyNumberFormat="1" applyFont="1" applyFill="1" applyBorder="1" applyAlignment="1">
      <alignment horizontal="center" vertical="center" wrapText="1"/>
    </xf>
    <xf numFmtId="1" fontId="0" fillId="35" borderId="30" xfId="0" applyNumberFormat="1" applyFont="1" applyFill="1" applyBorder="1" applyAlignment="1">
      <alignment horizontal="center" vertical="center"/>
    </xf>
    <xf numFmtId="164" fontId="10" fillId="8" borderId="9" xfId="0" applyNumberFormat="1" applyFont="1" applyFill="1" applyBorder="1" applyAlignment="1">
      <alignment horizontal="center" vertical="center"/>
    </xf>
    <xf numFmtId="175" fontId="6" fillId="41" borderId="32" xfId="2" applyNumberFormat="1" applyFont="1" applyFill="1" applyBorder="1" applyAlignment="1">
      <alignment horizontal="center" vertical="center" wrapText="1"/>
    </xf>
    <xf numFmtId="176" fontId="0" fillId="41" borderId="9" xfId="0" applyNumberFormat="1" applyFont="1" applyFill="1" applyBorder="1" applyAlignment="1">
      <alignment horizontal="center" vertical="center"/>
    </xf>
    <xf numFmtId="3" fontId="10" fillId="42" borderId="9" xfId="0" applyNumberFormat="1" applyFont="1" applyFill="1" applyBorder="1" applyAlignment="1">
      <alignment horizontal="center" vertical="center"/>
    </xf>
    <xf numFmtId="0" fontId="7" fillId="35" borderId="9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1" fontId="7" fillId="35" borderId="9" xfId="0" applyNumberFormat="1" applyFont="1" applyFill="1" applyBorder="1" applyAlignment="1">
      <alignment horizontal="center" vertical="center"/>
    </xf>
    <xf numFmtId="3" fontId="7" fillId="35" borderId="9" xfId="0" applyNumberFormat="1" applyFont="1" applyFill="1" applyBorder="1" applyAlignment="1">
      <alignment horizontal="center" vertical="center"/>
    </xf>
    <xf numFmtId="175" fontId="6" fillId="35" borderId="32" xfId="2" applyNumberFormat="1" applyFont="1" applyFill="1" applyBorder="1" applyAlignment="1">
      <alignment horizontal="center" vertical="center" wrapText="1"/>
    </xf>
    <xf numFmtId="3" fontId="9" fillId="42" borderId="9" xfId="0" applyNumberFormat="1" applyFont="1" applyFill="1" applyBorder="1" applyAlignment="1">
      <alignment horizontal="center" vertical="center"/>
    </xf>
    <xf numFmtId="170" fontId="9" fillId="0" borderId="9" xfId="0" applyNumberFormat="1" applyFont="1" applyBorder="1" applyAlignment="1">
      <alignment horizontal="left" vertical="top" wrapText="1"/>
    </xf>
    <xf numFmtId="164" fontId="9" fillId="0" borderId="9" xfId="0" applyNumberFormat="1" applyFont="1" applyBorder="1" applyAlignment="1">
      <alignment horizontal="left" vertical="center" wrapText="1"/>
    </xf>
    <xf numFmtId="164" fontId="6" fillId="0" borderId="9" xfId="0" applyNumberFormat="1" applyFont="1" applyBorder="1" applyAlignment="1">
      <alignment horizontal="left" vertical="top" wrapText="1"/>
    </xf>
    <xf numFmtId="164" fontId="0" fillId="8" borderId="9" xfId="0" applyNumberFormat="1" applyFont="1" applyFill="1" applyBorder="1" applyAlignment="1">
      <alignment vertical="center" wrapText="1"/>
    </xf>
    <xf numFmtId="164" fontId="9" fillId="0" borderId="9" xfId="0" applyNumberFormat="1" applyFont="1" applyBorder="1" applyAlignment="1">
      <alignment vertical="center" wrapText="1"/>
    </xf>
    <xf numFmtId="164" fontId="0" fillId="8" borderId="9" xfId="2" applyNumberFormat="1" applyFont="1" applyFill="1" applyBorder="1" applyAlignment="1">
      <alignment vertical="center" wrapText="1"/>
    </xf>
    <xf numFmtId="164" fontId="0" fillId="8" borderId="9" xfId="0" applyNumberFormat="1" applyFont="1" applyFill="1" applyBorder="1" applyAlignment="1">
      <alignment vertical="top" wrapText="1"/>
    </xf>
    <xf numFmtId="14" fontId="10" fillId="2" borderId="1" xfId="3" applyNumberFormat="1" applyFont="1" applyBorder="1" applyAlignment="1">
      <alignment horizontal="center" vertical="center" wrapText="1"/>
    </xf>
    <xf numFmtId="0" fontId="9" fillId="17" borderId="9" xfId="5" applyFont="1" applyFill="1" applyBorder="1" applyAlignment="1">
      <alignment horizontal="center" vertical="center"/>
    </xf>
    <xf numFmtId="14" fontId="6" fillId="2" borderId="1" xfId="3" applyNumberFormat="1" applyFont="1" applyBorder="1" applyAlignment="1">
      <alignment horizontal="center" vertical="center" wrapText="1"/>
    </xf>
    <xf numFmtId="170" fontId="9" fillId="34" borderId="9" xfId="0" applyNumberFormat="1" applyFont="1" applyFill="1" applyBorder="1" applyAlignment="1">
      <alignment horizontal="center" vertical="center" wrapText="1"/>
    </xf>
    <xf numFmtId="165" fontId="9" fillId="10" borderId="9" xfId="0" applyNumberFormat="1" applyFont="1" applyFill="1" applyBorder="1" applyAlignment="1">
      <alignment horizontal="center" vertical="center"/>
    </xf>
    <xf numFmtId="164" fontId="9" fillId="34" borderId="9" xfId="1" applyNumberFormat="1" applyFont="1" applyFill="1" applyBorder="1" applyAlignment="1">
      <alignment horizontal="left" vertical="center" wrapText="1"/>
    </xf>
    <xf numFmtId="14" fontId="10" fillId="8" borderId="9" xfId="2" applyNumberFormat="1" applyFont="1" applyFill="1" applyBorder="1" applyAlignment="1">
      <alignment horizontal="center" vertical="center" wrapText="1"/>
    </xf>
    <xf numFmtId="14" fontId="9" fillId="10" borderId="9" xfId="0" applyNumberFormat="1" applyFont="1" applyFill="1" applyBorder="1" applyAlignment="1">
      <alignment horizontal="center" vertical="center"/>
    </xf>
    <xf numFmtId="14" fontId="0" fillId="10" borderId="9" xfId="0" applyNumberFormat="1" applyFont="1" applyFill="1" applyBorder="1" applyAlignment="1">
      <alignment horizontal="center" vertical="center"/>
    </xf>
    <xf numFmtId="43" fontId="6" fillId="43" borderId="9" xfId="3" applyNumberFormat="1" applyFont="1" applyFill="1" applyBorder="1" applyAlignment="1">
      <alignment horizontal="center" vertical="center" wrapText="1"/>
    </xf>
    <xf numFmtId="43" fontId="6" fillId="43" borderId="1" xfId="3" applyNumberFormat="1" applyFont="1" applyFill="1" applyBorder="1" applyAlignment="1">
      <alignment horizontal="center" vertical="center" wrapText="1"/>
    </xf>
    <xf numFmtId="0" fontId="6" fillId="43" borderId="1" xfId="3" applyFont="1" applyFill="1" applyBorder="1" applyAlignment="1">
      <alignment horizontal="center" vertical="center" wrapText="1"/>
    </xf>
    <xf numFmtId="0" fontId="0" fillId="14" borderId="0" xfId="0" applyFont="1" applyFill="1" applyAlignment="1">
      <alignment horizontal="center" vertical="center"/>
    </xf>
    <xf numFmtId="164" fontId="9" fillId="44" borderId="9" xfId="6" applyNumberFormat="1" applyFont="1" applyFill="1" applyBorder="1" applyAlignment="1">
      <alignment horizontal="center" vertical="center"/>
    </xf>
    <xf numFmtId="164" fontId="9" fillId="44" borderId="9" xfId="7" applyNumberFormat="1" applyFont="1" applyFill="1" applyBorder="1" applyAlignment="1">
      <alignment horizontal="center" vertical="center"/>
    </xf>
    <xf numFmtId="0" fontId="7" fillId="27" borderId="1" xfId="0" applyFont="1" applyFill="1" applyBorder="1" applyAlignment="1">
      <alignment horizontal="center" vertical="center"/>
    </xf>
    <xf numFmtId="0" fontId="6" fillId="35" borderId="1" xfId="0" applyFont="1" applyFill="1" applyBorder="1" applyAlignment="1">
      <alignment horizontal="center" vertical="center" wrapText="1"/>
    </xf>
    <xf numFmtId="0" fontId="0" fillId="27" borderId="1" xfId="0" applyFont="1" applyFill="1" applyBorder="1" applyAlignment="1">
      <alignment horizontal="center" vertical="center"/>
    </xf>
    <xf numFmtId="0" fontId="9" fillId="27" borderId="1" xfId="0" applyFont="1" applyFill="1" applyBorder="1" applyAlignment="1">
      <alignment horizontal="center" vertical="center" wrapText="1"/>
    </xf>
    <xf numFmtId="0" fontId="0" fillId="35" borderId="1" xfId="0" applyFont="1" applyFill="1" applyBorder="1" applyAlignment="1">
      <alignment horizontal="center" vertical="center"/>
    </xf>
    <xf numFmtId="164" fontId="10" fillId="39" borderId="1" xfId="6" applyNumberFormat="1" applyFont="1" applyFill="1" applyBorder="1" applyAlignment="1">
      <alignment horizontal="center" vertical="center" wrapText="1"/>
    </xf>
    <xf numFmtId="0" fontId="0" fillId="34" borderId="9" xfId="0" applyFont="1" applyFill="1" applyBorder="1" applyAlignment="1">
      <alignment horizontal="center" vertical="center"/>
    </xf>
    <xf numFmtId="164" fontId="0" fillId="34" borderId="31" xfId="0" applyNumberFormat="1" applyFont="1" applyFill="1" applyBorder="1" applyAlignment="1">
      <alignment horizontal="center" vertical="center"/>
    </xf>
    <xf numFmtId="14" fontId="9" fillId="34" borderId="9" xfId="0" applyNumberFormat="1" applyFont="1" applyFill="1" applyBorder="1" applyAlignment="1">
      <alignment horizontal="center" vertical="center" wrapText="1"/>
    </xf>
    <xf numFmtId="14" fontId="0" fillId="34" borderId="9" xfId="2" applyNumberFormat="1" applyFont="1" applyFill="1" applyBorder="1" applyAlignment="1">
      <alignment horizontal="center" vertical="center" wrapText="1"/>
    </xf>
    <xf numFmtId="164" fontId="10" fillId="8" borderId="9" xfId="0" applyNumberFormat="1" applyFont="1" applyFill="1" applyBorder="1" applyAlignment="1">
      <alignment horizontal="center" vertical="center" wrapText="1"/>
    </xf>
    <xf numFmtId="164" fontId="9" fillId="34" borderId="9" xfId="1" applyNumberFormat="1" applyFont="1" applyFill="1" applyBorder="1" applyAlignment="1">
      <alignment horizontal="center" vertical="center" wrapText="1"/>
    </xf>
    <xf numFmtId="0" fontId="9" fillId="14" borderId="9" xfId="0" applyFont="1" applyFill="1" applyBorder="1" applyAlignment="1">
      <alignment horizontal="center" vertical="center" wrapText="1"/>
    </xf>
    <xf numFmtId="4" fontId="9" fillId="26" borderId="9" xfId="0" applyNumberFormat="1" applyFont="1" applyFill="1" applyBorder="1" applyAlignment="1">
      <alignment horizontal="center" vertical="center"/>
    </xf>
    <xf numFmtId="165" fontId="9" fillId="17" borderId="1" xfId="5" applyNumberFormat="1" applyFont="1" applyFill="1" applyBorder="1" applyAlignment="1">
      <alignment horizontal="center" vertical="center"/>
    </xf>
    <xf numFmtId="0" fontId="9" fillId="39" borderId="9" xfId="7" applyFont="1" applyFill="1" applyBorder="1" applyAlignment="1">
      <alignment horizontal="center" vertical="center" wrapText="1"/>
    </xf>
    <xf numFmtId="165" fontId="9" fillId="12" borderId="9" xfId="0" applyNumberFormat="1" applyFont="1" applyFill="1" applyBorder="1" applyAlignment="1">
      <alignment horizontal="center" vertical="center"/>
    </xf>
    <xf numFmtId="165" fontId="9" fillId="24" borderId="9" xfId="0" applyNumberFormat="1" applyFont="1" applyFill="1" applyBorder="1" applyAlignment="1">
      <alignment horizontal="center" vertical="center"/>
    </xf>
    <xf numFmtId="0" fontId="7" fillId="42" borderId="9" xfId="0" applyFont="1" applyFill="1" applyBorder="1" applyAlignment="1">
      <alignment horizontal="center" vertical="center"/>
    </xf>
    <xf numFmtId="0" fontId="9" fillId="35" borderId="1" xfId="0" applyFont="1" applyFill="1" applyBorder="1" applyAlignment="1">
      <alignment horizontal="center" vertical="center" wrapText="1"/>
    </xf>
    <xf numFmtId="9" fontId="1" fillId="8" borderId="1" xfId="2" applyFont="1" applyFill="1" applyBorder="1" applyAlignment="1">
      <alignment horizontal="center" vertical="center"/>
    </xf>
    <xf numFmtId="164" fontId="9" fillId="18" borderId="1" xfId="7" applyNumberFormat="1" applyFont="1" applyFill="1" applyBorder="1" applyAlignment="1">
      <alignment horizontal="center" vertical="center" wrapText="1"/>
    </xf>
    <xf numFmtId="3" fontId="17" fillId="0" borderId="0" xfId="0" applyNumberFormat="1" applyFont="1" applyAlignment="1">
      <alignment horizontal="center" vertical="center"/>
    </xf>
    <xf numFmtId="14" fontId="9" fillId="46" borderId="9" xfId="5" applyNumberFormat="1" applyFont="1" applyFill="1" applyBorder="1" applyAlignment="1">
      <alignment horizontal="center" vertical="center"/>
    </xf>
    <xf numFmtId="14" fontId="9" fillId="46" borderId="9" xfId="5" applyNumberFormat="1" applyFont="1" applyFill="1" applyBorder="1" applyAlignment="1">
      <alignment horizontal="center" vertical="center" wrapText="1"/>
    </xf>
    <xf numFmtId="165" fontId="0" fillId="26" borderId="1" xfId="0" applyNumberFormat="1" applyFont="1" applyFill="1" applyBorder="1" applyAlignment="1">
      <alignment horizontal="center" vertical="center"/>
    </xf>
    <xf numFmtId="165" fontId="0" fillId="26" borderId="9" xfId="0" applyNumberFormat="1" applyFont="1" applyFill="1" applyBorder="1" applyAlignment="1">
      <alignment horizontal="center" vertical="center"/>
    </xf>
    <xf numFmtId="0" fontId="9" fillId="30" borderId="1" xfId="0" applyFont="1" applyFill="1" applyBorder="1" applyAlignment="1">
      <alignment horizontal="center" vertical="center"/>
    </xf>
    <xf numFmtId="0" fontId="0" fillId="30" borderId="1" xfId="0" applyFont="1" applyFill="1" applyBorder="1" applyAlignment="1">
      <alignment horizontal="center" vertical="center"/>
    </xf>
    <xf numFmtId="164" fontId="0" fillId="33" borderId="9" xfId="1" applyNumberFormat="1" applyFont="1" applyFill="1" applyBorder="1" applyAlignment="1">
      <alignment horizontal="center" vertical="center" wrapText="1"/>
    </xf>
    <xf numFmtId="164" fontId="10" fillId="0" borderId="9" xfId="1" applyNumberFormat="1" applyFont="1" applyFill="1" applyBorder="1" applyAlignment="1">
      <alignment horizontal="center" vertical="center"/>
    </xf>
    <xf numFmtId="164" fontId="9" fillId="8" borderId="9" xfId="0" applyNumberFormat="1" applyFont="1" applyFill="1" applyBorder="1" applyAlignment="1">
      <alignment horizontal="center" vertical="center" wrapText="1"/>
    </xf>
    <xf numFmtId="3" fontId="7" fillId="0" borderId="0" xfId="0" applyNumberFormat="1" applyFont="1" applyAlignment="1">
      <alignment horizontal="center" vertical="center"/>
    </xf>
    <xf numFmtId="0" fontId="6" fillId="47" borderId="9" xfId="7" applyFont="1" applyFill="1" applyBorder="1" applyAlignment="1">
      <alignment horizontal="center" vertical="center" wrapText="1"/>
    </xf>
    <xf numFmtId="164" fontId="6" fillId="47" borderId="9" xfId="7" applyNumberFormat="1" applyFont="1" applyFill="1" applyBorder="1" applyAlignment="1">
      <alignment horizontal="center" vertical="center" wrapText="1"/>
    </xf>
    <xf numFmtId="164" fontId="9" fillId="47" borderId="9" xfId="7" applyNumberFormat="1" applyFont="1" applyFill="1" applyBorder="1" applyAlignment="1">
      <alignment horizontal="center" vertical="center" wrapText="1"/>
    </xf>
    <xf numFmtId="164" fontId="9" fillId="47" borderId="9" xfId="7" applyNumberFormat="1" applyFont="1" applyFill="1" applyBorder="1" applyAlignment="1">
      <alignment horizontal="center" vertical="center"/>
    </xf>
    <xf numFmtId="177" fontId="6" fillId="42" borderId="9" xfId="2" applyNumberFormat="1" applyFont="1" applyFill="1" applyBorder="1" applyAlignment="1">
      <alignment horizontal="center" vertical="center" wrapText="1"/>
    </xf>
    <xf numFmtId="178" fontId="6" fillId="42" borderId="9" xfId="2" applyNumberFormat="1" applyFont="1" applyFill="1" applyBorder="1" applyAlignment="1">
      <alignment horizontal="center" vertical="center" wrapText="1"/>
    </xf>
    <xf numFmtId="43" fontId="9" fillId="40" borderId="9" xfId="3" applyNumberFormat="1" applyFont="1" applyFill="1" applyBorder="1" applyAlignment="1">
      <alignment horizontal="center" vertical="center" wrapText="1"/>
    </xf>
    <xf numFmtId="43" fontId="9" fillId="40" borderId="1" xfId="3" applyNumberFormat="1" applyFont="1" applyFill="1" applyBorder="1" applyAlignment="1">
      <alignment horizontal="center" vertical="center" wrapText="1"/>
    </xf>
    <xf numFmtId="14" fontId="9" fillId="40" borderId="1" xfId="3" applyNumberFormat="1" applyFont="1" applyFill="1" applyBorder="1" applyAlignment="1">
      <alignment horizontal="center" vertical="center" wrapText="1"/>
    </xf>
    <xf numFmtId="164" fontId="9" fillId="42" borderId="9" xfId="0" applyNumberFormat="1" applyFont="1" applyFill="1" applyBorder="1" applyAlignment="1">
      <alignment horizontal="center" vertical="center"/>
    </xf>
    <xf numFmtId="170" fontId="9" fillId="40" borderId="1" xfId="3" quotePrefix="1" applyNumberFormat="1" applyFont="1" applyFill="1" applyBorder="1" applyAlignment="1">
      <alignment horizontal="center" vertical="center" wrapText="1"/>
    </xf>
    <xf numFmtId="14" fontId="9" fillId="34" borderId="9" xfId="1" applyNumberFormat="1" applyFont="1" applyFill="1" applyBorder="1" applyAlignment="1">
      <alignment horizontal="center" vertical="center"/>
    </xf>
    <xf numFmtId="170" fontId="6" fillId="0" borderId="9" xfId="0" applyNumberFormat="1" applyFont="1" applyBorder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 wrapText="1"/>
    </xf>
    <xf numFmtId="41" fontId="10" fillId="8" borderId="9" xfId="0" applyNumberFormat="1" applyFont="1" applyFill="1" applyBorder="1" applyAlignment="1">
      <alignment horizontal="center" vertical="center"/>
    </xf>
    <xf numFmtId="14" fontId="9" fillId="10" borderId="9" xfId="1" applyNumberFormat="1" applyFont="1" applyFill="1" applyBorder="1" applyAlignment="1">
      <alignment horizontal="center" vertical="center"/>
    </xf>
    <xf numFmtId="164" fontId="10" fillId="0" borderId="9" xfId="0" applyNumberFormat="1" applyFont="1" applyBorder="1" applyAlignment="1">
      <alignment horizontal="center" vertical="center" wrapText="1"/>
    </xf>
    <xf numFmtId="179" fontId="6" fillId="42" borderId="9" xfId="2" applyNumberFormat="1" applyFont="1" applyFill="1" applyBorder="1" applyAlignment="1">
      <alignment horizontal="center" vertical="center" wrapText="1"/>
    </xf>
    <xf numFmtId="180" fontId="6" fillId="42" borderId="9" xfId="2" applyNumberFormat="1" applyFont="1" applyFill="1" applyBorder="1" applyAlignment="1">
      <alignment horizontal="center" vertical="center" wrapText="1"/>
    </xf>
    <xf numFmtId="0" fontId="0" fillId="42" borderId="9" xfId="0" applyFont="1" applyFill="1" applyBorder="1" applyAlignment="1">
      <alignment horizontal="center" vertical="center"/>
    </xf>
    <xf numFmtId="0" fontId="16" fillId="42" borderId="9" xfId="0" applyFont="1" applyFill="1" applyBorder="1" applyAlignment="1">
      <alignment horizontal="center" vertical="center"/>
    </xf>
    <xf numFmtId="0" fontId="9" fillId="42" borderId="9" xfId="0" applyFont="1" applyFill="1" applyBorder="1" applyAlignment="1">
      <alignment horizontal="center" vertical="center"/>
    </xf>
    <xf numFmtId="0" fontId="7" fillId="47" borderId="0" xfId="0" applyFont="1" applyFill="1" applyAlignment="1">
      <alignment horizontal="center" vertical="center"/>
    </xf>
    <xf numFmtId="9" fontId="9" fillId="10" borderId="9" xfId="2" applyFont="1" applyFill="1" applyBorder="1" applyAlignment="1">
      <alignment horizontal="center" vertical="center" wrapText="1"/>
    </xf>
    <xf numFmtId="0" fontId="9" fillId="9" borderId="9" xfId="3" applyFont="1" applyFill="1" applyBorder="1" applyAlignment="1">
      <alignment horizontal="center" vertical="center" wrapText="1"/>
    </xf>
    <xf numFmtId="0" fontId="9" fillId="31" borderId="1" xfId="8" applyFont="1" applyFill="1" applyBorder="1" applyAlignment="1">
      <alignment horizontal="center" vertical="center"/>
    </xf>
    <xf numFmtId="0" fontId="9" fillId="4" borderId="9" xfId="5" applyFont="1" applyBorder="1" applyAlignment="1">
      <alignment horizontal="center" vertical="center" wrapText="1"/>
    </xf>
    <xf numFmtId="0" fontId="6" fillId="39" borderId="9" xfId="7" applyFont="1" applyFill="1" applyBorder="1" applyAlignment="1">
      <alignment horizontal="center" vertical="center" wrapText="1"/>
    </xf>
    <xf numFmtId="0" fontId="9" fillId="39" borderId="9" xfId="6" applyFont="1" applyFill="1" applyBorder="1" applyAlignment="1">
      <alignment horizontal="center" vertical="center" wrapText="1"/>
    </xf>
    <xf numFmtId="0" fontId="9" fillId="32" borderId="1" xfId="3" applyFont="1" applyFill="1" applyBorder="1" applyAlignment="1">
      <alignment horizontal="center" vertical="center" wrapText="1"/>
    </xf>
    <xf numFmtId="43" fontId="9" fillId="18" borderId="9" xfId="3" applyNumberFormat="1" applyFont="1" applyFill="1" applyBorder="1" applyAlignment="1">
      <alignment horizontal="center" vertical="center" wrapText="1"/>
    </xf>
    <xf numFmtId="43" fontId="9" fillId="10" borderId="9" xfId="1" applyFont="1" applyFill="1" applyBorder="1" applyAlignment="1">
      <alignment horizontal="center" vertical="center" wrapText="1"/>
    </xf>
    <xf numFmtId="0" fontId="9" fillId="9" borderId="9" xfId="8" applyFont="1" applyFill="1" applyBorder="1" applyAlignment="1">
      <alignment horizontal="center" vertical="center" wrapText="1"/>
    </xf>
    <xf numFmtId="14" fontId="9" fillId="9" borderId="1" xfId="3" applyNumberFormat="1" applyFont="1" applyFill="1" applyBorder="1" applyAlignment="1">
      <alignment horizontal="center" vertical="center" wrapText="1"/>
    </xf>
    <xf numFmtId="164" fontId="9" fillId="9" borderId="9" xfId="8" applyNumberFormat="1" applyFont="1" applyFill="1" applyBorder="1" applyAlignment="1">
      <alignment horizontal="center" vertical="center" wrapText="1"/>
    </xf>
    <xf numFmtId="164" fontId="9" fillId="44" borderId="1" xfId="7" applyNumberFormat="1" applyFont="1" applyFill="1" applyBorder="1" applyAlignment="1">
      <alignment horizontal="center" vertical="center"/>
    </xf>
    <xf numFmtId="164" fontId="9" fillId="45" borderId="1" xfId="6" applyNumberFormat="1" applyFont="1" applyFill="1" applyBorder="1" applyAlignment="1">
      <alignment horizontal="center" vertical="center"/>
    </xf>
    <xf numFmtId="164" fontId="9" fillId="44" borderId="1" xfId="6" applyNumberFormat="1" applyFont="1" applyFill="1" applyBorder="1" applyAlignment="1">
      <alignment horizontal="center" vertical="center"/>
    </xf>
    <xf numFmtId="164" fontId="9" fillId="2" borderId="1" xfId="3" applyNumberFormat="1" applyFont="1" applyBorder="1" applyAlignment="1">
      <alignment horizontal="center" vertical="center" wrapText="1"/>
    </xf>
    <xf numFmtId="14" fontId="9" fillId="34" borderId="1" xfId="3" applyNumberFormat="1" applyFont="1" applyFill="1" applyBorder="1" applyAlignment="1">
      <alignment horizontal="center" vertical="center" wrapText="1"/>
    </xf>
    <xf numFmtId="166" fontId="0" fillId="10" borderId="1" xfId="0" applyNumberFormat="1" applyFont="1" applyFill="1" applyBorder="1" applyAlignment="1">
      <alignment horizontal="center" vertical="center"/>
    </xf>
    <xf numFmtId="166" fontId="9" fillId="16" borderId="1" xfId="1" applyNumberFormat="1" applyFont="1" applyFill="1" applyBorder="1" applyAlignment="1">
      <alignment horizontal="center" vertical="center" wrapText="1"/>
    </xf>
    <xf numFmtId="165" fontId="0" fillId="48" borderId="9" xfId="0" applyNumberFormat="1" applyFont="1" applyFill="1" applyBorder="1" applyAlignment="1">
      <alignment horizontal="center" vertical="center"/>
    </xf>
    <xf numFmtId="164" fontId="0" fillId="34" borderId="0" xfId="0" applyNumberFormat="1" applyFont="1" applyFill="1" applyBorder="1" applyAlignment="1">
      <alignment horizontal="center" vertical="center"/>
    </xf>
    <xf numFmtId="164" fontId="6" fillId="34" borderId="9" xfId="0" applyNumberFormat="1" applyFont="1" applyFill="1" applyBorder="1" applyAlignment="1">
      <alignment horizontal="left" vertical="top" wrapText="1"/>
    </xf>
    <xf numFmtId="164" fontId="9" fillId="40" borderId="9" xfId="0" applyNumberFormat="1" applyFont="1" applyFill="1" applyBorder="1" applyAlignment="1">
      <alignment horizontal="center" vertical="center"/>
    </xf>
    <xf numFmtId="43" fontId="6" fillId="40" borderId="1" xfId="3" applyNumberFormat="1" applyFont="1" applyFill="1" applyBorder="1" applyAlignment="1">
      <alignment horizontal="center" vertical="center" wrapText="1"/>
    </xf>
    <xf numFmtId="0" fontId="7" fillId="8" borderId="0" xfId="0" applyFont="1" applyFill="1" applyBorder="1" applyAlignment="1">
      <alignment horizontal="center"/>
    </xf>
    <xf numFmtId="0" fontId="6" fillId="8" borderId="0" xfId="0" applyFont="1" applyFill="1" applyAlignment="1">
      <alignment horizontal="center"/>
    </xf>
    <xf numFmtId="0" fontId="7" fillId="8" borderId="0" xfId="0" applyFont="1" applyFill="1" applyAlignment="1">
      <alignment horizontal="center" vertical="center"/>
    </xf>
    <xf numFmtId="0" fontId="7" fillId="8" borderId="0" xfId="0" applyFont="1" applyFill="1" applyAlignment="1">
      <alignment horizontal="center" vertical="center" wrapText="1"/>
    </xf>
    <xf numFmtId="0" fontId="6" fillId="8" borderId="0" xfId="0" applyFont="1" applyFill="1" applyAlignment="1">
      <alignment vertical="center"/>
    </xf>
    <xf numFmtId="0" fontId="6" fillId="8" borderId="6" xfId="0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/>
    </xf>
    <xf numFmtId="3" fontId="7" fillId="9" borderId="9" xfId="0" applyNumberFormat="1" applyFont="1" applyFill="1" applyBorder="1" applyAlignment="1">
      <alignment horizontal="center" vertical="center"/>
    </xf>
    <xf numFmtId="0" fontId="7" fillId="8" borderId="0" xfId="0" applyFont="1" applyFill="1" applyBorder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7" fillId="0" borderId="0" xfId="0" applyFont="1" applyAlignment="1">
      <alignment horizontal="center" vertical="center" wrapText="1"/>
    </xf>
    <xf numFmtId="9" fontId="7" fillId="0" borderId="0" xfId="2" applyFont="1" applyAlignment="1">
      <alignment horizontal="center" vertical="center" wrapText="1"/>
    </xf>
    <xf numFmtId="170" fontId="9" fillId="33" borderId="9" xfId="0" applyNumberFormat="1" applyFont="1" applyFill="1" applyBorder="1" applyAlignment="1">
      <alignment horizontal="left" vertical="top" wrapText="1"/>
    </xf>
    <xf numFmtId="164" fontId="9" fillId="40" borderId="9" xfId="0" applyNumberFormat="1" applyFont="1" applyFill="1" applyBorder="1" applyAlignment="1">
      <alignment vertical="center" wrapText="1"/>
    </xf>
    <xf numFmtId="164" fontId="0" fillId="47" borderId="9" xfId="0" applyNumberFormat="1" applyFont="1" applyFill="1" applyBorder="1" applyAlignment="1">
      <alignment horizontal="center" vertical="center" wrapText="1"/>
    </xf>
    <xf numFmtId="0" fontId="9" fillId="39" borderId="1" xfId="7" applyFont="1" applyFill="1" applyBorder="1" applyAlignment="1">
      <alignment horizontal="center" vertical="center"/>
    </xf>
    <xf numFmtId="0" fontId="6" fillId="39" borderId="9" xfId="6" applyFont="1" applyFill="1" applyBorder="1" applyAlignment="1">
      <alignment horizontal="center" vertical="center" wrapText="1"/>
    </xf>
    <xf numFmtId="165" fontId="7" fillId="11" borderId="1" xfId="0" applyNumberFormat="1" applyFont="1" applyFill="1" applyBorder="1" applyAlignment="1">
      <alignment horizontal="center" vertical="center"/>
    </xf>
    <xf numFmtId="165" fontId="7" fillId="24" borderId="1" xfId="0" applyNumberFormat="1" applyFont="1" applyFill="1" applyBorder="1" applyAlignment="1">
      <alignment horizontal="center" vertical="center"/>
    </xf>
    <xf numFmtId="165" fontId="6" fillId="11" borderId="1" xfId="0" applyNumberFormat="1" applyFont="1" applyFill="1" applyBorder="1" applyAlignment="1">
      <alignment horizontal="center" vertical="center"/>
    </xf>
    <xf numFmtId="0" fontId="7" fillId="33" borderId="9" xfId="0" applyFont="1" applyFill="1" applyBorder="1" applyAlignment="1">
      <alignment horizontal="center" vertical="center"/>
    </xf>
    <xf numFmtId="3" fontId="9" fillId="33" borderId="9" xfId="0" applyNumberFormat="1" applyFont="1" applyFill="1" applyBorder="1" applyAlignment="1">
      <alignment horizontal="center" vertical="center"/>
    </xf>
    <xf numFmtId="164" fontId="9" fillId="33" borderId="9" xfId="0" applyNumberFormat="1" applyFont="1" applyFill="1" applyBorder="1" applyAlignment="1">
      <alignment horizontal="center" vertical="center"/>
    </xf>
    <xf numFmtId="1" fontId="7" fillId="33" borderId="9" xfId="0" applyNumberFormat="1" applyFont="1" applyFill="1" applyBorder="1" applyAlignment="1">
      <alignment horizontal="center" vertical="center"/>
    </xf>
    <xf numFmtId="14" fontId="9" fillId="33" borderId="9" xfId="0" applyNumberFormat="1" applyFont="1" applyFill="1" applyBorder="1" applyAlignment="1">
      <alignment horizontal="center" vertical="center"/>
    </xf>
    <xf numFmtId="1" fontId="9" fillId="8" borderId="1" xfId="0" applyNumberFormat="1" applyFont="1" applyFill="1" applyBorder="1" applyAlignment="1">
      <alignment horizontal="center" vertical="center"/>
    </xf>
    <xf numFmtId="1" fontId="0" fillId="8" borderId="1" xfId="0" applyNumberFormat="1" applyFont="1" applyFill="1" applyBorder="1" applyAlignment="1">
      <alignment horizontal="center" vertical="center"/>
    </xf>
    <xf numFmtId="0" fontId="7" fillId="0" borderId="21" xfId="0" applyFont="1" applyBorder="1"/>
    <xf numFmtId="0" fontId="0" fillId="0" borderId="0" xfId="0" applyBorder="1"/>
    <xf numFmtId="0" fontId="0" fillId="0" borderId="34" xfId="0" applyBorder="1"/>
    <xf numFmtId="0" fontId="0" fillId="0" borderId="21" xfId="0" applyBorder="1"/>
    <xf numFmtId="0" fontId="7" fillId="50" borderId="0" xfId="0" applyFont="1" applyFill="1" applyBorder="1" applyAlignment="1">
      <alignment horizontal="center" vertical="center"/>
    </xf>
    <xf numFmtId="0" fontId="7" fillId="51" borderId="0" xfId="0" applyFont="1" applyFill="1" applyBorder="1" applyAlignment="1">
      <alignment horizontal="center" vertical="center"/>
    </xf>
    <xf numFmtId="0" fontId="0" fillId="10" borderId="21" xfId="0" applyFont="1" applyFill="1" applyBorder="1" applyAlignment="1">
      <alignment horizontal="center" vertical="center"/>
    </xf>
    <xf numFmtId="0" fontId="0" fillId="50" borderId="0" xfId="0" applyFill="1" applyBorder="1" applyAlignment="1">
      <alignment horizontal="center" vertical="center"/>
    </xf>
    <xf numFmtId="0" fontId="0" fillId="51" borderId="0" xfId="0" applyFill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3" fontId="7" fillId="50" borderId="0" xfId="0" applyNumberFormat="1" applyFont="1" applyFill="1" applyBorder="1" applyAlignment="1">
      <alignment horizontal="center"/>
    </xf>
    <xf numFmtId="3" fontId="7" fillId="51" borderId="0" xfId="0" applyNumberFormat="1" applyFont="1" applyFill="1" applyBorder="1" applyAlignment="1">
      <alignment horizontal="center"/>
    </xf>
    <xf numFmtId="0" fontId="0" fillId="0" borderId="28" xfId="0" applyBorder="1"/>
    <xf numFmtId="0" fontId="0" fillId="0" borderId="35" xfId="0" applyBorder="1"/>
    <xf numFmtId="0" fontId="0" fillId="0" borderId="36" xfId="0" applyBorder="1"/>
    <xf numFmtId="1" fontId="6" fillId="8" borderId="1" xfId="0" applyNumberFormat="1" applyFont="1" applyFill="1" applyBorder="1" applyAlignment="1">
      <alignment horizontal="center"/>
    </xf>
    <xf numFmtId="0" fontId="4" fillId="49" borderId="12" xfId="0" applyFont="1" applyFill="1" applyBorder="1"/>
    <xf numFmtId="0" fontId="4" fillId="49" borderId="33" xfId="0" applyFont="1" applyFill="1" applyBorder="1"/>
    <xf numFmtId="0" fontId="7" fillId="0" borderId="2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0" fillId="37" borderId="21" xfId="0" applyFill="1" applyBorder="1"/>
    <xf numFmtId="3" fontId="0" fillId="37" borderId="0" xfId="0" applyNumberFormat="1" applyFill="1" applyBorder="1" applyAlignment="1">
      <alignment horizontal="center" vertical="center"/>
    </xf>
    <xf numFmtId="0" fontId="0" fillId="52" borderId="21" xfId="0" applyFill="1" applyBorder="1"/>
    <xf numFmtId="3" fontId="0" fillId="52" borderId="0" xfId="0" applyNumberFormat="1" applyFill="1" applyBorder="1" applyAlignment="1">
      <alignment horizontal="center" vertical="center"/>
    </xf>
    <xf numFmtId="0" fontId="0" fillId="54" borderId="21" xfId="0" applyFill="1" applyBorder="1"/>
    <xf numFmtId="3" fontId="0" fillId="54" borderId="0" xfId="0" applyNumberFormat="1" applyFill="1" applyBorder="1" applyAlignment="1">
      <alignment horizontal="center" vertical="center"/>
    </xf>
    <xf numFmtId="0" fontId="0" fillId="53" borderId="21" xfId="0" applyFill="1" applyBorder="1"/>
    <xf numFmtId="3" fontId="0" fillId="53" borderId="0" xfId="0" applyNumberFormat="1" applyFill="1" applyBorder="1" applyAlignment="1">
      <alignment horizontal="center" vertical="center"/>
    </xf>
    <xf numFmtId="3" fontId="7" fillId="0" borderId="0" xfId="0" applyNumberFormat="1" applyFont="1" applyBorder="1" applyAlignment="1">
      <alignment horizontal="center"/>
    </xf>
    <xf numFmtId="0" fontId="33" fillId="49" borderId="17" xfId="0" applyFont="1" applyFill="1" applyBorder="1"/>
    <xf numFmtId="9" fontId="0" fillId="12" borderId="9" xfId="2" applyFont="1" applyFill="1" applyBorder="1" applyAlignment="1">
      <alignment horizontal="center" vertical="center"/>
    </xf>
    <xf numFmtId="0" fontId="33" fillId="49" borderId="17" xfId="0" applyFont="1" applyFill="1" applyBorder="1" applyAlignment="1">
      <alignment horizontal="center"/>
    </xf>
    <xf numFmtId="0" fontId="33" fillId="49" borderId="12" xfId="0" applyFont="1" applyFill="1" applyBorder="1" applyAlignment="1">
      <alignment horizontal="center"/>
    </xf>
    <xf numFmtId="0" fontId="7" fillId="15" borderId="17" xfId="0" applyFont="1" applyFill="1" applyBorder="1" applyAlignment="1">
      <alignment horizontal="center" vertical="center"/>
    </xf>
    <xf numFmtId="0" fontId="7" fillId="15" borderId="12" xfId="0" applyFont="1" applyFill="1" applyBorder="1" applyAlignment="1">
      <alignment horizontal="center" vertical="center"/>
    </xf>
    <xf numFmtId="0" fontId="7" fillId="15" borderId="18" xfId="0" applyFont="1" applyFill="1" applyBorder="1" applyAlignment="1">
      <alignment horizontal="center" vertical="center"/>
    </xf>
    <xf numFmtId="0" fontId="7" fillId="15" borderId="11" xfId="0" applyFont="1" applyFill="1" applyBorder="1" applyAlignment="1">
      <alignment horizontal="center" vertical="center"/>
    </xf>
    <xf numFmtId="0" fontId="9" fillId="31" borderId="9" xfId="8" applyFont="1" applyFill="1" applyBorder="1" applyAlignment="1">
      <alignment horizontal="center" vertical="center"/>
    </xf>
    <xf numFmtId="41" fontId="0" fillId="14" borderId="1" xfId="0" applyNumberFormat="1" applyFont="1" applyFill="1" applyBorder="1" applyAlignment="1">
      <alignment horizontal="center" vertical="center"/>
    </xf>
    <xf numFmtId="14" fontId="9" fillId="34" borderId="0" xfId="0" applyNumberFormat="1" applyFont="1" applyFill="1" applyBorder="1" applyAlignment="1">
      <alignment horizontal="center" vertical="center"/>
    </xf>
    <xf numFmtId="0" fontId="9" fillId="32" borderId="9" xfId="3" applyFont="1" applyFill="1" applyBorder="1" applyAlignment="1">
      <alignment horizontal="center" vertical="center" wrapText="1"/>
    </xf>
    <xf numFmtId="14" fontId="6" fillId="2" borderId="9" xfId="3" applyNumberFormat="1" applyFont="1" applyBorder="1" applyAlignment="1">
      <alignment horizontal="center" vertical="center" wrapText="1"/>
    </xf>
    <xf numFmtId="165" fontId="9" fillId="25" borderId="9" xfId="0" applyNumberFormat="1" applyFont="1" applyFill="1" applyBorder="1" applyAlignment="1">
      <alignment horizontal="center" vertical="center"/>
    </xf>
    <xf numFmtId="0" fontId="33" fillId="49" borderId="6" xfId="0" applyFont="1" applyFill="1" applyBorder="1"/>
    <xf numFmtId="0" fontId="0" fillId="0" borderId="21" xfId="0" applyBorder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3" fontId="0" fillId="0" borderId="0" xfId="0" applyNumberFormat="1" applyBorder="1"/>
  </cellXfs>
  <cellStyles count="14">
    <cellStyle name="40 % - Accent2" xfId="6" builtinId="35"/>
    <cellStyle name="60 % - Accent1" xfId="5" builtinId="32"/>
    <cellStyle name="60 % - Accent2" xfId="7" builtinId="36"/>
    <cellStyle name="60 % - Accent3" xfId="8" builtinId="40"/>
    <cellStyle name="Milliers" xfId="1" builtinId="3"/>
    <cellStyle name="Milliers 2" xfId="12"/>
    <cellStyle name="Monétaire" xfId="9" builtinId="4"/>
    <cellStyle name="Neutre" xfId="4" builtinId="28"/>
    <cellStyle name="Normal" xfId="0" builtinId="0"/>
    <cellStyle name="Normal 2" xfId="11"/>
    <cellStyle name="Normal_Liste programmation logts PCA NBL v2014" xfId="10"/>
    <cellStyle name="Normal_Prévisionnel HONO PAC 2012 V4 fev 2012" xfId="13"/>
    <cellStyle name="Pourcentage" xfId="2" builtinId="5"/>
    <cellStyle name="Satisfaisant" xfId="3" builtinId="26"/>
  </cellStyles>
  <dxfs count="87">
    <dxf>
      <numFmt numFmtId="3" formatCode="#,##0"/>
    </dxf>
    <dxf>
      <alignment horizontal="center" vertical="center" textRotation="0" wrapText="0" indent="0" justifyLastLine="0" shrinkToFit="0" readingOrder="0"/>
    </dxf>
    <dxf>
      <fill>
        <patternFill>
          <bgColor rgb="FFFFFF00"/>
        </patternFill>
      </fill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5" formatCode="#,##0\ _€"/>
    </dxf>
    <dxf>
      <numFmt numFmtId="165" formatCode="#,##0\ _€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numFmt numFmtId="33" formatCode="_-* #,##0\ _€_-;\-* #,##0\ _€_-;_-* &quot;-&quot;\ _€_-;_-@_-"/>
    </dxf>
    <dxf>
      <numFmt numFmtId="33" formatCode="_-* #,##0\ _€_-;\-* #,##0\ _€_-;_-* &quot;-&quot;\ _€_-;_-@_-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numFmt numFmtId="4" formatCode="#,##0.00"/>
    </dxf>
    <dxf>
      <numFmt numFmtId="165" formatCode="#,##0\ _€"/>
    </dxf>
  </dxfs>
  <tableStyles count="0" defaultTableStyle="TableStyleMedium2" defaultPivotStyle="PivotStyleLight16"/>
  <colors>
    <mruColors>
      <color rgb="FF0099FF"/>
      <color rgb="FFFF0066"/>
      <color rgb="FFFF5050"/>
      <color rgb="FFFFFF99"/>
      <color rgb="FF08E61D"/>
      <color rgb="FF006600"/>
      <color rgb="FFDA46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3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'Evolution LBU'!$J$12</c:f>
              <c:strCache>
                <c:ptCount val="1"/>
                <c:pt idx="0">
                  <c:v>LBU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numRef>
              <c:f>'Evolution LBU'!$B$13:$B$16</c:f>
              <c:numCache>
                <c:formatCode>#\ ##0\ _€</c:formatCode>
                <c:ptCount val="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</c:numCache>
            </c:numRef>
          </c:cat>
          <c:val>
            <c:numRef>
              <c:f>'Evolution LBU'!$J$13:$J$16</c:f>
              <c:numCache>
                <c:formatCode>#\ ##0\ _€</c:formatCode>
                <c:ptCount val="4"/>
                <c:pt idx="0">
                  <c:v>2195018</c:v>
                </c:pt>
                <c:pt idx="1">
                  <c:v>4402986</c:v>
                </c:pt>
                <c:pt idx="2">
                  <c:v>5283242</c:v>
                </c:pt>
                <c:pt idx="3">
                  <c:v>6171983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482-4891-A837-701A740CCEF1}"/>
            </c:ext>
          </c:extLst>
        </c:ser>
        <c:ser>
          <c:idx val="1"/>
          <c:order val="1"/>
          <c:tx>
            <c:strRef>
              <c:f>'Evolution LBU'!$K$12</c:f>
              <c:strCache>
                <c:ptCount val="1"/>
                <c:pt idx="0">
                  <c:v>DEFISC</c:v>
                </c:pt>
              </c:strCache>
            </c:strRef>
          </c:tx>
          <c:spPr>
            <a:solidFill>
              <a:schemeClr val="accent6"/>
            </a:solidFill>
          </c:spPr>
          <c:invertIfNegative val="0"/>
          <c:cat>
            <c:numRef>
              <c:f>'Evolution LBU'!$B$13:$B$16</c:f>
              <c:numCache>
                <c:formatCode>#\ ##0\ _€</c:formatCode>
                <c:ptCount val="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</c:numCache>
            </c:numRef>
          </c:cat>
          <c:val>
            <c:numRef>
              <c:f>'Evolution LBU'!$K$13:$K$16</c:f>
              <c:numCache>
                <c:formatCode>#\ ##0\ _€</c:formatCode>
                <c:ptCount val="4"/>
                <c:pt idx="0">
                  <c:v>6482672</c:v>
                </c:pt>
                <c:pt idx="1">
                  <c:v>18405941.670000002</c:v>
                </c:pt>
                <c:pt idx="2">
                  <c:v>26693447.799999997</c:v>
                </c:pt>
                <c:pt idx="3">
                  <c:v>16687302.203087028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E482-4891-A837-701A740CCE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45944336"/>
        <c:axId val="245946688"/>
      </c:barChart>
      <c:lineChart>
        <c:grouping val="stacked"/>
        <c:varyColors val="0"/>
        <c:ser>
          <c:idx val="2"/>
          <c:order val="2"/>
          <c:tx>
            <c:strRef>
              <c:f>'Evolution LBU'!$L$12</c:f>
              <c:strCache>
                <c:ptCount val="1"/>
                <c:pt idx="0">
                  <c:v>Moyenne / an</c:v>
                </c:pt>
              </c:strCache>
            </c:strRef>
          </c:tx>
          <c:spPr>
            <a:ln w="47625">
              <a:solidFill>
                <a:schemeClr val="tx1"/>
              </a:solidFill>
            </a:ln>
          </c:spPr>
          <c:marker>
            <c:symbol val="none"/>
          </c:marker>
          <c:cat>
            <c:numRef>
              <c:f>'Evolution LBU'!$B$13:$B$16</c:f>
              <c:numCache>
                <c:formatCode>#\ ##0\ _€</c:formatCode>
                <c:ptCount val="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</c:numCache>
            </c:numRef>
          </c:cat>
          <c:val>
            <c:numRef>
              <c:f>'Evolution LBU'!$L$13:$L$16</c:f>
              <c:numCache>
                <c:formatCode>#\ ##0\ _€</c:formatCode>
                <c:ptCount val="4"/>
                <c:pt idx="0">
                  <c:v>21580648.168271758</c:v>
                </c:pt>
                <c:pt idx="1">
                  <c:v>21580648.168271758</c:v>
                </c:pt>
                <c:pt idx="2">
                  <c:v>21580648.168271758</c:v>
                </c:pt>
                <c:pt idx="3">
                  <c:v>21580648.168271758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E482-4891-A837-701A740CCE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5944336"/>
        <c:axId val="245946688"/>
      </c:lineChart>
      <c:catAx>
        <c:axId val="245944336"/>
        <c:scaling>
          <c:orientation val="minMax"/>
        </c:scaling>
        <c:delete val="0"/>
        <c:axPos val="b"/>
        <c:numFmt formatCode="#\ ##0\ _€" sourceLinked="1"/>
        <c:majorTickMark val="out"/>
        <c:minorTickMark val="none"/>
        <c:tickLblPos val="nextTo"/>
        <c:crossAx val="245946688"/>
        <c:crosses val="autoZero"/>
        <c:auto val="1"/>
        <c:lblAlgn val="ctr"/>
        <c:lblOffset val="100"/>
        <c:noMultiLvlLbl val="0"/>
      </c:catAx>
      <c:valAx>
        <c:axId val="245946688"/>
        <c:scaling>
          <c:orientation val="minMax"/>
        </c:scaling>
        <c:delete val="0"/>
        <c:axPos val="l"/>
        <c:majorGridlines/>
        <c:numFmt formatCode="#\ ##0\ _€" sourceLinked="1"/>
        <c:majorTickMark val="out"/>
        <c:minorTickMark val="none"/>
        <c:tickLblPos val="nextTo"/>
        <c:crossAx val="2459443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1.3149999999999999" header="0.3" footer="0.3"/>
    <c:pageSetup paperSize="9"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'Evolution LBU'!$C$12</c:f>
              <c:strCache>
                <c:ptCount val="1"/>
                <c:pt idx="0">
                  <c:v>LBU / lgt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'Evolution LBU'!$B$13:$B$16</c:f>
              <c:numCache>
                <c:formatCode>#\ ##0\ _€</c:formatCode>
                <c:ptCount val="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</c:numCache>
            </c:numRef>
          </c:cat>
          <c:val>
            <c:numRef>
              <c:f>'Evolution LBU'!$C$13:$C$16</c:f>
              <c:numCache>
                <c:formatCode>#\ ##0\ _€</c:formatCode>
                <c:ptCount val="4"/>
                <c:pt idx="0">
                  <c:v>16380.731343283582</c:v>
                </c:pt>
                <c:pt idx="1">
                  <c:v>11007.465</c:v>
                </c:pt>
                <c:pt idx="2">
                  <c:v>10524.386454183266</c:v>
                </c:pt>
                <c:pt idx="3">
                  <c:v>18368.997023809523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EB5-4303-9A87-B0885E7E6DC2}"/>
            </c:ext>
          </c:extLst>
        </c:ser>
        <c:ser>
          <c:idx val="2"/>
          <c:order val="2"/>
          <c:tx>
            <c:strRef>
              <c:f>'Evolution LBU'!$E$12</c:f>
              <c:strCache>
                <c:ptCount val="1"/>
                <c:pt idx="0">
                  <c:v>DEFISC / lgt</c:v>
                </c:pt>
              </c:strCache>
            </c:strRef>
          </c:tx>
          <c:spPr>
            <a:solidFill>
              <a:schemeClr val="accent6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'Evolution LBU'!$B$13:$B$16</c:f>
              <c:numCache>
                <c:formatCode>#\ ##0\ _€</c:formatCode>
                <c:ptCount val="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</c:numCache>
            </c:numRef>
          </c:cat>
          <c:val>
            <c:numRef>
              <c:f>'Evolution LBU'!$E$13:$E$16</c:f>
              <c:numCache>
                <c:formatCode>#\ ##0\ _€</c:formatCode>
                <c:ptCount val="4"/>
                <c:pt idx="0">
                  <c:v>48378.149253731346</c:v>
                </c:pt>
                <c:pt idx="1">
                  <c:v>46014.854175000008</c:v>
                </c:pt>
                <c:pt idx="2">
                  <c:v>53174.19880478087</c:v>
                </c:pt>
                <c:pt idx="3">
                  <c:v>49664.589890139963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8EB5-4303-9A87-B0885E7E6DC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overlap val="100"/>
        <c:axId val="207475744"/>
        <c:axId val="315248376"/>
      </c:barChart>
      <c:lineChart>
        <c:grouping val="standard"/>
        <c:varyColors val="0"/>
        <c:ser>
          <c:idx val="1"/>
          <c:order val="1"/>
          <c:tx>
            <c:strRef>
              <c:f>'Evolution LBU'!$D$12</c:f>
              <c:strCache>
                <c:ptCount val="1"/>
                <c:pt idx="0">
                  <c:v>Moyenne LBU / an</c:v>
                </c:pt>
              </c:strCache>
            </c:strRef>
          </c:tx>
          <c:spPr>
            <a:ln w="38100">
              <a:solidFill>
                <a:schemeClr val="tx1">
                  <a:lumMod val="65000"/>
                  <a:lumOff val="35000"/>
                </a:schemeClr>
              </a:solidFill>
            </a:ln>
          </c:spPr>
          <c:marker>
            <c:symbol val="none"/>
          </c:marker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8EB5-4303-9A87-B0885E7E6DC2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8EB5-4303-9A87-B0885E7E6DC2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4-8EB5-4303-9A87-B0885E7E6DC2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0.1256431085838072"/>
                  <c:y val="-8.3333333333333412E-2"/>
                </c:manualLayout>
              </c:layout>
              <c:spPr/>
              <c:txPr>
                <a:bodyPr/>
                <a:lstStyle/>
                <a:p>
                  <a:pPr>
                    <a:defRPr sz="1200" b="1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8EB5-4303-9A87-B0885E7E6DC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'Evolution LBU'!$B$13:$B$16</c:f>
              <c:numCache>
                <c:formatCode>#\ ##0\ _€</c:formatCode>
                <c:ptCount val="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</c:numCache>
            </c:numRef>
          </c:cat>
          <c:val>
            <c:numRef>
              <c:f>'Evolution LBU'!$D$13:$D$16</c:f>
              <c:numCache>
                <c:formatCode>#\ ##0\ _€</c:formatCode>
                <c:ptCount val="4"/>
                <c:pt idx="0">
                  <c:v>13158.330174927114</c:v>
                </c:pt>
                <c:pt idx="1">
                  <c:v>13158.330174927114</c:v>
                </c:pt>
                <c:pt idx="2">
                  <c:v>13158.330174927114</c:v>
                </c:pt>
                <c:pt idx="3">
                  <c:v>13158.330174927114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6-8EB5-4303-9A87-B0885E7E6DC2}"/>
            </c:ext>
          </c:extLst>
        </c:ser>
        <c:ser>
          <c:idx val="3"/>
          <c:order val="3"/>
          <c:tx>
            <c:strRef>
              <c:f>'Evolution LBU'!$F$12</c:f>
              <c:strCache>
                <c:ptCount val="1"/>
                <c:pt idx="0">
                  <c:v>Moyenne DEFISC / an</c:v>
                </c:pt>
              </c:strCache>
            </c:strRef>
          </c:tx>
          <c:marker>
            <c:symbol val="none"/>
          </c:marker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n-US" sz="1200" b="1">
                        <a:solidFill>
                          <a:srgbClr val="7030A0"/>
                        </a:solidFill>
                      </a:rPr>
                      <a:t>  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8EB5-4303-9A87-B0885E7E6DC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8-8EB5-4303-9A87-B0885E7E6DC2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en-US" sz="1200" b="1">
                        <a:solidFill>
                          <a:srgbClr val="7030A0"/>
                        </a:solidFill>
                      </a:rPr>
                      <a:t> 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8EB5-4303-9A87-B0885E7E6DC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0.13322502030869213"/>
                  <c:y val="-9.259259259259262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A-8EB5-4303-9A87-B0885E7E6DC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1">
                    <a:solidFill>
                      <a:srgbClr val="7030A0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'Evolution LBU'!$B$13:$B$16</c:f>
              <c:numCache>
                <c:formatCode>#\ ##0\ _€</c:formatCode>
                <c:ptCount val="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</c:numCache>
            </c:numRef>
          </c:cat>
          <c:val>
            <c:numRef>
              <c:f>'Evolution LBU'!$F$13:$F$16</c:f>
              <c:numCache>
                <c:formatCode>#\ ##0\ _€</c:formatCode>
                <c:ptCount val="4"/>
                <c:pt idx="0">
                  <c:v>49759.011423532822</c:v>
                </c:pt>
                <c:pt idx="1">
                  <c:v>49759.011423532822</c:v>
                </c:pt>
                <c:pt idx="2">
                  <c:v>49759.011423532822</c:v>
                </c:pt>
                <c:pt idx="3">
                  <c:v>49759.011423532822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B-8EB5-4303-9A87-B0885E7E6DC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07475744"/>
        <c:axId val="315248376"/>
      </c:lineChart>
      <c:catAx>
        <c:axId val="207475744"/>
        <c:scaling>
          <c:orientation val="minMax"/>
        </c:scaling>
        <c:delete val="0"/>
        <c:axPos val="b"/>
        <c:numFmt formatCode="#\ ##0\ _€" sourceLinked="1"/>
        <c:majorTickMark val="none"/>
        <c:minorTickMark val="none"/>
        <c:tickLblPos val="nextTo"/>
        <c:crossAx val="315248376"/>
        <c:crosses val="autoZero"/>
        <c:auto val="1"/>
        <c:lblAlgn val="ctr"/>
        <c:lblOffset val="100"/>
        <c:noMultiLvlLbl val="0"/>
      </c:catAx>
      <c:valAx>
        <c:axId val="315248376"/>
        <c:scaling>
          <c:orientation val="minMax"/>
        </c:scaling>
        <c:delete val="0"/>
        <c:axPos val="l"/>
        <c:numFmt formatCode="#\ ##0\ _€" sourceLinked="1"/>
        <c:majorTickMark val="none"/>
        <c:minorTickMark val="none"/>
        <c:tickLblPos val="nextTo"/>
        <c:crossAx val="207475744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Mises en chantier -</a:t>
            </a:r>
            <a:r>
              <a:rPr lang="fr-FR" baseline="0"/>
              <a:t> Livraisons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SYNTHESE!$B$3</c:f>
              <c:strCache>
                <c:ptCount val="1"/>
                <c:pt idx="0">
                  <c:v>Mises en chantier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SYNTHESE!$A$4:$A$13</c:f>
              <c:numCache>
                <c:formatCode>General</c:formatCode>
                <c:ptCount val="10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</c:numCache>
            </c:numRef>
          </c:cat>
          <c:val>
            <c:numRef>
              <c:f>SYNTHESE!$B$4:$B$13</c:f>
              <c:numCache>
                <c:formatCode>General</c:formatCode>
                <c:ptCount val="10"/>
                <c:pt idx="0">
                  <c:v>127</c:v>
                </c:pt>
                <c:pt idx="1">
                  <c:v>64</c:v>
                </c:pt>
                <c:pt idx="2">
                  <c:v>400</c:v>
                </c:pt>
                <c:pt idx="3">
                  <c:v>278</c:v>
                </c:pt>
                <c:pt idx="4">
                  <c:v>222</c:v>
                </c:pt>
                <c:pt idx="5">
                  <c:v>48</c:v>
                </c:pt>
                <c:pt idx="6">
                  <c:v>531</c:v>
                </c:pt>
                <c:pt idx="7">
                  <c:v>329</c:v>
                </c:pt>
                <c:pt idx="8">
                  <c:v>0</c:v>
                </c:pt>
                <c:pt idx="9">
                  <c:v>48</c:v>
                </c:pt>
              </c:numCache>
            </c:numRef>
          </c:val>
        </c:ser>
        <c:ser>
          <c:idx val="1"/>
          <c:order val="1"/>
          <c:tx>
            <c:strRef>
              <c:f>SYNTHESE!$C$3</c:f>
              <c:strCache>
                <c:ptCount val="1"/>
                <c:pt idx="0">
                  <c:v>Livraisons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SYNTHESE!$A$4:$A$13</c:f>
              <c:numCache>
                <c:formatCode>General</c:formatCode>
                <c:ptCount val="10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</c:numCache>
            </c:numRef>
          </c:cat>
          <c:val>
            <c:numRef>
              <c:f>SYNTHESE!$C$4:$C$13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70</c:v>
                </c:pt>
                <c:pt idx="3">
                  <c:v>226</c:v>
                </c:pt>
                <c:pt idx="4">
                  <c:v>181</c:v>
                </c:pt>
                <c:pt idx="5">
                  <c:v>244</c:v>
                </c:pt>
                <c:pt idx="6">
                  <c:v>235</c:v>
                </c:pt>
                <c:pt idx="7">
                  <c:v>431</c:v>
                </c:pt>
                <c:pt idx="8">
                  <c:v>361</c:v>
                </c:pt>
                <c:pt idx="9">
                  <c:v>244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15242888"/>
        <c:axId val="315245632"/>
      </c:barChart>
      <c:catAx>
        <c:axId val="315242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5245632"/>
        <c:crosses val="autoZero"/>
        <c:auto val="1"/>
        <c:lblAlgn val="ctr"/>
        <c:lblOffset val="100"/>
        <c:noMultiLvlLbl val="0"/>
      </c:catAx>
      <c:valAx>
        <c:axId val="315245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52428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Taille des opérations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965963659687233"/>
          <c:y val="0.39984818251693788"/>
          <c:w val="0.78068072680625533"/>
          <c:h val="0.4954957419840878"/>
        </c:manualLayout>
      </c:layout>
      <c:pie3DChart>
        <c:varyColors val="1"/>
        <c:ser>
          <c:idx val="0"/>
          <c:order val="0"/>
          <c:tx>
            <c:strRef>
              <c:f>SYNTHESE!$B$19</c:f>
              <c:strCache>
                <c:ptCount val="1"/>
                <c:pt idx="0">
                  <c:v>Nbre opération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layout>
                <c:manualLayout>
                  <c:x val="2.5723472668810133E-2"/>
                  <c:y val="-8.0808132225010931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0.20578778135048234"/>
                  <c:y val="0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SYNTHESE!$A$20:$A$23</c:f>
              <c:strCache>
                <c:ptCount val="4"/>
                <c:pt idx="0">
                  <c:v>0-19</c:v>
                </c:pt>
                <c:pt idx="1">
                  <c:v>20-39</c:v>
                </c:pt>
                <c:pt idx="2">
                  <c:v>40-59</c:v>
                </c:pt>
                <c:pt idx="3">
                  <c:v>&gt;60</c:v>
                </c:pt>
              </c:strCache>
            </c:strRef>
          </c:cat>
          <c:val>
            <c:numRef>
              <c:f>SYNTHESE!$B$20:$B$23</c:f>
              <c:numCache>
                <c:formatCode>#,##0</c:formatCode>
                <c:ptCount val="4"/>
                <c:pt idx="0">
                  <c:v>30</c:v>
                </c:pt>
                <c:pt idx="1">
                  <c:v>45</c:v>
                </c:pt>
                <c:pt idx="2">
                  <c:v>20</c:v>
                </c:pt>
                <c:pt idx="3">
                  <c:v>9</c:v>
                </c:pt>
              </c:numCache>
            </c:numRef>
          </c:val>
        </c:ser>
        <c:ser>
          <c:idx val="1"/>
          <c:order val="1"/>
          <c:tx>
            <c:strRef>
              <c:f>SYNTHESE!$C$19</c:f>
              <c:strCache>
                <c:ptCount val="1"/>
                <c:pt idx="0">
                  <c:v>Logements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SYNTHESE!$A$20:$A$23</c:f>
              <c:strCache>
                <c:ptCount val="4"/>
                <c:pt idx="0">
                  <c:v>0-19</c:v>
                </c:pt>
                <c:pt idx="1">
                  <c:v>20-39</c:v>
                </c:pt>
                <c:pt idx="2">
                  <c:v>40-59</c:v>
                </c:pt>
                <c:pt idx="3">
                  <c:v>&gt;60</c:v>
                </c:pt>
              </c:strCache>
            </c:strRef>
          </c:cat>
          <c:val>
            <c:numRef>
              <c:f>SYNTHESE!$C$20:$C$23</c:f>
              <c:numCache>
                <c:formatCode>#,##0</c:formatCode>
                <c:ptCount val="4"/>
                <c:pt idx="0">
                  <c:v>367</c:v>
                </c:pt>
                <c:pt idx="1">
                  <c:v>996</c:v>
                </c:pt>
                <c:pt idx="2">
                  <c:v>902</c:v>
                </c:pt>
                <c:pt idx="3">
                  <c:v>668</c:v>
                </c:pt>
              </c:numCache>
            </c:numRef>
          </c:val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SYNTHESE!$B$27</c:f>
              <c:strCache>
                <c:ptCount val="1"/>
                <c:pt idx="0">
                  <c:v>€ / lgt</c:v>
                </c:pt>
              </c:strCache>
            </c:strRef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SYNTHESE!$A$28:$A$37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xVal>
          <c:yVal>
            <c:numRef>
              <c:f>SYNTHESE!$B$28:$B$37</c:f>
              <c:numCache>
                <c:formatCode>#,##0</c:formatCode>
                <c:ptCount val="10"/>
                <c:pt idx="0">
                  <c:v>22486.427017543861</c:v>
                </c:pt>
                <c:pt idx="1">
                  <c:v>20668.457089552237</c:v>
                </c:pt>
                <c:pt idx="2">
                  <c:v>13425.0975</c:v>
                </c:pt>
                <c:pt idx="3">
                  <c:v>13305.622828784119</c:v>
                </c:pt>
                <c:pt idx="4">
                  <c:v>16551.254335260117</c:v>
                </c:pt>
                <c:pt idx="5">
                  <c:v>12771.682692307691</c:v>
                </c:pt>
                <c:pt idx="6">
                  <c:v>14886.459546925566</c:v>
                </c:pt>
                <c:pt idx="7">
                  <c:v>4284.153498871332</c:v>
                </c:pt>
                <c:pt idx="8">
                  <c:v>1212.121212121212</c:v>
                </c:pt>
                <c:pt idx="9">
                  <c:v>4638.260869565217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2102112"/>
        <c:axId val="322107208"/>
      </c:scatterChart>
      <c:valAx>
        <c:axId val="3221021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2107208"/>
        <c:crosses val="autoZero"/>
        <c:crossBetween val="midCat"/>
      </c:valAx>
      <c:valAx>
        <c:axId val="322107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21021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7605-43A1-B7E4-E1FA294F6245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7605-43A1-B7E4-E1FA294F6245}"/>
              </c:ext>
            </c:extLst>
          </c:dPt>
          <c:dPt>
            <c:idx val="2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7605-43A1-B7E4-E1FA294F624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val>
            <c:numRef>
              <c:f>'Données initiales'!$BF$122:$BF$124</c:f>
              <c:numCache>
                <c:formatCode>General</c:formatCode>
                <c:ptCount val="3"/>
                <c:pt idx="1">
                  <c:v>623</c:v>
                </c:pt>
                <c:pt idx="2">
                  <c:v>174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584-4E87-A599-9935FA10FCC4}"/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 xmlns:c16="http://schemas.microsoft.com/office/drawing/2014/chart" xmlns:c16r2="http://schemas.microsoft.com/office/drawing/2015/06/chart">
                      <c:ext uri="{02D57815-91ED-43cb-92C2-25804820EDAC}">
                        <c15:formulaRef>
                          <c15:sqref>'Données initiales'!$BE$122:$BE$124</c15:sqref>
                        </c15:formulaRef>
                      </c:ext>
                    </c:extLst>
                    <c:strCache>
                      <c:ptCount val="3"/>
                      <c:pt idx="1">
                        <c:v>TRAVAUX</c:v>
                      </c:pt>
                      <c:pt idx="2">
                        <c:v>GPA</c:v>
                      </c:pt>
                    </c:strCache>
                  </c:strRef>
                </c15:cat>
              </c15:filteredCategoryTitle>
            </c:ext>
          </c:extLst>
        </c:ser>
        <c:dLbls>
          <c:dLblPos val="inEnd"/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Opérations en cours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Feuil4!$L$20:$M$20</c:f>
              <c:strCache>
                <c:ptCount val="2"/>
                <c:pt idx="0">
                  <c:v>Etudes</c:v>
                </c:pt>
                <c:pt idx="1">
                  <c:v>Travaux</c:v>
                </c:pt>
              </c:strCache>
            </c:strRef>
          </c:cat>
          <c:val>
            <c:numRef>
              <c:f>Feuil4!$L$21:$M$21</c:f>
              <c:numCache>
                <c:formatCode>General</c:formatCode>
                <c:ptCount val="2"/>
                <c:pt idx="0">
                  <c:v>915</c:v>
                </c:pt>
                <c:pt idx="1">
                  <c:v>725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9C7-4ADE-B3BC-7F967A2A6374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Feuil4!$M$34</c:f>
              <c:strCache>
                <c:ptCount val="1"/>
                <c:pt idx="0">
                  <c:v>Total général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Feuil4!$L$35:$L$42</c:f>
              <c:strCache>
                <c:ptCount val="8"/>
                <c:pt idx="0">
                  <c:v>AGA</c:v>
                </c:pt>
                <c:pt idx="1">
                  <c:v>FHO</c:v>
                </c:pt>
                <c:pt idx="2">
                  <c:v>FMA</c:v>
                </c:pt>
                <c:pt idx="3">
                  <c:v>JMO</c:v>
                </c:pt>
                <c:pt idx="4">
                  <c:v>MFL</c:v>
                </c:pt>
                <c:pt idx="5">
                  <c:v>SFE</c:v>
                </c:pt>
                <c:pt idx="6">
                  <c:v>SGM</c:v>
                </c:pt>
                <c:pt idx="7">
                  <c:v>YFR</c:v>
                </c:pt>
              </c:strCache>
            </c:strRef>
          </c:cat>
          <c:val>
            <c:numRef>
              <c:f>Feuil4!$M$35:$M$42</c:f>
              <c:numCache>
                <c:formatCode>General</c:formatCode>
                <c:ptCount val="8"/>
                <c:pt idx="0">
                  <c:v>81</c:v>
                </c:pt>
                <c:pt idx="1">
                  <c:v>233</c:v>
                </c:pt>
                <c:pt idx="2">
                  <c:v>278</c:v>
                </c:pt>
                <c:pt idx="3">
                  <c:v>186</c:v>
                </c:pt>
                <c:pt idx="4">
                  <c:v>272</c:v>
                </c:pt>
                <c:pt idx="5">
                  <c:v>301</c:v>
                </c:pt>
                <c:pt idx="6">
                  <c:v>75</c:v>
                </c:pt>
                <c:pt idx="7">
                  <c:v>214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CA7-4A17-8059-17158F5237D6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Feuil4!$M$55</c:f>
              <c:strCache>
                <c:ptCount val="1"/>
                <c:pt idx="0">
                  <c:v>Etudes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Feuil4!$L$56:$L$63</c:f>
              <c:strCache>
                <c:ptCount val="8"/>
                <c:pt idx="0">
                  <c:v>AGA</c:v>
                </c:pt>
                <c:pt idx="1">
                  <c:v>FHO</c:v>
                </c:pt>
                <c:pt idx="2">
                  <c:v>FMA</c:v>
                </c:pt>
                <c:pt idx="3">
                  <c:v>JMO</c:v>
                </c:pt>
                <c:pt idx="4">
                  <c:v>MFL</c:v>
                </c:pt>
                <c:pt idx="5">
                  <c:v>SFE</c:v>
                </c:pt>
                <c:pt idx="6">
                  <c:v>SGM</c:v>
                </c:pt>
                <c:pt idx="7">
                  <c:v>YFR</c:v>
                </c:pt>
              </c:strCache>
            </c:strRef>
          </c:cat>
          <c:val>
            <c:numRef>
              <c:f>Feuil4!$M$56:$M$63</c:f>
              <c:numCache>
                <c:formatCode>General</c:formatCode>
                <c:ptCount val="8"/>
                <c:pt idx="0">
                  <c:v>54</c:v>
                </c:pt>
                <c:pt idx="1">
                  <c:v>165</c:v>
                </c:pt>
                <c:pt idx="2">
                  <c:v>195</c:v>
                </c:pt>
                <c:pt idx="3">
                  <c:v>186</c:v>
                </c:pt>
                <c:pt idx="4">
                  <c:v>163</c:v>
                </c:pt>
                <c:pt idx="5">
                  <c:v>67</c:v>
                </c:pt>
                <c:pt idx="6">
                  <c:v>0</c:v>
                </c:pt>
                <c:pt idx="7">
                  <c:v>85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36-4D64-AB65-C50BA3FF8106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Feuil4!$M$69</c:f>
              <c:strCache>
                <c:ptCount val="1"/>
                <c:pt idx="0">
                  <c:v>Tvx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Feuil4!$L$70:$L$77</c:f>
              <c:strCache>
                <c:ptCount val="8"/>
                <c:pt idx="0">
                  <c:v>AGA</c:v>
                </c:pt>
                <c:pt idx="1">
                  <c:v>FHO</c:v>
                </c:pt>
                <c:pt idx="2">
                  <c:v>FMA</c:v>
                </c:pt>
                <c:pt idx="3">
                  <c:v>JMO</c:v>
                </c:pt>
                <c:pt idx="4">
                  <c:v>MFL</c:v>
                </c:pt>
                <c:pt idx="5">
                  <c:v>SFE</c:v>
                </c:pt>
                <c:pt idx="6">
                  <c:v>SGM</c:v>
                </c:pt>
                <c:pt idx="7">
                  <c:v>YFR</c:v>
                </c:pt>
              </c:strCache>
            </c:strRef>
          </c:cat>
          <c:val>
            <c:numRef>
              <c:f>Feuil4!$M$70:$M$77</c:f>
              <c:numCache>
                <c:formatCode>General</c:formatCode>
                <c:ptCount val="8"/>
                <c:pt idx="0">
                  <c:v>27</c:v>
                </c:pt>
                <c:pt idx="1">
                  <c:v>68</c:v>
                </c:pt>
                <c:pt idx="2">
                  <c:v>83</c:v>
                </c:pt>
                <c:pt idx="3">
                  <c:v>0</c:v>
                </c:pt>
                <c:pt idx="4">
                  <c:v>109</c:v>
                </c:pt>
                <c:pt idx="5">
                  <c:v>234</c:v>
                </c:pt>
                <c:pt idx="6">
                  <c:v>75</c:v>
                </c:pt>
                <c:pt idx="7">
                  <c:v>129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B8F-4E9F-B172-60681EBB6037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2"/>
          <c:order val="0"/>
          <c:tx>
            <c:strRef>
              <c:f>Feuil4!$O$87:$O$88</c:f>
              <c:strCache>
                <c:ptCount val="2"/>
                <c:pt idx="0">
                  <c:v>Etudes</c:v>
                </c:pt>
                <c:pt idx="1">
                  <c:v>%</c:v>
                </c:pt>
              </c:strCache>
            </c:strRef>
          </c:tx>
          <c:invertIfNegative val="0"/>
          <c:cat>
            <c:strRef>
              <c:f>Feuil4!$L$89:$L$96</c:f>
              <c:strCache>
                <c:ptCount val="8"/>
                <c:pt idx="0">
                  <c:v>JMO</c:v>
                </c:pt>
                <c:pt idx="1">
                  <c:v>FHO</c:v>
                </c:pt>
                <c:pt idx="2">
                  <c:v>FMA</c:v>
                </c:pt>
                <c:pt idx="3">
                  <c:v>AGA</c:v>
                </c:pt>
                <c:pt idx="4">
                  <c:v>MFL</c:v>
                </c:pt>
                <c:pt idx="5">
                  <c:v>YFR</c:v>
                </c:pt>
                <c:pt idx="6">
                  <c:v>SFE</c:v>
                </c:pt>
                <c:pt idx="7">
                  <c:v>SGM</c:v>
                </c:pt>
              </c:strCache>
            </c:strRef>
          </c:cat>
          <c:val>
            <c:numRef>
              <c:f>Feuil4!$O$89:$O$96</c:f>
              <c:numCache>
                <c:formatCode>0%</c:formatCode>
                <c:ptCount val="8"/>
                <c:pt idx="0">
                  <c:v>1</c:v>
                </c:pt>
                <c:pt idx="1">
                  <c:v>0.70815450643776823</c:v>
                </c:pt>
                <c:pt idx="2">
                  <c:v>0.70143884892086328</c:v>
                </c:pt>
                <c:pt idx="3">
                  <c:v>0.66666666666666663</c:v>
                </c:pt>
                <c:pt idx="4">
                  <c:v>0.59926470588235292</c:v>
                </c:pt>
                <c:pt idx="5">
                  <c:v>0.39719626168224298</c:v>
                </c:pt>
                <c:pt idx="6">
                  <c:v>0.22259136212624583</c:v>
                </c:pt>
                <c:pt idx="7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713-473F-BF1E-35A11A9609BA}"/>
            </c:ext>
          </c:extLst>
        </c:ser>
        <c:ser>
          <c:idx val="5"/>
          <c:order val="1"/>
          <c:tx>
            <c:strRef>
              <c:f>Feuil4!$R$87:$R$88</c:f>
              <c:strCache>
                <c:ptCount val="2"/>
                <c:pt idx="0">
                  <c:v>Tvx</c:v>
                </c:pt>
                <c:pt idx="1">
                  <c:v>%</c:v>
                </c:pt>
              </c:strCache>
            </c:strRef>
          </c:tx>
          <c:invertIfNegative val="0"/>
          <c:cat>
            <c:strRef>
              <c:f>Feuil4!$L$89:$L$96</c:f>
              <c:strCache>
                <c:ptCount val="8"/>
                <c:pt idx="0">
                  <c:v>JMO</c:v>
                </c:pt>
                <c:pt idx="1">
                  <c:v>FHO</c:v>
                </c:pt>
                <c:pt idx="2">
                  <c:v>FMA</c:v>
                </c:pt>
                <c:pt idx="3">
                  <c:v>AGA</c:v>
                </c:pt>
                <c:pt idx="4">
                  <c:v>MFL</c:v>
                </c:pt>
                <c:pt idx="5">
                  <c:v>YFR</c:v>
                </c:pt>
                <c:pt idx="6">
                  <c:v>SFE</c:v>
                </c:pt>
                <c:pt idx="7">
                  <c:v>SGM</c:v>
                </c:pt>
              </c:strCache>
            </c:strRef>
          </c:cat>
          <c:val>
            <c:numRef>
              <c:f>Feuil4!$R$89:$R$96</c:f>
              <c:numCache>
                <c:formatCode>0%</c:formatCode>
                <c:ptCount val="8"/>
                <c:pt idx="0">
                  <c:v>0</c:v>
                </c:pt>
                <c:pt idx="1">
                  <c:v>0.29184549356223177</c:v>
                </c:pt>
                <c:pt idx="2">
                  <c:v>0.29856115107913667</c:v>
                </c:pt>
                <c:pt idx="3">
                  <c:v>0.33333333333333331</c:v>
                </c:pt>
                <c:pt idx="4">
                  <c:v>0.40073529411764708</c:v>
                </c:pt>
                <c:pt idx="5">
                  <c:v>0.60280373831775702</c:v>
                </c:pt>
                <c:pt idx="6">
                  <c:v>0.77740863787375414</c:v>
                </c:pt>
                <c:pt idx="7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1713-473F-BF1E-35A11A9609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15244456"/>
        <c:axId val="315243672"/>
      </c:barChart>
      <c:catAx>
        <c:axId val="3152444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15243672"/>
        <c:crosses val="autoZero"/>
        <c:auto val="1"/>
        <c:lblAlgn val="ctr"/>
        <c:lblOffset val="100"/>
        <c:noMultiLvlLbl val="0"/>
      </c:catAx>
      <c:valAx>
        <c:axId val="31524367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3152444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400" i="1"/>
              <a:t>Evolution de la répartition par bassin</a:t>
            </a:r>
          </a:p>
        </c:rich>
      </c:tx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'Répartition bassin'!$B$18</c:f>
              <c:strCache>
                <c:ptCount val="1"/>
                <c:pt idx="0">
                  <c:v>CA SUD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'Répartition bassin'!$C$17:$K$17</c:f>
              <c:numCache>
                <c:formatCode>General</c:formatCode>
                <c:ptCount val="9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</c:numCache>
            </c:numRef>
          </c:cat>
          <c:val>
            <c:numRef>
              <c:f>'Répartition bassin'!$C$18:$K$18</c:f>
              <c:numCache>
                <c:formatCode>General</c:formatCode>
                <c:ptCount val="9"/>
                <c:pt idx="0">
                  <c:v>77</c:v>
                </c:pt>
                <c:pt idx="1">
                  <c:v>323</c:v>
                </c:pt>
                <c:pt idx="2">
                  <c:v>188</c:v>
                </c:pt>
                <c:pt idx="3">
                  <c:v>118</c:v>
                </c:pt>
                <c:pt idx="4">
                  <c:v>114</c:v>
                </c:pt>
                <c:pt idx="5">
                  <c:v>214</c:v>
                </c:pt>
                <c:pt idx="6">
                  <c:v>367</c:v>
                </c:pt>
                <c:pt idx="7">
                  <c:v>564</c:v>
                </c:pt>
                <c:pt idx="8">
                  <c:v>358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03E-410B-9459-98531CC7C3AB}"/>
            </c:ext>
          </c:extLst>
        </c:ser>
        <c:ser>
          <c:idx val="1"/>
          <c:order val="1"/>
          <c:tx>
            <c:strRef>
              <c:f>'Répartition bassin'!$B$19</c:f>
              <c:strCache>
                <c:ptCount val="1"/>
                <c:pt idx="0">
                  <c:v>CIVIS</c:v>
                </c:pt>
              </c:strCache>
            </c:strRef>
          </c:tx>
          <c:spPr>
            <a:solidFill>
              <a:srgbClr val="00B0F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'Répartition bassin'!$C$17:$K$17</c:f>
              <c:numCache>
                <c:formatCode>General</c:formatCode>
                <c:ptCount val="9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</c:numCache>
            </c:numRef>
          </c:cat>
          <c:val>
            <c:numRef>
              <c:f>'Répartition bassin'!$C$19:$K$19</c:f>
              <c:numCache>
                <c:formatCode>General</c:formatCode>
                <c:ptCount val="9"/>
                <c:pt idx="0">
                  <c:v>23</c:v>
                </c:pt>
                <c:pt idx="1">
                  <c:v>21</c:v>
                </c:pt>
                <c:pt idx="2">
                  <c:v>0</c:v>
                </c:pt>
                <c:pt idx="3">
                  <c:v>55</c:v>
                </c:pt>
                <c:pt idx="4">
                  <c:v>76</c:v>
                </c:pt>
                <c:pt idx="5">
                  <c:v>81</c:v>
                </c:pt>
                <c:pt idx="6">
                  <c:v>370</c:v>
                </c:pt>
                <c:pt idx="7">
                  <c:v>88</c:v>
                </c:pt>
                <c:pt idx="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E03E-410B-9459-98531CC7C3AB}"/>
            </c:ext>
          </c:extLst>
        </c:ser>
        <c:ser>
          <c:idx val="2"/>
          <c:order val="2"/>
          <c:tx>
            <c:strRef>
              <c:f>'Répartition bassin'!$B$20</c:f>
              <c:strCache>
                <c:ptCount val="1"/>
                <c:pt idx="0">
                  <c:v>TCO</c:v>
                </c:pt>
              </c:strCache>
            </c:strRef>
          </c:tx>
          <c:spPr>
            <a:solidFill>
              <a:srgbClr val="08E61D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'Répartition bassin'!$C$17:$K$17</c:f>
              <c:numCache>
                <c:formatCode>General</c:formatCode>
                <c:ptCount val="9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</c:numCache>
            </c:numRef>
          </c:cat>
          <c:val>
            <c:numRef>
              <c:f>'Répartition bassin'!$C$20:$K$20</c:f>
              <c:numCache>
                <c:formatCode>General</c:formatCode>
                <c:ptCount val="9"/>
                <c:pt idx="0">
                  <c:v>34</c:v>
                </c:pt>
                <c:pt idx="1">
                  <c:v>56</c:v>
                </c:pt>
                <c:pt idx="2">
                  <c:v>215</c:v>
                </c:pt>
                <c:pt idx="3">
                  <c:v>0</c:v>
                </c:pt>
                <c:pt idx="4">
                  <c:v>18</c:v>
                </c:pt>
                <c:pt idx="5">
                  <c:v>14</c:v>
                </c:pt>
                <c:pt idx="6">
                  <c:v>198</c:v>
                </c:pt>
                <c:pt idx="7">
                  <c:v>223</c:v>
                </c:pt>
                <c:pt idx="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E03E-410B-9459-98531CC7C3A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95"/>
        <c:overlap val="100"/>
        <c:axId val="315248768"/>
        <c:axId val="315242104"/>
      </c:barChart>
      <c:catAx>
        <c:axId val="315248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15242104"/>
        <c:crosses val="autoZero"/>
        <c:auto val="1"/>
        <c:lblAlgn val="ctr"/>
        <c:lblOffset val="100"/>
        <c:noMultiLvlLbl val="0"/>
      </c:catAx>
      <c:valAx>
        <c:axId val="31524210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315248768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C595-472A-B794-5A8A25856083}"/>
              </c:ext>
            </c:extLst>
          </c:dPt>
          <c:dPt>
            <c:idx val="1"/>
            <c:bubble3D val="0"/>
            <c:spPr>
              <a:solidFill>
                <a:srgbClr val="00B0F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C595-472A-B794-5A8A25856083}"/>
              </c:ext>
            </c:extLst>
          </c:dPt>
          <c:dPt>
            <c:idx val="2"/>
            <c:bubble3D val="0"/>
            <c:spPr>
              <a:solidFill>
                <a:srgbClr val="08E61D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C595-472A-B794-5A8A25856083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'Répartition bassin'!$B$26:$B$28</c:f>
              <c:strCache>
                <c:ptCount val="3"/>
                <c:pt idx="0">
                  <c:v>CA SUD</c:v>
                </c:pt>
                <c:pt idx="1">
                  <c:v>CIVIS</c:v>
                </c:pt>
                <c:pt idx="2">
                  <c:v>TCO</c:v>
                </c:pt>
              </c:strCache>
            </c:strRef>
          </c:cat>
          <c:val>
            <c:numRef>
              <c:f>'Répartition bassin'!$C$26:$C$28</c:f>
              <c:numCache>
                <c:formatCode>General</c:formatCode>
                <c:ptCount val="3"/>
                <c:pt idx="0">
                  <c:v>206</c:v>
                </c:pt>
                <c:pt idx="1">
                  <c:v>339</c:v>
                </c:pt>
                <c:pt idx="2">
                  <c:v>198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C595-472A-B794-5A8A25856083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3.xml"/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616403</xdr:colOff>
      <xdr:row>6</xdr:row>
      <xdr:rowOff>112258</xdr:rowOff>
    </xdr:from>
    <xdr:to>
      <xdr:col>23</xdr:col>
      <xdr:colOff>616403</xdr:colOff>
      <xdr:row>19</xdr:row>
      <xdr:rowOff>188458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809625</xdr:colOff>
      <xdr:row>18</xdr:row>
      <xdr:rowOff>128587</xdr:rowOff>
    </xdr:from>
    <xdr:to>
      <xdr:col>10</xdr:col>
      <xdr:colOff>85725</xdr:colOff>
      <xdr:row>33</xdr:row>
      <xdr:rowOff>14287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2</xdr:row>
      <xdr:rowOff>0</xdr:rowOff>
    </xdr:from>
    <xdr:to>
      <xdr:col>9</xdr:col>
      <xdr:colOff>409575</xdr:colOff>
      <xdr:row>14</xdr:row>
      <xdr:rowOff>47625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590550</xdr:colOff>
      <xdr:row>16</xdr:row>
      <xdr:rowOff>57150</xdr:rowOff>
    </xdr:from>
    <xdr:to>
      <xdr:col>8</xdr:col>
      <xdr:colOff>504825</xdr:colOff>
      <xdr:row>24</xdr:row>
      <xdr:rowOff>104774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612322</xdr:colOff>
      <xdr:row>26</xdr:row>
      <xdr:rowOff>79601</xdr:rowOff>
    </xdr:from>
    <xdr:to>
      <xdr:col>8</xdr:col>
      <xdr:colOff>498021</xdr:colOff>
      <xdr:row>36</xdr:row>
      <xdr:rowOff>131989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50</xdr:col>
      <xdr:colOff>576399</xdr:colOff>
      <xdr:row>124</xdr:row>
      <xdr:rowOff>149785</xdr:rowOff>
    </xdr:from>
    <xdr:to>
      <xdr:col>60</xdr:col>
      <xdr:colOff>1050854</xdr:colOff>
      <xdr:row>142</xdr:row>
      <xdr:rowOff>78422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121</xdr:row>
          <xdr:rowOff>209550</xdr:rowOff>
        </xdr:from>
        <xdr:to>
          <xdr:col>0</xdr:col>
          <xdr:colOff>1943100</xdr:colOff>
          <xdr:row>122</xdr:row>
          <xdr:rowOff>381000</xdr:rowOff>
        </xdr:to>
        <xdr:sp macro="" textlink="">
          <xdr:nvSpPr>
            <xdr:cNvPr id="1064" name="Button 40" descr="Plan fi Prog 2017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Plan fi Prog 2017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125</xdr:row>
          <xdr:rowOff>0</xdr:rowOff>
        </xdr:from>
        <xdr:to>
          <xdr:col>0</xdr:col>
          <xdr:colOff>1971675</xdr:colOff>
          <xdr:row>128</xdr:row>
          <xdr:rowOff>171450</xdr:rowOff>
        </xdr:to>
        <xdr:sp macro="" textlink="">
          <xdr:nvSpPr>
            <xdr:cNvPr id="1065" name="Butto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Tableau complet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502024</xdr:colOff>
      <xdr:row>14</xdr:row>
      <xdr:rowOff>17930</xdr:rowOff>
    </xdr:from>
    <xdr:to>
      <xdr:col>20</xdr:col>
      <xdr:colOff>340659</xdr:colOff>
      <xdr:row>29</xdr:row>
      <xdr:rowOff>71718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195944</xdr:colOff>
      <xdr:row>32</xdr:row>
      <xdr:rowOff>337457</xdr:rowOff>
    </xdr:from>
    <xdr:to>
      <xdr:col>22</xdr:col>
      <xdr:colOff>239487</xdr:colOff>
      <xdr:row>47</xdr:row>
      <xdr:rowOff>119742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272143</xdr:colOff>
      <xdr:row>51</xdr:row>
      <xdr:rowOff>0</xdr:rowOff>
    </xdr:from>
    <xdr:to>
      <xdr:col>22</xdr:col>
      <xdr:colOff>315686</xdr:colOff>
      <xdr:row>65</xdr:row>
      <xdr:rowOff>152400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827313</xdr:colOff>
      <xdr:row>66</xdr:row>
      <xdr:rowOff>174171</xdr:rowOff>
    </xdr:from>
    <xdr:to>
      <xdr:col>21</xdr:col>
      <xdr:colOff>696685</xdr:colOff>
      <xdr:row>81</xdr:row>
      <xdr:rowOff>141514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1284515</xdr:colOff>
      <xdr:row>80</xdr:row>
      <xdr:rowOff>0</xdr:rowOff>
    </xdr:from>
    <xdr:to>
      <xdr:col>10</xdr:col>
      <xdr:colOff>533401</xdr:colOff>
      <xdr:row>94</xdr:row>
      <xdr:rowOff>141514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127907</xdr:colOff>
      <xdr:row>12</xdr:row>
      <xdr:rowOff>134030</xdr:rowOff>
    </xdr:from>
    <xdr:to>
      <xdr:col>21</xdr:col>
      <xdr:colOff>168728</xdr:colOff>
      <xdr:row>27</xdr:row>
      <xdr:rowOff>19730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51706</xdr:colOff>
      <xdr:row>26</xdr:row>
      <xdr:rowOff>169408</xdr:rowOff>
    </xdr:from>
    <xdr:to>
      <xdr:col>12</xdr:col>
      <xdr:colOff>63953</xdr:colOff>
      <xdr:row>41</xdr:row>
      <xdr:rowOff>55108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athalie BLANDINO" refreshedDate="41666.571804050924" createdVersion="4" refreshedVersion="4" minRefreshableVersion="3" recordCount="50">
  <cacheSource type="worksheet">
    <worksheetSource ref="E132" sheet="Données initiales"/>
  </cacheSource>
  <cacheFields count="101">
    <cacheField name="OPERATION" numFmtId="0">
      <sharedItems/>
    </cacheField>
    <cacheField name="COMMUNE" numFmtId="0">
      <sharedItems/>
    </cacheField>
    <cacheField name="BASSIN" numFmtId="0">
      <sharedItems count="3">
        <s v="CIVIS"/>
        <s v="CA SUD"/>
        <s v="TCO"/>
      </sharedItems>
    </cacheField>
    <cacheField name="CODE" numFmtId="0">
      <sharedItems containsBlank="1"/>
    </cacheField>
    <cacheField name="TYPE" numFmtId="0">
      <sharedItems containsBlank="1"/>
    </cacheField>
    <cacheField name="N" numFmtId="0">
      <sharedItems containsSemiMixedTypes="0" containsString="0" containsNumber="1" containsInteger="1" minValue="4" maxValue="84"/>
    </cacheField>
    <cacheField name="LLS" numFmtId="0">
      <sharedItems containsString="0" containsBlank="1" containsNumber="1" containsInteger="1" minValue="4" maxValue="84"/>
    </cacheField>
    <cacheField name="LLTS" numFmtId="0">
      <sharedItems containsString="0" containsBlank="1" containsNumber="1" containsInteger="1" minValue="6" maxValue="83"/>
    </cacheField>
    <cacheField name="SF" numFmtId="4">
      <sharedItems containsSemiMixedTypes="0" containsString="0" containsNumber="1" minValue="317.76" maxValue="7367.96"/>
    </cacheField>
    <cacheField name="SF priorisée" numFmtId="4">
      <sharedItems containsString="0" containsBlank="1" containsNumber="1" minValue="317.76" maxValue="7367.66"/>
    </cacheField>
    <cacheField name="SF / lgt" numFmtId="4">
      <sharedItems containsSemiMixedTypes="0" containsString="0" containsNumber="1" minValue="0" maxValue="104.25703703703704"/>
    </cacheField>
    <cacheField name="S espaces verts collectifs" numFmtId="4">
      <sharedItems containsString="0" containsBlank="1" containsNumber="1" minValue="217.58" maxValue="12480"/>
    </cacheField>
    <cacheField name="Lots" numFmtId="0">
      <sharedItems containsString="0" containsBlank="1" containsNumber="1" containsInteger="1" minValue="1" maxValue="6"/>
    </cacheField>
    <cacheField name="Pkgs couverts" numFmtId="0">
      <sharedItems containsBlank="1"/>
    </cacheField>
    <cacheField name="Prog" numFmtId="0">
      <sharedItems containsSemiMixedTypes="0" containsString="0" containsNumber="1" containsInteger="1" minValue="2010" maxValue="2015" count="6">
        <n v="2010"/>
        <n v="2011"/>
        <n v="2012"/>
        <n v="2013"/>
        <n v="2014"/>
        <n v="2015"/>
      </sharedItems>
    </cacheField>
    <cacheField name="RO" numFmtId="0">
      <sharedItems containsBlank="1"/>
    </cacheField>
    <cacheField name="Avancement" numFmtId="0">
      <sharedItems/>
    </cacheField>
    <cacheField name="Altitude" numFmtId="0">
      <sharedItems containsString="0" containsBlank="1" containsNumber="1" containsInteger="1" minValue="30" maxValue="850"/>
    </cacheField>
    <cacheField name="Pente" numFmtId="0">
      <sharedItems containsString="0" containsBlank="1" containsNumber="1" minValue="0" maxValue="0.05"/>
    </cacheField>
    <cacheField name="Assistante" numFmtId="0">
      <sharedItems containsBlank="1"/>
    </cacheField>
    <cacheField name="Arrangeur" numFmtId="0">
      <sharedItems containsBlank="1"/>
    </cacheField>
    <cacheField name="Ct réservation" numFmtId="0">
      <sharedItems containsBlank="1"/>
    </cacheField>
    <cacheField name="Statuts" numFmtId="0">
      <sharedItems containsBlank="1"/>
    </cacheField>
    <cacheField name="K Bis" numFmtId="0">
      <sharedItems containsBlank="1"/>
    </cacheField>
    <cacheField name="Structure" numFmtId="0">
      <sharedItems containsBlank="1"/>
    </cacheField>
    <cacheField name="Convention CAF" numFmtId="0">
      <sharedItems containsString="0" containsBlank="1" containsNumber="1" containsInteger="1" minValue="120000" maxValue="415000"/>
    </cacheField>
    <cacheField name="Arrêté LBU" numFmtId="0">
      <sharedItems containsDate="1" containsBlank="1" containsMixedTypes="1" minDate="2013-06-21T00:00:00" maxDate="2013-11-19T00:00:00"/>
    </cacheField>
    <cacheField name="Envoi dossier complet à arrangeur" numFmtId="0">
      <sharedItems containsBlank="1"/>
    </cacheField>
    <cacheField name="Date Dépôt DRFIP" numFmtId="0">
      <sharedItems containsNonDate="0" containsDate="1" containsString="0" containsBlank="1" minDate="2013-07-12T00:00:00" maxDate="2013-11-07T00:00:00"/>
    </cacheField>
    <cacheField name="Date Agrément" numFmtId="0">
      <sharedItems containsNonDate="0" containsDate="1" containsString="0" containsBlank="1" minDate="2013-08-14T00:00:00" maxDate="2013-11-14T00:00:00"/>
    </cacheField>
    <cacheField name="Dde édition prêt" numFmtId="0">
      <sharedItems containsNonDate="0" containsDate="1" containsString="0" containsBlank="1" minDate="2013-10-02T00:00:00" maxDate="2013-10-09T00:00:00"/>
    </cacheField>
    <cacheField name="Contrat de prêt" numFmtId="0">
      <sharedItems containsNonDate="0" containsDate="1" containsString="0" containsBlank="1" minDate="2013-10-28T00:00:00" maxDate="2013-11-06T00:00:00"/>
    </cacheField>
    <cacheField name="Transmission garanties à CDC" numFmtId="0">
      <sharedItems containsDate="1" containsBlank="1" containsMixedTypes="1" minDate="2014-01-13T00:00:00" maxDate="2014-01-21T00:00:00"/>
    </cacheField>
    <cacheField name="Date Dde G CG" numFmtId="0">
      <sharedItems containsDate="1" containsBlank="1" containsMixedTypes="1" minDate="2013-11-05T00:00:00" maxDate="2013-11-06T00:00:00"/>
    </cacheField>
    <cacheField name="Date Commission CG" numFmtId="0">
      <sharedItems containsDate="1" containsBlank="1" containsMixedTypes="1" minDate="2013-12-11T00:00:00" maxDate="2013-12-12T00:00:00"/>
    </cacheField>
    <cacheField name="Date Retour G CG" numFmtId="0">
      <sharedItems containsDate="1" containsBlank="1" containsMixedTypes="1" minDate="2014-01-14T00:00:00" maxDate="2014-01-15T00:00:00"/>
    </cacheField>
    <cacheField name="Date Dde G CM" numFmtId="0">
      <sharedItems containsDate="1" containsBlank="1" containsMixedTypes="1" minDate="2013-11-06T00:00:00" maxDate="2013-11-07T00:00:00"/>
    </cacheField>
    <cacheField name="Date DCM" numFmtId="0">
      <sharedItems containsDate="1" containsBlank="1" containsMixedTypes="1" minDate="2013-11-28T00:00:00" maxDate="2013-12-20T00:00:00"/>
    </cacheField>
    <cacheField name="Date Retour G CM" numFmtId="0">
      <sharedItems containsDate="1" containsBlank="1" containsMixedTypes="1" minDate="2013-12-23T00:00:00" maxDate="2014-01-10T00:00:00"/>
    </cacheField>
    <cacheField name="Date Dde G EPCI" numFmtId="0">
      <sharedItems containsBlank="1"/>
    </cacheField>
    <cacheField name="Date prév Conseil EPCI" numFmtId="0">
      <sharedItems containsDate="1" containsBlank="1" containsMixedTypes="1" minDate="2013-12-06T00:00:00" maxDate="2013-12-17T00:00:00"/>
    </cacheField>
    <cacheField name="Date Retour EPCI" numFmtId="0">
      <sharedItems containsDate="1" containsBlank="1" containsMixedTypes="1" minDate="2013-12-16T00:00:00" maxDate="2014-01-16T00:00:00"/>
    </cacheField>
    <cacheField name="Date Dde G CR" numFmtId="0">
      <sharedItems containsDate="1" containsBlank="1" containsMixedTypes="1" minDate="2013-11-05T00:00:00" maxDate="2013-11-06T00:00:00"/>
    </cacheField>
    <cacheField name="Date prév Commission CR" numFmtId="0">
      <sharedItems containsDate="1" containsBlank="1" containsMixedTypes="1" minDate="2013-11-26T00:00:00" maxDate="2013-11-27T00:00:00"/>
    </cacheField>
    <cacheField name="Date retour CR" numFmtId="0">
      <sharedItems containsDate="1" containsBlank="1" containsMixedTypes="1" minDate="2013-12-18T00:00:00" maxDate="2013-12-19T00:00:00"/>
    </cacheField>
    <cacheField name="Propriétaire" numFmtId="0">
      <sharedItems containsBlank="1"/>
    </cacheField>
    <cacheField name="Notaire Terrain" numFmtId="0">
      <sharedItems containsBlank="1"/>
    </cacheField>
    <cacheField name="Signature Acte" numFmtId="0">
      <sharedItems containsDate="1" containsBlank="1" containsMixedTypes="1" minDate="2013-05-13T00:00:00" maxDate="2013-12-20T00:00:00"/>
    </cacheField>
    <cacheField name="Notaire VEFA" numFmtId="0">
      <sharedItems containsBlank="1"/>
    </cacheField>
    <cacheField name="Prévisionnel Hono totaux" numFmtId="0">
      <sharedItems containsString="0" containsBlank="1" containsNumber="1" containsInteger="1" minValue="25739" maxValue="474895"/>
    </cacheField>
    <cacheField name="Prévisionnel Hono signature" numFmtId="0">
      <sharedItems containsString="0" containsBlank="1" containsNumber="1" minValue="0" maxValue="284937"/>
    </cacheField>
    <cacheField name="Pièces envoyées" numFmtId="0">
      <sharedItems containsDate="1" containsBlank="1" containsMixedTypes="1" minDate="2013-11-25T00:00:00" maxDate="2013-11-26T00:00:00"/>
    </cacheField>
    <cacheField name="Projet VEFA Notaire" numFmtId="0">
      <sharedItems containsDate="1" containsBlank="1" containsMixedTypes="1" minDate="2013-11-15T00:00:00" maxDate="2013-12-10T00:00:00"/>
    </cacheField>
    <cacheField name="Transmission Projet VEFA à DS" numFmtId="0">
      <sharedItems containsDate="1" containsBlank="1" containsMixedTypes="1" minDate="2013-12-10T00:00:00" maxDate="2013-12-11T00:00:00"/>
    </cacheField>
    <cacheField name="Transmission Projet VEFA à arrangeur" numFmtId="0">
      <sharedItems containsDate="1" containsBlank="1" containsMixedTypes="1" minDate="2013-12-10T00:00:00" maxDate="2013-12-11T00:00:00"/>
    </cacheField>
    <cacheField name="Calendrier appel de fonds" numFmtId="0">
      <sharedItems containsNonDate="0" containsDate="1" containsString="0" containsBlank="1" minDate="2013-12-03T00:00:00" maxDate="2013-12-07T00:00:00"/>
    </cacheField>
    <cacheField name="PC purgé" numFmtId="43">
      <sharedItems containsBlank="1"/>
    </cacheField>
    <cacheField name="CAO" numFmtId="43">
      <sharedItems containsBlank="1"/>
    </cacheField>
    <cacheField name="DROC" numFmtId="0">
      <sharedItems containsNonDate="0" containsDate="1" containsString="0" containsBlank="1" minDate="2013-12-04T00:00:00" maxDate="2013-12-17T00:00:00"/>
    </cacheField>
    <cacheField name="DO" numFmtId="43">
      <sharedItems containsBlank="1"/>
    </cacheField>
    <cacheField name="1e acompte" numFmtId="43">
      <sharedItems containsString="0" containsBlank="1" containsNumber="1" minValue="221879.91" maxValue="1991541.28"/>
    </cacheField>
    <cacheField name="Priorisation" numFmtId="0">
      <sharedItems containsBlank="1"/>
    </cacheField>
    <cacheField name="PRP TTC " numFmtId="165">
      <sharedItems containsString="0" containsBlank="1" containsNumber="1" minValue="1076955" maxValue="14323814"/>
    </cacheField>
    <cacheField name="PRP TTC  " numFmtId="0">
      <sharedItems containsString="0" containsBlank="1" containsNumber="1" minValue="642137" maxValue="14364755"/>
    </cacheField>
    <cacheField name="ECART PRP" numFmtId="165">
      <sharedItems containsString="0" containsBlank="1" containsNumber="1" minValue="-2300041.0997241684" maxValue="9522775"/>
    </cacheField>
    <cacheField name="PRP /m² SF" numFmtId="165">
      <sharedItems containsSemiMixedTypes="0" containsString="0" containsNumber="1" minValue="1716.0573537559651" maxValue="2300.261354062955"/>
    </cacheField>
    <cacheField name="PRP / lgt" numFmtId="165">
      <sharedItems containsSemiMixedTypes="0" containsString="0" containsNumber="1" minValue="101166.48142857142" maxValue="203264.11111111112"/>
    </cacheField>
    <cacheField name="BE" numFmtId="0">
      <sharedItems containsString="0" containsBlank="1" containsNumber="1" containsInteger="1" minValue="970725" maxValue="13043765"/>
    </cacheField>
    <cacheField name="BE PRIORISE" numFmtId="165">
      <sharedItems containsString="0" containsBlank="1" containsNumber="1" containsInteger="1" minValue="0" maxValue="12989943"/>
    </cacheField>
    <cacheField name="ECART BE" numFmtId="165">
      <sharedItems containsSemiMixedTypes="0" containsString="0" containsNumber="1" containsInteger="1" minValue="-9295451" maxValue="2068826"/>
    </cacheField>
    <cacheField name="% BE / PRP" numFmtId="9">
      <sharedItems containsMixedTypes="1" containsNumber="1" minValue="0" maxValue="0.96427980166469029"/>
    </cacheField>
    <cacheField name="DEFISC " numFmtId="0">
      <sharedItems containsSemiMixedTypes="0" containsString="0" containsNumber="1" minValue="0" maxValue="4234760"/>
    </cacheField>
    <cacheField name="DEFISC 2" numFmtId="0">
      <sharedItems containsSemiMixedTypes="0" containsString="0" containsNumber="1" minValue="0" maxValue="4347184"/>
    </cacheField>
    <cacheField name="DEFISC / lgt" numFmtId="165">
      <sharedItems containsSemiMixedTypes="0" containsString="0" containsNumber="1" minValue="0" maxValue="149069.55555555556"/>
    </cacheField>
    <cacheField name="ECART DEFISC" numFmtId="165">
      <sharedItems containsSemiMixedTypes="0" containsString="0" containsNumber="1" minValue="-55462.580000000016" maxValue="297903"/>
    </cacheField>
    <cacheField name="PRÊT " numFmtId="165">
      <sharedItems containsString="0" containsBlank="1" containsNumber="1" minValue="486159" maxValue="8429054"/>
    </cacheField>
    <cacheField name="PRÊT 2" numFmtId="165">
      <sharedItems containsSemiMixedTypes="0" containsString="0" containsNumber="1" minValue="335412" maxValue="8357571"/>
    </cacheField>
    <cacheField name="FONCIER" numFmtId="165">
      <sharedItems containsString="0" containsBlank="1" containsNumber="1" minValue="85556" maxValue="1887032"/>
    </cacheField>
    <cacheField name="CONSTRUCTION" numFmtId="165">
      <sharedItems containsString="0" containsBlank="1" containsNumber="1" minValue="249856" maxValue="6641941"/>
    </cacheField>
    <cacheField name="ECART PRÊT" numFmtId="165">
      <sharedItems containsSemiMixedTypes="0" containsString="0" containsNumber="1" minValue="-178584.67999999993" maxValue="2481000"/>
    </cacheField>
    <cacheField name="PRÊT / lgt" numFmtId="165">
      <sharedItems containsSemiMixedTypes="0" containsString="0" containsNumber="1" minValue="64149.862307692303" maxValue="133398.62962962964"/>
    </cacheField>
    <cacheField name="PRÊT 1 %" numFmtId="165">
      <sharedItems containsString="0" containsBlank="1" containsNumber="1" containsInteger="1" minValue="0" maxValue="100000"/>
    </cacheField>
    <cacheField name="LBU y/c CAF " numFmtId="0">
      <sharedItems containsSemiMixedTypes="0" containsString="0" containsNumber="1" minValue="1" maxValue="1660000"/>
    </cacheField>
    <cacheField name="LBU y/c CAF 2" numFmtId="0">
      <sharedItems containsSemiMixedTypes="0" containsString="0" containsNumber="1" minValue="1" maxValue="1660000"/>
    </cacheField>
    <cacheField name="% LBU / PRP" numFmtId="9">
      <sharedItems containsMixedTypes="1" containsNumber="1" minValue="1.0249704983510188E-7" maxValue="0.36421845389657359"/>
    </cacheField>
    <cacheField name="AUTRES SUBVENTIONS" numFmtId="0">
      <sharedItems containsString="0" containsBlank="1" containsNumber="1" containsInteger="1" minValue="0" maxValue="63128"/>
    </cacheField>
    <cacheField name="ECART LBU y/c CAF" numFmtId="165">
      <sharedItems containsSemiMixedTypes="0" containsString="0" containsNumber="1" containsInteger="1" minValue="-62000" maxValue="0"/>
    </cacheField>
    <cacheField name="LBU / lgt_x000a_" numFmtId="165">
      <sharedItems containsSemiMixedTypes="0" containsString="0" containsNumber="1" minValue="1.1904761904761904E-2" maxValue="50073.785714285717"/>
    </cacheField>
    <cacheField name="ECART LBU/lgt" numFmtId="165">
      <sharedItems containsSemiMixedTypes="0" containsString="0" containsNumber="1" minValue="-3444.4444444444443" maxValue="0"/>
    </cacheField>
    <cacheField name="Loyer max" numFmtId="0">
      <sharedItems containsString="0" containsBlank="1" containsNumber="1" minValue="4.97" maxValue="6.68"/>
    </cacheField>
    <cacheField name="Loyer d'équilibre" numFmtId="0">
      <sharedItems containsString="0" containsBlank="1" containsNumber="1" minValue="4.92" maxValue="6.6"/>
    </cacheField>
    <cacheField name="PRP FRAFU hors TVA résiduelle" numFmtId="165">
      <sharedItems containsSemiMixedTypes="0" containsString="0" containsNumber="1" minValue="0" maxValue="3482776.9462047499"/>
    </cacheField>
    <cacheField name="FRAFU" numFmtId="165">
      <sharedItems containsSemiMixedTypes="0" containsString="0" containsNumber="1" minValue="0" maxValue="2200000"/>
    </cacheField>
    <cacheField name="AIDES ETAT / lgt" numFmtId="165">
      <sharedItems containsSemiMixedTypes="0" containsString="0" containsNumber="1" minValue="38852.904761904763" maxValue="151346.96296296295"/>
    </cacheField>
    <cacheField name="SUBVENTION COLLECTIVITE FRAFU" numFmtId="165">
      <sharedItems containsSemiMixedTypes="0" containsString="0" containsNumber="1" minValue="0" maxValue="1220907.39295"/>
    </cacheField>
    <cacheField name="AIDES PUBLIQUES / lgt" numFmtId="165">
      <sharedItems containsSemiMixedTypes="0" containsString="0" containsNumber="1" minValue="38852.904761904763" maxValue="267168.17749999999"/>
    </cacheField>
    <cacheField name="% AIDES PUBLIQUES" numFmtId="0">
      <sharedItems containsString="0" containsBlank="1" containsNumber="1" minValue="0.3576035199049924" maxValue="0.49230011175586202"/>
    </cacheField>
    <cacheField name="CESSION FONCIERE" numFmtId="0">
      <sharedItems containsString="0" containsBlank="1" containsNumber="1" minValue="0" maxValue="188451"/>
    </cacheField>
    <cacheField name="FONDS PROPRES FRAFU" numFmtId="165">
      <sharedItems containsSemiMixedTypes="0" containsString="0" containsNumber="1" minValue="0" maxValue="143420.17000000001"/>
    </cacheField>
    <cacheField name="FONDS PROPRES CONSTRUCTION" numFmtId="165">
      <sharedItems containsSemiMixedTypes="0" containsString="0" containsNumber="1" minValue="0" maxValue="196353.46999999997"/>
    </cacheField>
    <cacheField name="PRP GLOBAL" numFmtId="43">
      <sharedItems containsSemiMixedTypes="0" containsString="0" containsNumber="1" minValue="0" maxValue="1436475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Nathalie BLANDINO" refreshedDate="42088.776913310183" createdVersion="4" refreshedVersion="4" minRefreshableVersion="3" recordCount="47">
  <cacheSource type="worksheet">
    <worksheetSource ref="A1:H48" sheet="Feuil4"/>
  </cacheSource>
  <cacheFields count="8">
    <cacheField name="OPERATION" numFmtId="0">
      <sharedItems/>
    </cacheField>
    <cacheField name="COMMUNE" numFmtId="0">
      <sharedItems/>
    </cacheField>
    <cacheField name="BASSIN" numFmtId="0">
      <sharedItems/>
    </cacheField>
    <cacheField name="Prog" numFmtId="0">
      <sharedItems containsSemiMixedTypes="0" containsString="0" containsNumber="1" containsInteger="1" minValue="2012" maxValue="2016"/>
    </cacheField>
    <cacheField name="N" numFmtId="0">
      <sharedItems containsSemiMixedTypes="0" containsString="0" containsNumber="1" containsInteger="1" minValue="7" maxValue="110"/>
    </cacheField>
    <cacheField name="RO" numFmtId="0">
      <sharedItems count="8">
        <s v="FHO"/>
        <s v="YFR"/>
        <s v="SFE"/>
        <s v="SGM"/>
        <s v="FMA"/>
        <s v="MFL"/>
        <s v="JMO"/>
        <s v="AGA"/>
      </sharedItems>
    </cacheField>
    <cacheField name="Avancement" numFmtId="0">
      <sharedItems/>
    </cacheField>
    <cacheField name="Phase" numFmtId="0">
      <sharedItems count="2">
        <s v="Tvx"/>
        <s v="Etude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Nathalie BLANDINO" refreshedDate="42789.856510879632" createdVersion="5" refreshedVersion="5" minRefreshableVersion="3" recordCount="114">
  <cacheSource type="worksheet">
    <worksheetSource ref="A1:JZ115" sheet="Données initiales"/>
  </cacheSource>
  <cacheFields count="286">
    <cacheField name="OPERATION" numFmtId="0">
      <sharedItems/>
    </cacheField>
    <cacheField name="COMMUNE" numFmtId="0">
      <sharedItems count="14">
        <s v="Petite-Ile"/>
        <s v="Tampon"/>
        <s v="St Pierre"/>
        <s v="St Leu"/>
        <s v="Etang-Salé"/>
        <s v="St Joseph"/>
        <s v="Entre-Deux"/>
        <s v="St Philippe"/>
        <s v="Trois Bassins"/>
        <s v="St Paul"/>
        <s v="Avirons"/>
        <s v="St Louis"/>
        <s v="La Possession"/>
        <s v="Cilaos"/>
      </sharedItems>
    </cacheField>
    <cacheField name="BASSIN" numFmtId="0">
      <sharedItems count="3">
        <s v="CIVIS"/>
        <s v="CA SUD"/>
        <s v="TCO"/>
      </sharedItems>
    </cacheField>
    <cacheField name="Prog" numFmtId="0">
      <sharedItems containsString="0" containsBlank="1" containsNumber="1" containsInteger="1" minValue="2010" maxValue="2019" count="11">
        <n v="2010"/>
        <n v="2011"/>
        <n v="2012"/>
        <n v="2013"/>
        <n v="2014"/>
        <n v="2016"/>
        <n v="2015"/>
        <n v="2017"/>
        <n v="2018"/>
        <n v="2019"/>
        <m/>
      </sharedItems>
    </cacheField>
    <cacheField name="CODE" numFmtId="0">
      <sharedItems containsBlank="1"/>
    </cacheField>
    <cacheField name="RO" numFmtId="0">
      <sharedItems containsBlank="1"/>
    </cacheField>
    <cacheField name="ASSISTANTE" numFmtId="0">
      <sharedItems containsBlank="1"/>
    </cacheField>
    <cacheField name="AVANCEMENT" numFmtId="0">
      <sharedItems containsBlank="1"/>
    </cacheField>
    <cacheField name="CONTRÔLE DEAL" numFmtId="0">
      <sharedItems containsBlank="1"/>
    </cacheField>
    <cacheField name="PARCELLE" numFmtId="0">
      <sharedItems containsBlank="1"/>
    </cacheField>
    <cacheField name="FONCIER" numFmtId="0">
      <sharedItems containsBlank="1" longText="1"/>
    </cacheField>
    <cacheField name="Propriétaire" numFmtId="0">
      <sharedItems containsBlank="1"/>
    </cacheField>
    <cacheField name="Notaire Terrain" numFmtId="0">
      <sharedItems containsBlank="1"/>
    </cacheField>
    <cacheField name="Signature Acte" numFmtId="0">
      <sharedItems containsDate="1" containsBlank="1" containsMixedTypes="1" minDate="1993-01-25T00:00:00" maxDate="2013-12-20T00:00:00"/>
    </cacheField>
    <cacheField name="S TERRAIN" numFmtId="3">
      <sharedItems containsString="0" containsBlank="1" containsNumber="1" minValue="606" maxValue="20161"/>
    </cacheField>
    <cacheField name="PRIX TERRAIN BRUT" numFmtId="3">
      <sharedItems containsString="0" containsBlank="1" containsNumber="1" minValue="89040" maxValue="1550000"/>
    </cacheField>
    <cacheField name="PRIX TERRAIN AMENAGE" numFmtId="3">
      <sharedItems containsString="0" containsBlank="1" containsNumber="1" minValue="51520" maxValue="1300000"/>
    </cacheField>
    <cacheField name="PRIX BRUT / LGT " numFmtId="3">
      <sharedItems containsBlank="1" containsMixedTypes="1" containsNumber="1" minValue="0" maxValue="39130.434782608696"/>
    </cacheField>
    <cacheField name="PRIX m² terrain brut" numFmtId="3">
      <sharedItems containsBlank="1" containsMixedTypes="1" containsNumber="1" minValue="0" maxValue="700.63694267515928"/>
    </cacheField>
    <cacheField name="PRIX m² terrain aménagé" numFmtId="3">
      <sharedItems containsBlank="1" containsMixedTypes="1" containsNumber="1" minValue="0" maxValue="343.34763948497852"/>
    </cacheField>
    <cacheField name="PRIX m² SF" numFmtId="3">
      <sharedItems containsBlank="1" containsMixedTypes="1" containsNumber="1" minValue="0" maxValue="416.95086825847386"/>
    </cacheField>
    <cacheField name="PRIX AMENAGE/ LGT" numFmtId="3">
      <sharedItems containsBlank="1" containsMixedTypes="1" containsNumber="1" minValue="0" maxValue="35000"/>
    </cacheField>
    <cacheField name="M² TERRAIN / LGT" numFmtId="3">
      <sharedItems containsBlank="1" containsMixedTypes="1" containsNumber="1" minValue="0" maxValue="1089.75"/>
    </cacheField>
    <cacheField name="S EMPRISE" numFmtId="0">
      <sharedItems containsString="0" containsBlank="1" containsNumber="1" minValue="300" maxValue="2205.9499999999998"/>
    </cacheField>
    <cacheField name="DENSITE" numFmtId="0">
      <sharedItems containsBlank="1" containsMixedTypes="1" containsNumber="1" minValue="0" maxValue="2.1514267515923566"/>
    </cacheField>
    <cacheField name="ZONAGE" numFmtId="0">
      <sharedItems containsBlank="1"/>
    </cacheField>
    <cacheField name="Altitude" numFmtId="0">
      <sharedItems containsString="0" containsBlank="1" containsNumber="1" containsInteger="1" minValue="30" maxValue="895"/>
    </cacheField>
    <cacheField name="Pente" numFmtId="0">
      <sharedItems containsString="0" containsBlank="1" containsNumber="1" minValue="0" maxValue="0.3"/>
    </cacheField>
    <cacheField name="TYPE" numFmtId="0">
      <sharedItems containsBlank="1"/>
    </cacheField>
    <cacheField name="N" numFmtId="1">
      <sharedItems containsString="0" containsBlank="1" containsNumber="1" containsInteger="1" minValue="0" maxValue="200"/>
    </cacheField>
    <cacheField name="LLS" numFmtId="0">
      <sharedItems containsString="0" containsBlank="1" containsNumber="1" containsInteger="1" minValue="4" maxValue="84"/>
    </cacheField>
    <cacheField name="LLTS" numFmtId="0">
      <sharedItems containsString="0" containsBlank="1" containsNumber="1" containsInteger="1" minValue="0" maxValue="200"/>
    </cacheField>
    <cacheField name="SF" numFmtId="4">
      <sharedItems containsString="0" containsBlank="1" containsNumber="1" minValue="317.76" maxValue="7367.96"/>
    </cacheField>
    <cacheField name="SF priorisée" numFmtId="4">
      <sharedItems containsString="0" containsBlank="1" containsNumber="1" minValue="317.76" maxValue="7367.66"/>
    </cacheField>
    <cacheField name="SF / lgt" numFmtId="4">
      <sharedItems containsBlank="1" containsMixedTypes="1" containsNumber="1" minValue="0" maxValue="1746"/>
    </cacheField>
    <cacheField name="T1" numFmtId="0">
      <sharedItems containsString="0" containsBlank="1" containsNumber="1" minValue="0" maxValue="0.5714285714285714"/>
    </cacheField>
    <cacheField name="T2" numFmtId="0">
      <sharedItems containsString="0" containsBlank="1" containsNumber="1" minValue="0" maxValue="7"/>
    </cacheField>
    <cacheField name="T3" numFmtId="0">
      <sharedItems containsString="0" containsBlank="1" containsNumber="1" minValue="0" maxValue="8"/>
    </cacheField>
    <cacheField name="T4" numFmtId="0">
      <sharedItems containsString="0" containsBlank="1" containsNumber="1" minValue="0" maxValue="5"/>
    </cacheField>
    <cacheField name="T5" numFmtId="0">
      <sharedItems containsString="0" containsBlank="1" containsNumber="1" minValue="0" maxValue="1"/>
    </cacheField>
    <cacheField name="S espaces verts collectifs" numFmtId="0">
      <sharedItems containsBlank="1" containsMixedTypes="1" containsNumber="1" minValue="217.58" maxValue="12480"/>
    </cacheField>
    <cacheField name="S ANC" numFmtId="41">
      <sharedItems containsBlank="1" containsMixedTypes="1" containsNumber="1" minValue="0" maxValue="2000"/>
    </cacheField>
    <cacheField name="Emprise ANC" numFmtId="9">
      <sharedItems containsBlank="1" containsMixedTypes="1" containsNumber="1" minValue="0" maxValue="0.39273927392739272"/>
    </cacheField>
    <cacheField name="N niveaux lgt y/c RDC" numFmtId="0">
      <sharedItems containsBlank="1" containsMixedTypes="1" containsNumber="1" minValue="1" maxValue="7"/>
    </cacheField>
    <cacheField name="Lots" numFmtId="0">
      <sharedItems containsString="0" containsBlank="1" containsNumber="1" containsInteger="1" minValue="1" maxValue="6"/>
    </cacheField>
    <cacheField name="Notation" numFmtId="0">
      <sharedItems containsBlank="1"/>
    </cacheField>
    <cacheField name="Fiche Présentation" numFmtId="0">
      <sharedItems containsBlank="1"/>
    </cacheField>
    <cacheField name="Pkgs couverts" numFmtId="0">
      <sharedItems containsBlank="1"/>
    </cacheField>
    <cacheField name="Revue de Projet" numFmtId="0">
      <sharedItems containsDate="1" containsBlank="1" containsMixedTypes="1" minDate="2011-02-09T00:00:00" maxDate="2017-01-18T00:00:00"/>
    </cacheField>
    <cacheField name="Archi conseil DEAL" numFmtId="0">
      <sharedItems containsDate="1" containsBlank="1" containsMixedTypes="1" minDate="2012-09-18T00:00:00" maxDate="2017-01-27T00:00:00"/>
    </cacheField>
    <cacheField name="CA" numFmtId="0">
      <sharedItems containsNonDate="0" containsDate="1" containsString="0" containsBlank="1" minDate="2011-09-30T00:00:00" maxDate="2017-01-27T00:00:00"/>
    </cacheField>
    <cacheField name="Présentation APS" numFmtId="0">
      <sharedItems containsDate="1" containsBlank="1" containsMixedTypes="1" minDate="2013-11-18T00:00:00" maxDate="2016-11-18T00:00:00"/>
    </cacheField>
    <cacheField name="Etude Sol" numFmtId="0">
      <sharedItems containsBlank="1"/>
    </cacheField>
    <cacheField name="SPS" numFmtId="0">
      <sharedItems containsBlank="1"/>
    </cacheField>
    <cacheField name="CT" numFmtId="0">
      <sharedItems containsBlank="1"/>
    </cacheField>
    <cacheField name="OPC" numFmtId="0">
      <sharedItems containsBlank="1"/>
    </cacheField>
    <cacheField name="PC" numFmtId="0">
      <sharedItems containsDate="1" containsBlank="1" containsMixedTypes="1" minDate="2011-12-05T00:00:00" maxDate="2016-09-01T00:00:00"/>
    </cacheField>
    <cacheField name="Constat 1" numFmtId="0">
      <sharedItems containsNonDate="0" containsDate="1" containsString="0" containsBlank="1" minDate="2013-07-12T00:00:00" maxDate="2016-10-06T00:00:00"/>
    </cacheField>
    <cacheField name="Constat 2" numFmtId="0">
      <sharedItems containsNonDate="0" containsDate="1" containsString="0" containsBlank="1" minDate="2013-08-12T00:00:00" maxDate="2016-08-13T00:00:00"/>
    </cacheField>
    <cacheField name="Constat 3" numFmtId="0">
      <sharedItems containsNonDate="0" containsDate="1" containsString="0" containsBlank="1" minDate="2013-09-12T00:00:00" maxDate="2016-09-06T00:00:00"/>
    </cacheField>
    <cacheField name="DROC" numFmtId="0">
      <sharedItems containsNonDate="0" containsDate="1" containsString="0" containsBlank="1" minDate="2012-12-10T00:00:00" maxDate="2016-04-01T00:00:00"/>
    </cacheField>
    <cacheField name="DO" numFmtId="0">
      <sharedItems containsDate="1" containsBlank="1" containsMixedTypes="1" minDate="2016-03-31T00:00:00" maxDate="2016-04-12T00:00:00"/>
    </cacheField>
    <cacheField name="Convention FT" numFmtId="0">
      <sharedItems containsDate="1" containsBlank="1" containsMixedTypes="1" minDate="2013-10-22T00:00:00" maxDate="2015-09-09T00:00:00"/>
    </cacheField>
    <cacheField name="Convention EDF" numFmtId="0">
      <sharedItems containsDate="1" containsBlank="1" containsMixedTypes="1" minDate="2014-01-22T00:00:00" maxDate="2016-10-06T00:00:00"/>
    </cacheField>
    <cacheField name="Convention SIDELEC" numFmtId="0">
      <sharedItems containsBlank="1"/>
    </cacheField>
    <cacheField name="Arrangeur" numFmtId="0">
      <sharedItems containsBlank="1"/>
    </cacheField>
    <cacheField name="Ct réservation" numFmtId="0">
      <sharedItems containsDate="1" containsBlank="1" containsMixedTypes="1" minDate="2014-05-13T00:00:00" maxDate="2015-10-09T00:00:00"/>
    </cacheField>
    <cacheField name="Fin délai réservation" numFmtId="0">
      <sharedItems containsDate="1" containsBlank="1" containsMixedTypes="1" minDate="2015-03-26T00:00:00" maxDate="2016-12-18T00:00:00"/>
    </cacheField>
    <cacheField name="Statuts" numFmtId="0">
      <sharedItems containsBlank="1"/>
    </cacheField>
    <cacheField name="K Bis" numFmtId="0">
      <sharedItems containsBlank="1"/>
    </cacheField>
    <cacheField name="Structure" numFmtId="0">
      <sharedItems containsBlank="1"/>
    </cacheField>
    <cacheField name="Convention CAF" numFmtId="0">
      <sharedItems containsBlank="1" containsMixedTypes="1" containsNumber="1" containsInteger="1" minValue="120000" maxValue="415000"/>
    </cacheField>
    <cacheField name="Arrêté LBU" numFmtId="14">
      <sharedItems containsNonDate="0" containsDate="1" containsString="0" containsBlank="1" minDate="2010-11-09T00:00:00" maxDate="2016-10-18T00:00:00"/>
    </cacheField>
    <cacheField name="Transmission à DAF" numFmtId="14">
      <sharedItems containsNonDate="0" containsDate="1" containsString="0" containsBlank="1" minDate="2015-10-14T00:00:00" maxDate="2016-10-15T00:00:00"/>
    </cacheField>
    <cacheField name="Accord SIEG" numFmtId="14">
      <sharedItems containsNonDate="0" containsDate="1" containsString="0" containsBlank="1" minDate="2015-04-22T00:00:00" maxDate="2016-10-01T00:00:00"/>
    </cacheField>
    <cacheField name="Envoi dossier complet à arrangeur" numFmtId="14">
      <sharedItems containsDate="1" containsBlank="1" containsMixedTypes="1" minDate="2015-09-01T00:00:00" maxDate="2015-12-01T00:00:00"/>
    </cacheField>
    <cacheField name="Date Dépôt DRFIP" numFmtId="14">
      <sharedItems containsDate="1" containsBlank="1" containsMixedTypes="1" minDate="2013-07-12T00:00:00" maxDate="2016-10-07T00:00:00"/>
    </cacheField>
    <cacheField name="Date Agrément" numFmtId="14">
      <sharedItems containsDate="1" containsBlank="1" containsMixedTypes="1" minDate="2012-08-13T00:00:00" maxDate="2016-11-24T00:00:00"/>
    </cacheField>
    <cacheField name="Transmission à DAF2" numFmtId="14">
      <sharedItems containsDate="1" containsBlank="1" containsMixedTypes="1" minDate="2015-10-14T00:00:00" maxDate="2016-11-25T00:00:00"/>
    </cacheField>
    <cacheField name="Dde édition prêt" numFmtId="0">
      <sharedItems containsDate="1" containsBlank="1" containsMixedTypes="1" minDate="2013-10-02T00:00:00" maxDate="2016-09-02T00:00:00"/>
    </cacheField>
    <cacheField name="Contrat de prêt" numFmtId="0">
      <sharedItems containsDate="1" containsBlank="1" containsMixedTypes="1" minDate="2013-10-28T00:00:00" maxDate="2016-12-16T00:00:00"/>
    </cacheField>
    <cacheField name="Limite validité Ct prêt" numFmtId="0">
      <sharedItems containsDate="1" containsBlank="1" containsMixedTypes="1" minDate="2014-01-03T00:00:00" maxDate="2017-03-12T00:00:00"/>
    </cacheField>
    <cacheField name="Transmission Ct Prêt à DAF" numFmtId="0">
      <sharedItems containsDate="1" containsBlank="1" containsMixedTypes="1" minDate="2015-03-11T00:00:00" maxDate="2016-12-24T00:00:00"/>
    </cacheField>
    <cacheField name="Début préfinancement" numFmtId="164">
      <sharedItems containsNonDate="0" containsDate="1" containsString="0" containsBlank="1" minDate="2013-02-14T00:00:00" maxDate="2017-05-31T00:00:00"/>
    </cacheField>
    <cacheField name="Fin préfinancement" numFmtId="164">
      <sharedItems containsSemiMixedTypes="0" containsNonDate="0" containsDate="1" containsString="0" minDate="1901-12-31T00:00:00" maxDate="2019-05-31T00:00:00"/>
    </cacheField>
    <cacheField name="1e échéance prêt" numFmtId="164">
      <sharedItems containsSemiMixedTypes="0" containsNonDate="0" containsDate="1" containsString="0" minDate="1902-12-31T00:00:00" maxDate="2020-05-31T00:00:00"/>
    </cacheField>
    <cacheField name="PROBLEME" numFmtId="164">
      <sharedItems containsBlank="1"/>
    </cacheField>
    <cacheField name="Dde dossier Ass" numFmtId="0">
      <sharedItems containsDate="1" containsBlank="1" containsMixedTypes="1" minDate="2016-07-13T00:00:00" maxDate="2016-09-15T00:00:00"/>
    </cacheField>
    <cacheField name="Transmission garanties à CDC" numFmtId="0">
      <sharedItems containsDate="1" containsBlank="1" containsMixedTypes="1" minDate="2014-01-13T00:00:00" maxDate="2016-12-22T00:00:00"/>
    </cacheField>
    <cacheField name="Date Dde G CG" numFmtId="0">
      <sharedItems containsDate="1" containsBlank="1" containsMixedTypes="1" minDate="2013-11-05T00:00:00" maxDate="2016-12-24T00:00:00"/>
    </cacheField>
    <cacheField name="Date Commission CG" numFmtId="0">
      <sharedItems containsDate="1" containsBlank="1" containsMixedTypes="1" minDate="2013-12-11T00:00:00" maxDate="2016-12-08T00:00:00"/>
    </cacheField>
    <cacheField name="Date Retour G CG" numFmtId="0">
      <sharedItems containsDate="1" containsBlank="1" containsMixedTypes="1" minDate="2014-01-14T00:00:00" maxDate="2016-12-27T00:00:00"/>
    </cacheField>
    <cacheField name="Transmission à DAF3" numFmtId="0">
      <sharedItems containsDate="1" containsBlank="1" containsMixedTypes="1" minDate="2017-01-12T00:00:00" maxDate="2017-01-13T00:00:00"/>
    </cacheField>
    <cacheField name="Date Dde G CM" numFmtId="0">
      <sharedItems containsDate="1" containsBlank="1" containsMixedTypes="1" minDate="2013-11-06T00:00:00" maxDate="2016-12-24T00:00:00"/>
    </cacheField>
    <cacheField name="Date DCM" numFmtId="0">
      <sharedItems containsDate="1" containsBlank="1" containsMixedTypes="1" minDate="2013-11-28T00:00:00" maxDate="2016-12-17T00:00:00"/>
    </cacheField>
    <cacheField name="Date Retour G CM" numFmtId="0">
      <sharedItems containsDate="1" containsBlank="1" containsMixedTypes="1" minDate="2013-12-23T00:00:00" maxDate="2016-12-22T00:00:00"/>
    </cacheField>
    <cacheField name="Transmission à DAF4" numFmtId="0">
      <sharedItems containsDate="1" containsBlank="1" containsMixedTypes="1" minDate="2016-02-01T00:00:00" maxDate="2017-01-19T00:00:00"/>
    </cacheField>
    <cacheField name="Date Dde G EPCI" numFmtId="0">
      <sharedItems containsDate="1" containsBlank="1" containsMixedTypes="1" minDate="2014-05-14T00:00:00" maxDate="2016-12-24T00:00:00"/>
    </cacheField>
    <cacheField name="Date prév Conseil EPCI" numFmtId="0">
      <sharedItems containsDate="1" containsBlank="1" containsMixedTypes="1" minDate="2013-12-06T00:00:00" maxDate="2016-12-14T00:00:00"/>
    </cacheField>
    <cacheField name="Date Retour EPCI" numFmtId="0">
      <sharedItems containsDate="1" containsBlank="1" containsMixedTypes="1" minDate="2013-12-16T00:00:00" maxDate="2017-01-07T00:00:00"/>
    </cacheField>
    <cacheField name="Transmission à DAF5" numFmtId="0">
      <sharedItems containsDate="1" containsBlank="1" containsMixedTypes="1" minDate="2015-09-29T00:00:00" maxDate="2017-01-19T00:00:00"/>
    </cacheField>
    <cacheField name="Date Dde G CR" numFmtId="0">
      <sharedItems containsDate="1" containsBlank="1" containsMixedTypes="1" minDate="2013-11-05T00:00:00" maxDate="2016-12-24T00:00:00"/>
    </cacheField>
    <cacheField name="Date prév Commission CR" numFmtId="0">
      <sharedItems containsDate="1" containsBlank="1" containsMixedTypes="1" minDate="2013-11-26T00:00:00" maxDate="2016-11-30T00:00:00"/>
    </cacheField>
    <cacheField name="Date retour CR" numFmtId="0">
      <sharedItems containsDate="1" containsBlank="1" containsMixedTypes="1" minDate="2013-12-18T00:00:00" maxDate="2016-12-14T00:00:00"/>
    </cacheField>
    <cacheField name="Transmission à DAF6" numFmtId="0">
      <sharedItems containsDate="1" containsBlank="1" containsMixedTypes="1" minDate="2015-12-22T00:00:00" maxDate="2016-12-16T00:00:00"/>
    </cacheField>
    <cacheField name="Notaire VEFA" numFmtId="0">
      <sharedItems containsBlank="1"/>
    </cacheField>
    <cacheField name="Prévisionnel Hono totaux" numFmtId="0">
      <sharedItems containsString="0" containsBlank="1" containsNumber="1" containsInteger="1" minValue="25739" maxValue="474895"/>
    </cacheField>
    <cacheField name="Prévisionnel Hono signature" numFmtId="0">
      <sharedItems containsString="0" containsBlank="1" containsNumber="1" minValue="0" maxValue="284937"/>
    </cacheField>
    <cacheField name="Pièces envoyées" numFmtId="0">
      <sharedItems containsDate="1" containsBlank="1" containsMixedTypes="1" minDate="2013-11-25T00:00:00" maxDate="2016-10-05T00:00:00"/>
    </cacheField>
    <cacheField name="Projet VEFA Notaire" numFmtId="0">
      <sharedItems containsDate="1" containsBlank="1" containsMixedTypes="1" minDate="2013-11-15T00:00:00" maxDate="2016-11-08T00:00:00"/>
    </cacheField>
    <cacheField name="Transmission Projet VEFA à assistant juridique" numFmtId="0">
      <sharedItems containsDate="1" containsBlank="1" containsMixedTypes="1" minDate="2013-12-10T00:00:00" maxDate="2013-12-11T00:00:00"/>
    </cacheField>
    <cacheField name="Assistant juridique" numFmtId="0">
      <sharedItems containsBlank="1"/>
    </cacheField>
    <cacheField name="Transmission Projet VEFA à arrangeur" numFmtId="0">
      <sharedItems containsDate="1" containsBlank="1" containsMixedTypes="1" minDate="2013-12-10T00:00:00" maxDate="2013-12-11T00:00:00"/>
    </cacheField>
    <cacheField name="Calendrier appel de fonds" numFmtId="0">
      <sharedItems containsDate="1" containsBlank="1" containsMixedTypes="1" minDate="2013-12-03T00:00:00" maxDate="2013-12-07T00:00:00"/>
    </cacheField>
    <cacheField name="CAO" numFmtId="0">
      <sharedItems containsDate="1" containsBlank="1" containsMixedTypes="1" minDate="2012-10-26T00:00:00" maxDate="2016-06-08T00:00:00"/>
    </cacheField>
    <cacheField name="PC purgé" numFmtId="0">
      <sharedItems containsBlank="1"/>
    </cacheField>
    <cacheField name="Attestation non recours Mairie + certificat d'affichage + TA" numFmtId="0">
      <sharedItems containsBlank="1"/>
    </cacheField>
    <cacheField name="DROC2" numFmtId="0">
      <sharedItems containsDate="1" containsBlank="1" containsMixedTypes="1" minDate="2012-12-13T00:00:00" maxDate="2017-02-02T00:00:00"/>
    </cacheField>
    <cacheField name="DO " numFmtId="43">
      <sharedItems containsBlank="1"/>
    </cacheField>
    <cacheField name="GFA" numFmtId="43">
      <sharedItems containsBlank="1"/>
    </cacheField>
    <cacheField name="Signature VEFA / Placement defisc" numFmtId="0">
      <sharedItems containsDate="1" containsBlank="1" containsMixedTypes="1" minDate="2012-12-12T00:00:00" maxDate="2016-12-24T00:00:00"/>
    </cacheField>
    <cacheField name="Scan VEFA" numFmtId="14">
      <sharedItems containsDate="1" containsBlank="1" containsMixedTypes="1" minDate="2016-06-24T00:00:00" maxDate="2016-06-28T00:00:00"/>
    </cacheField>
    <cacheField name="Transmission VEFA à DAF" numFmtId="14">
      <sharedItems containsDate="1" containsBlank="1" containsMixedTypes="1" minDate="2016-06-27T00:00:00" maxDate="2016-06-28T00:00:00"/>
    </cacheField>
    <cacheField name="PRIX VEFA HT" numFmtId="43">
      <sharedItems containsBlank="1" containsMixedTypes="1" containsNumber="1" minValue="1051215.9099999999" maxValue="18979814"/>
    </cacheField>
    <cacheField name="Date limite d'utilisation des fonds" numFmtId="14">
      <sharedItems containsDate="1" containsBlank="1" containsMixedTypes="1" minDate="1901-06-30T00:00:00" maxDate="2018-06-24T00:00:00"/>
    </cacheField>
    <cacheField name="AF FONDATIONS" numFmtId="14">
      <sharedItems containsDate="1" containsBlank="1" containsMixedTypes="1" minDate="2013-10-22T00:00:00" maxDate="2017-06-23T00:00:00"/>
    </cacheField>
    <cacheField name="ACHEVEMENT LIM VEFA" numFmtId="14">
      <sharedItems containsNonDate="0" containsDate="1" containsString="0" containsBlank="1" minDate="2018-01-31T00:00:00" maxDate="2018-02-19T00:00:00"/>
    </cacheField>
    <cacheField name="Planning signé" numFmtId="0">
      <sharedItems containsDate="1" containsBlank="1" containsMixedTypes="1" minDate="2013-03-20T00:00:00" maxDate="2016-10-15T00:00:00"/>
    </cacheField>
    <cacheField name="Echantillons" numFmtId="0">
      <sharedItems containsDate="1" containsBlank="1" containsMixedTypes="1" minDate="2013-04-19T00:00:00" maxDate="2017-02-15T00:00:00"/>
    </cacheField>
    <cacheField name="Logement témoin" numFmtId="0">
      <sharedItems containsDate="1" containsBlank="1" containsMixedTypes="1" minDate="2012-03-01T00:00:00" maxDate="2017-01-27T00:00:00"/>
    </cacheField>
    <cacheField name="OS démarrage" numFmtId="164">
      <sharedItems containsNonDate="0" containsDate="1" containsString="0" containsBlank="1" minDate="2011-06-27T00:00:00" maxDate="2020-01-16T00:00:00"/>
    </cacheField>
    <cacheField name="1e pierre" numFmtId="0">
      <sharedItems containsDate="1" containsBlank="1" containsMixedTypes="1" minDate="2013-03-25T00:00:00" maxDate="2016-03-02T00:00:00"/>
    </cacheField>
    <cacheField name="Délai chantier initial" numFmtId="1">
      <sharedItems containsString="0" containsBlank="1" containsNumber="1" containsInteger="1" minValue="10" maxValue="24"/>
    </cacheField>
    <cacheField name="Délai chantier initial L" numFmtId="1">
      <sharedItems containsString="0" containsBlank="1" containsNumber="1" containsInteger="1" minValue="11" maxValue="26"/>
    </cacheField>
    <cacheField name="Délai chantier réel" numFmtId="1">
      <sharedItems containsString="0" containsBlank="1" containsNumber="1" containsInteger="1" minValue="0" maxValue="50"/>
    </cacheField>
    <cacheField name="Délai inauguration" numFmtId="1">
      <sharedItems containsString="0" containsBlank="1" containsNumber="1" containsInteger="1" minValue="0" maxValue="51"/>
    </cacheField>
    <cacheField name="Mois de retard réception" numFmtId="0">
      <sharedItems containsString="0" containsBlank="1" containsNumber="1" containsInteger="1" minValue="-18" maxValue="32"/>
    </cacheField>
    <cacheField name="Retard loyers" numFmtId="0">
      <sharedItems containsString="0" containsBlank="1" containsNumber="1" containsInteger="1" minValue="-1" maxValue="30"/>
    </cacheField>
    <cacheField name="Loyer mensuel" numFmtId="3">
      <sharedItems containsString="0" containsBlank="1" containsNumber="1" minValue="2035" maxValue="38106.375015552585"/>
    </cacheField>
    <cacheField name="Perte loyer" numFmtId="3">
      <sharedItems containsString="0" containsBlank="1" containsNumber="1" minValue="0" maxValue="797158.55348708667"/>
    </cacheField>
    <cacheField name="Transmission Fiche Pgr GL" numFmtId="0">
      <sharedItems containsDate="1" containsBlank="1" containsMixedTypes="1" minDate="2015-12-04T00:00:00" maxDate="2016-12-09T00:00:00"/>
    </cacheField>
    <cacheField name="Visites pré-livraison / M-1" numFmtId="0">
      <sharedItems containsDate="1" containsBlank="1" containsMixedTypes="1" minDate="2013-05-30T00:00:00" maxDate="2016-09-06T00:00:00"/>
    </cacheField>
    <cacheField name="Vérifications techniques Patrimoine" numFmtId="0">
      <sharedItems containsDate="1" containsBlank="1" containsMixedTypes="1" minDate="2013-06-25T00:00:00" maxDate="2015-09-09T00:00:00"/>
    </cacheField>
    <cacheField name="Date réception entreprises" numFmtId="0">
      <sharedItems containsNonDate="0" containsDate="1" containsString="0" containsBlank="1" minDate="2013-07-09T00:00:00" maxDate="2021-05-16T00:00:00"/>
    </cacheField>
    <cacheField name="DATE LIMITE DAT" numFmtId="0">
      <sharedItems containsDate="1" containsBlank="1" containsMixedTypes="1" minDate="1901-12-31T00:00:00" maxDate="2019-06-23T00:00:00"/>
    </cacheField>
    <cacheField name="PV réception signés" numFmtId="0">
      <sharedItems containsDate="1" containsBlank="1" containsMixedTypes="1" minDate="2015-09-18T00:00:00" maxDate="2016-10-27T00:00:00"/>
    </cacheField>
    <cacheField name="Date transmission clés Patrimoine" numFmtId="0">
      <sharedItems containsDate="1" containsBlank="1" containsMixedTypes="1" minDate="2014-03-18T00:00:00" maxDate="2015-10-17T00:00:00"/>
    </cacheField>
    <cacheField name="Transmission contrats d'entretien" numFmtId="0">
      <sharedItems containsBlank="1"/>
    </cacheField>
    <cacheField name="DAT" numFmtId="0">
      <sharedItems containsNonDate="0" containsDate="1" containsString="0" containsBlank="1" minDate="2013-06-04T00:00:00" maxDate="2017-02-23T00:00:00"/>
    </cacheField>
    <cacheField name="Transmission dossier H2 à GL" numFmtId="0">
      <sharedItems containsDate="1" containsBlank="1" containsMixedTypes="1" minDate="2015-10-01T00:00:00" maxDate="2017-01-11T00:00:00"/>
    </cacheField>
    <cacheField name="Date RDC GL" numFmtId="0">
      <sharedItems containsDate="1" containsBlank="1" containsMixedTypes="1" minDate="1900-01-30T00:00:00" maxDate="2021-06-16T00:00:00"/>
    </cacheField>
    <cacheField name="Date inauguration / livraison" numFmtId="164">
      <sharedItems containsNonDate="0" containsDate="1" containsString="0" containsBlank="1" minDate="2013-07-26T00:00:00" maxDate="2021-06-16T00:00:00"/>
    </cacheField>
    <cacheField name="CAL" numFmtId="0">
      <sharedItems containsDate="1" containsBlank="1" containsMixedTypes="1" minDate="2016-10-27T00:00:00" maxDate="2017-01-31T00:00:00"/>
    </cacheField>
    <cacheField name="POINT AVANCEMENT AU 27/09/16" numFmtId="0">
      <sharedItems containsBlank="1" longText="1"/>
    </cacheField>
    <cacheField name="Résiliations marchés" numFmtId="164">
      <sharedItems containsBlank="1" longText="1"/>
    </cacheField>
    <cacheField name="RFCT" numFmtId="164">
      <sharedItems containsDate="1" containsBlank="1" containsMixedTypes="1" minDate="2015-11-13T00:00:00" maxDate="2016-12-22T00:00:00"/>
    </cacheField>
    <cacheField name="DGD" numFmtId="164">
      <sharedItems containsBlank="1"/>
    </cacheField>
    <cacheField name="DOE" numFmtId="164">
      <sharedItems containsDate="1" containsBlank="1" containsMixedTypes="1" minDate="2015-12-10T00:00:00" maxDate="2015-12-11T00:00:00"/>
    </cacheField>
    <cacheField name="Attestation conformité Mairie" numFmtId="0">
      <sharedItems containsDate="1" containsBlank="1" containsMixedTypes="1" minDate="2014-01-22T00:00:00" maxDate="2017-02-03T00:00:00"/>
    </cacheField>
    <cacheField name="Clôture DO" numFmtId="0">
      <sharedItems containsDate="1" containsBlank="1" containsMixedTypes="1" minDate="2015-03-19T00:00:00" maxDate="2016-11-24T00:00:00"/>
    </cacheField>
    <cacheField name="Fin GPA" numFmtId="0">
      <sharedItems containsDate="1" containsBlank="1" containsMixedTypes="1" minDate="2014-07-09T00:00:00" maxDate="2017-10-27T00:00:00"/>
    </cacheField>
    <cacheField name="RDV pré-clôture avec RO" numFmtId="0">
      <sharedItems containsDate="1" containsBlank="1" containsMixedTypes="1" minDate="2014-10-03T00:00:00" maxDate="2017-03-02T00:00:00"/>
    </cacheField>
    <cacheField name="Transmission budget pré-clôture DAF" numFmtId="0">
      <sharedItems containsDate="1" containsBlank="1" containsMixedTypes="1" minDate="2014-10-06T00:00:00" maxDate="2017-02-14T00:00:00"/>
    </cacheField>
    <cacheField name="RDV clôture avec RO" numFmtId="0">
      <sharedItems containsDate="1" containsBlank="1" containsMixedTypes="1" minDate="2014-10-07T00:00:00" maxDate="2016-10-05T00:00:00"/>
    </cacheField>
    <cacheField name="Transmission budget DAF" numFmtId="0">
      <sharedItems containsDate="1" containsBlank="1" containsMixedTypes="1" minDate="2014-10-09T00:00:00" maxDate="2017-02-17T00:00:00"/>
    </cacheField>
    <cacheField name="Avenant global" numFmtId="0">
      <sharedItems containsBlank="1"/>
    </cacheField>
    <cacheField name="RDV RO DDAD" numFmtId="0">
      <sharedItems containsDate="1" containsBlank="1" containsMixedTypes="1" minDate="2016-02-26T00:00:00" maxDate="2017-03-02T00:00:00"/>
    </cacheField>
    <cacheField name="DDA définitif" numFmtId="0">
      <sharedItems containsDate="1" containsBlank="1" containsMixedTypes="1" minDate="2015-04-27T00:00:00" maxDate="2016-10-22T00:00:00"/>
    </cacheField>
    <cacheField name="Baux" numFmtId="0">
      <sharedItems containsBlank="1"/>
    </cacheField>
    <cacheField name="Transmission patrimoine" numFmtId="0">
      <sharedItems containsDate="1" containsBlank="1" containsMixedTypes="1" minDate="2015-04-20T00:00:00" maxDate="2016-02-27T00:00:00"/>
    </cacheField>
    <cacheField name="Archivage" numFmtId="0">
      <sharedItems containsNonDate="0" containsDate="1" containsString="0" containsBlank="1" minDate="2016-02-24T00:00:00" maxDate="2016-02-25T00:00:00"/>
    </cacheField>
    <cacheField name="Priorisation" numFmtId="0">
      <sharedItems containsBlank="1"/>
    </cacheField>
    <cacheField name="PRP TTC " numFmtId="165">
      <sharedItems containsString="0" containsBlank="1" containsNumber="1" minValue="0" maxValue="14323814"/>
    </cacheField>
    <cacheField name="PRP TTC  " numFmtId="0">
      <sharedItems containsString="0" containsBlank="1" containsNumber="1" minValue="0" maxValue="14364754"/>
    </cacheField>
    <cacheField name="ECART PRP" numFmtId="165">
      <sharedItems containsString="0" containsBlank="1" containsNumber="1" minValue="-12921593" maxValue="9522775"/>
    </cacheField>
    <cacheField name="PRP /m² SF" numFmtId="165">
      <sharedItems containsBlank="1" containsMixedTypes="1" containsNumber="1" minValue="0" maxValue="3796.4390277844686"/>
    </cacheField>
    <cacheField name="PRP / lgt" numFmtId="165">
      <sharedItems containsBlank="1" containsMixedTypes="1" containsNumber="1" minValue="0" maxValue="216535.83015615179"/>
    </cacheField>
    <cacheField name="BE" numFmtId="0">
      <sharedItems containsString="0" containsBlank="1" containsNumber="1" minValue="970725" maxValue="14981542.360255377"/>
    </cacheField>
    <cacheField name="BE PRIORISE" numFmtId="165">
      <sharedItems containsString="0" containsBlank="1" containsNumber="1" minValue="0" maxValue="12989943"/>
    </cacheField>
    <cacheField name="ECART BE" numFmtId="165">
      <sharedItems containsString="0" containsBlank="1" containsNumber="1" minValue="-14981542.360255377" maxValue="2460822"/>
    </cacheField>
    <cacheField name="% BE / PRP" numFmtId="9">
      <sharedItems containsBlank="1" containsMixedTypes="1" containsNumber="1" minValue="0" maxValue="2.0512855108293695"/>
    </cacheField>
    <cacheField name="Tx rétrocession" numFmtId="0">
      <sharedItems containsString="0" containsBlank="1" containsNumber="1" minValue="0.37030000000000002" maxValue="0.4"/>
    </cacheField>
    <cacheField name="DEFISC " numFmtId="0">
      <sharedItems containsString="0" containsBlank="1" containsNumber="1" minValue="0" maxValue="4247922.3040114455"/>
    </cacheField>
    <cacheField name="DEFISC 2" numFmtId="0">
      <sharedItems containsString="0" containsBlank="1" containsNumber="1" minValue="0" maxValue="4422509"/>
    </cacheField>
    <cacheField name="DEFISC / lgt" numFmtId="165">
      <sharedItems containsBlank="1" containsMixedTypes="1" containsNumber="1" minValue="0" maxValue="70976.629629629635"/>
    </cacheField>
    <cacheField name="ECART DEFISC" numFmtId="165">
      <sharedItems containsString="0" containsBlank="1" containsNumber="1" minValue="-4247922.3040114455" maxValue="317040.90000000002"/>
    </cacheField>
    <cacheField name="PRÊT " numFmtId="165">
      <sharedItems containsString="0" containsBlank="1" containsNumber="1" minValue="77120.800000000003" maxValue="10921593"/>
    </cacheField>
    <cacheField name="PRÊT 2" numFmtId="165">
      <sharedItems containsString="0" containsBlank="1" containsNumber="1" minValue="0" maxValue="8282245"/>
    </cacheField>
    <cacheField name="FONCIER2" numFmtId="0">
      <sharedItems containsString="0" containsBlank="1" containsNumber="1" minValue="85556" maxValue="1887032"/>
    </cacheField>
    <cacheField name="CONSTRUCTION" numFmtId="165">
      <sharedItems containsString="0" containsBlank="1" containsNumber="1" minValue="249856" maxValue="7004220"/>
    </cacheField>
    <cacheField name="ECART PRÊT" numFmtId="165">
      <sharedItems containsString="0" containsBlank="1" containsNumber="1" minValue="-10921593" maxValue="2481000"/>
    </cacheField>
    <cacheField name="PRÊT / lgt" numFmtId="165">
      <sharedItems containsBlank="1" containsMixedTypes="1" containsNumber="1" minValue="0" maxValue="133327.33333333334"/>
    </cacheField>
    <cacheField name="PRÊT 1 %" numFmtId="165">
      <sharedItems containsString="0" containsBlank="1" containsNumber="1" containsInteger="1" minValue="0" maxValue="100000"/>
    </cacheField>
    <cacheField name="LBU y/c CAF " numFmtId="0">
      <sharedItems containsString="0" containsBlank="1" containsNumber="1" minValue="1" maxValue="2000000"/>
    </cacheField>
    <cacheField name="LBU " numFmtId="0">
      <sharedItems containsString="0" containsBlank="1" containsNumber="1" containsInteger="1" minValue="0" maxValue="1700000"/>
    </cacheField>
    <cacheField name="CAF" numFmtId="0">
      <sharedItems containsString="0" containsBlank="1" containsNumber="1" containsInteger="1" minValue="0" maxValue="120000"/>
    </cacheField>
    <cacheField name="% LBU / PRP" numFmtId="9">
      <sharedItems containsBlank="1" containsMixedTypes="1" containsNumber="1" minValue="0" maxValue="1"/>
    </cacheField>
    <cacheField name="PHBB" numFmtId="0">
      <sharedItems containsString="0" containsBlank="1" containsNumber="1" containsInteger="1" minValue="60000" maxValue="520000"/>
    </cacheField>
    <cacheField name="AUTRES SUBVENTIONS" numFmtId="0">
      <sharedItems containsString="0" containsBlank="1" containsNumber="1" minValue="0" maxValue="114303"/>
    </cacheField>
    <cacheField name="ECART LBU y/c CAF" numFmtId="165">
      <sharedItems containsString="0" containsBlank="1" containsNumber="1" minValue="-2000000" maxValue="50000"/>
    </cacheField>
    <cacheField name="LBU / lgt_x000a_" numFmtId="165">
      <sharedItems containsBlank="1" containsMixedTypes="1" containsNumber="1" minValue="0" maxValue="46945.481481481482"/>
    </cacheField>
    <cacheField name="LBU+Défisc/lgt" numFmtId="165">
      <sharedItems containsBlank="1" containsMixedTypes="1" containsNumber="1" minValue="0" maxValue="90636.793249800321"/>
    </cacheField>
    <cacheField name="ECART LBU/lgt" numFmtId="165">
      <sharedItems containsBlank="1" containsMixedTypes="1" containsNumber="1" minValue="-25000" maxValue="4166.666666666667"/>
    </cacheField>
    <cacheField name="Loyer max" numFmtId="4">
      <sharedItems containsString="0" containsBlank="1" containsNumber="1" minValue="4.9400000000000004" maxValue="6.47"/>
    </cacheField>
    <cacheField name="Loyer d'équilibre" numFmtId="4">
      <sharedItems containsString="0" containsBlank="1" containsNumber="1" minValue="4.8499999999999996" maxValue="6.16"/>
    </cacheField>
    <cacheField name="PRP FRAFU hors TVA résiduelle" numFmtId="165">
      <sharedItems containsString="0" containsBlank="1" containsNumber="1" minValue="0" maxValue="2467086.73961312"/>
    </cacheField>
    <cacheField name="FRAFU" numFmtId="165">
      <sharedItems containsString="0" containsBlank="1" containsNumber="1" minValue="0" maxValue="1660000"/>
    </cacheField>
    <cacheField name="AIDES ETAT / lgt" numFmtId="165">
      <sharedItems containsBlank="1" containsMixedTypes="1" containsNumber="1" minValue="0" maxValue="148599.5"/>
    </cacheField>
    <cacheField name="SUBVENTION COLLECTIVITE FRAFU" numFmtId="165">
      <sharedItems containsString="0" containsBlank="1" containsNumber="1" minValue="0" maxValue="1220907.39295"/>
    </cacheField>
    <cacheField name="AIDES PUBLIQUES / lgt" numFmtId="165">
      <sharedItems containsBlank="1" containsMixedTypes="1" containsNumber="1" minValue="0" maxValue="267168.17749999999"/>
    </cacheField>
    <cacheField name="% AIDES PUBLIQUES" numFmtId="9">
      <sharedItems containsBlank="1" containsMixedTypes="1" containsNumber="1" minValue="0" maxValue="1"/>
    </cacheField>
    <cacheField name="CESSION FONCIERE" numFmtId="165">
      <sharedItems containsString="0" containsBlank="1" containsNumber="1" minValue="0" maxValue="770132.02990000008"/>
    </cacheField>
    <cacheField name="FONDS PROPRES FRAFU" numFmtId="165">
      <sharedItems containsNonDate="0" containsString="0" containsBlank="1"/>
    </cacheField>
    <cacheField name="FONDS PROPRES CONSTRUCTION" numFmtId="165">
      <sharedItems containsString="0" containsBlank="1" containsNumber="1" minValue="0" maxValue="745834.22"/>
    </cacheField>
    <cacheField name="PRP GLOBAL" numFmtId="43">
      <sharedItems containsString="0" containsBlank="1" containsNumber="1" minValue="0" maxValue="16831840.73961312"/>
    </cacheField>
    <cacheField name="HONORAIRES" numFmtId="3">
      <sharedItems containsString="0" containsBlank="1" containsNumber="1" minValue="64925" maxValue="1069949.6500000001"/>
    </cacheField>
    <cacheField name="CUMUL" numFmtId="3">
      <sharedItems containsString="0" containsBlank="1" containsNumber="1" minValue="19273" maxValue="342745"/>
    </cacheField>
    <cacheField name="NH PROG" numFmtId="0">
      <sharedItems containsNonDate="0" containsDate="1" containsString="0" containsBlank="1" minDate="2009-12-14T00:00:00" maxDate="2016-12-22T00:00:00"/>
    </cacheField>
    <cacheField name="NH PROG 10%" numFmtId="3">
      <sharedItems containsString="0" containsBlank="1" containsNumber="1" containsInteger="1" minValue="0" maxValue="210013"/>
    </cacheField>
    <cacheField name="OS ESQ" numFmtId="14">
      <sharedItems containsNonDate="0" containsDate="1" containsString="0" containsBlank="1" minDate="2011-07-11T00:00:00" maxDate="2017-02-24T00:00:00"/>
    </cacheField>
    <cacheField name="RECEPTION PREVUE ESQ" numFmtId="14">
      <sharedItems containsNonDate="0" containsDate="1" containsString="0" containsBlank="1" minDate="1900-01-20T00:00:00" maxDate="2017-03-17T00:00:00"/>
    </cacheField>
    <cacheField name="RECEPTION ESQ" numFmtId="14">
      <sharedItems containsNonDate="0" containsDate="1" containsString="0" containsBlank="1" minDate="2011-07-25T00:00:00" maxDate="2017-03-17T00:00:00"/>
    </cacheField>
    <cacheField name="ECART RECEPTION ESQ" numFmtId="0">
      <sharedItems containsBlank="1" containsMixedTypes="1" containsNumber="1" containsInteger="1" minValue="-290" maxValue="41176"/>
    </cacheField>
    <cacheField name="VALIDATION ESQ" numFmtId="14">
      <sharedItems containsNonDate="0" containsDate="1" containsString="0" containsBlank="1" minDate="2011-08-29T00:00:00" maxDate="2017-03-17T00:00:00"/>
    </cacheField>
    <cacheField name="DUREE VALIDATION ESQ" numFmtId="0">
      <sharedItems containsBlank="1" containsMixedTypes="1" containsNumber="1" containsInteger="1" minValue="0" maxValue="371"/>
    </cacheField>
    <cacheField name="ECART VALIDATION ESQ" numFmtId="0">
      <sharedItems containsString="0" containsBlank="1" containsNumber="1" containsInteger="1" minValue="-30" maxValue="341"/>
    </cacheField>
    <cacheField name="DUREE PHASE ESQ" numFmtId="0">
      <sharedItems containsBlank="1" containsMixedTypes="1" containsNumber="1" containsInteger="1" minValue="0" maxValue="311"/>
    </cacheField>
    <cacheField name="OS APS" numFmtId="14">
      <sharedItems containsNonDate="0" containsDate="1" containsString="0" containsBlank="1" minDate="2011-09-19T00:00:00" maxDate="2017-04-16T00:00:00"/>
    </cacheField>
    <cacheField name="ECART LANCEMENT APS" numFmtId="0">
      <sharedItems containsBlank="1" containsMixedTypes="1" containsNumber="1" containsInteger="1" minValue="-225" maxValue="50"/>
    </cacheField>
    <cacheField name="RECEPTION PREVUE APS" numFmtId="14">
      <sharedItems containsNonDate="0" containsDate="1" containsString="0" containsBlank="1" minDate="1900-01-20T00:00:00" maxDate="2017-05-16T00:00:00"/>
    </cacheField>
    <cacheField name="RECEPTION APS" numFmtId="14">
      <sharedItems containsNonDate="0" containsDate="1" containsString="0" containsBlank="1" minDate="2011-09-27T00:00:00" maxDate="2017-05-16T00:00:00"/>
    </cacheField>
    <cacheField name="ECART RECEPTION APS" numFmtId="0">
      <sharedItems containsBlank="1" containsMixedTypes="1" containsNumber="1" containsInteger="1" minValue="-26" maxValue="205"/>
    </cacheField>
    <cacheField name="VALIDATION APS" numFmtId="0">
      <sharedItems containsNonDate="0" containsDate="1" containsString="0" containsBlank="1" minDate="2011-11-07T00:00:00" maxDate="2017-06-15T00:00:00"/>
    </cacheField>
    <cacheField name="DUREE VALIDATION APS" numFmtId="0">
      <sharedItems containsDate="1" containsBlank="1" containsMixedTypes="1" minDate="1899-12-31T00:00:00" maxDate="1900-01-06T17:44:04"/>
    </cacheField>
    <cacheField name="ECART VALIDATION APS" numFmtId="0">
      <sharedItems containsString="0" containsBlank="1" containsNumber="1" containsInteger="1" minValue="-30" maxValue="355"/>
    </cacheField>
    <cacheField name="DUREE PHASE APS" numFmtId="0">
      <sharedItems containsBlank="1" containsMixedTypes="1" containsNumber="1" containsInteger="1" minValue="18" maxValue="455"/>
    </cacheField>
    <cacheField name="NH APS" numFmtId="164">
      <sharedItems containsDate="1" containsBlank="1" containsMixedTypes="1" minDate="2004-02-28T00:00:00" maxDate="2016-12-13T00:00:00"/>
    </cacheField>
    <cacheField name="NH APS 5%" numFmtId="3">
      <sharedItems containsBlank="1" containsMixedTypes="1" containsNumber="1" minValue="0" maxValue="48250"/>
    </cacheField>
    <cacheField name="RECEPTION PC" numFmtId="0">
      <sharedItems containsNonDate="0" containsDate="1" containsString="0" containsBlank="1" minDate="2011-12-15T00:00:00" maxDate="2017-06-30T00:00:00"/>
    </cacheField>
    <cacheField name="DEPOT PC" numFmtId="0">
      <sharedItems containsNonDate="0" containsDate="1" containsString="0" containsBlank="1" minDate="2012-01-24T00:00:00" maxDate="2017-07-07T00:00:00"/>
    </cacheField>
    <cacheField name="NH PC" numFmtId="14">
      <sharedItems containsNonDate="0" containsDate="1" containsString="0" containsBlank="1" minDate="2011-12-15T00:00:00" maxDate="2016-12-13T00:00:00"/>
    </cacheField>
    <cacheField name="NH PC 10%" numFmtId="3">
      <sharedItems containsString="0" containsBlank="1" containsNumber="1" minValue="0" maxValue="121749"/>
    </cacheField>
    <cacheField name="OS APD" numFmtId="164">
      <sharedItems containsNonDate="0" containsDate="1" containsString="0" containsBlank="1" minDate="2012-01-16T00:00:00" maxDate="2017-07-28T00:00:00"/>
    </cacheField>
    <cacheField name="ECART LANCEMENT APD" numFmtId="0">
      <sharedItems containsBlank="1" containsMixedTypes="1" containsNumber="1" containsInteger="1" minValue="-356" maxValue="263"/>
    </cacheField>
    <cacheField name="RECEPTION PREVUE APD" numFmtId="164">
      <sharedItems containsNonDate="0" containsDate="1" containsString="0" containsBlank="1" minDate="1900-01-29T00:00:00" maxDate="2017-08-27T00:00:00"/>
    </cacheField>
    <cacheField name="RECEPTION APD" numFmtId="164">
      <sharedItems containsNonDate="0" containsDate="1" containsString="0" containsBlank="1" minDate="2012-02-15T00:00:00" maxDate="2017-08-27T00:00:00"/>
    </cacheField>
    <cacheField name="ECART RECEPTION APD" numFmtId="0">
      <sharedItems containsBlank="1" containsMixedTypes="1" containsNumber="1" containsInteger="1" minValue="-26" maxValue="1061"/>
    </cacheField>
    <cacheField name="VALIDATION APD" numFmtId="164">
      <sharedItems containsNonDate="0" containsDate="1" containsString="0" containsBlank="1" minDate="2012-03-30T00:00:00" maxDate="2017-09-26T00:00:00"/>
    </cacheField>
    <cacheField name="DUREE VALIDATION APD" numFmtId="0">
      <sharedItems containsBlank="1" containsMixedTypes="1" containsNumber="1" containsInteger="1" minValue="-1031" maxValue="164"/>
    </cacheField>
    <cacheField name="ECART VALIDATION APD" numFmtId="0">
      <sharedItems containsString="0" containsBlank="1" containsNumber="1" containsInteger="1" minValue="-1061" maxValue="134"/>
    </cacheField>
    <cacheField name="DUREE PHASE APD" numFmtId="0">
      <sharedItems containsBlank="1" containsMixedTypes="1" containsNumber="1" containsInteger="1" minValue="40" maxValue="239"/>
    </cacheField>
    <cacheField name="NH APD" numFmtId="164">
      <sharedItems containsNonDate="0" containsDate="1" containsString="0" containsBlank="1" minDate="1932-06-11T00:00:00" maxDate="2016-12-23T00:00:00"/>
    </cacheField>
    <cacheField name="NH APD 10%" numFmtId="3">
      <sharedItems containsBlank="1" containsMixedTypes="1" containsNumber="1" minValue="0" maxValue="106994.96500000003"/>
    </cacheField>
    <cacheField name="OS PRO" numFmtId="164">
      <sharedItems containsNonDate="0" containsDate="1" containsString="0" containsBlank="1" minDate="1899-12-30T00:00:00" maxDate="2017-09-26T00:00:00"/>
    </cacheField>
    <cacheField name="ECART LANCEMENT PRO" numFmtId="1">
      <sharedItems containsBlank="1" containsMixedTypes="1" containsNumber="1" containsInteger="1" minValue="-120" maxValue="1386"/>
    </cacheField>
    <cacheField name="RECEPTION PREVUE PRO" numFmtId="164">
      <sharedItems containsNonDate="0" containsDate="1" containsString="0" containsBlank="1" minDate="1900-01-29T00:00:00" maxDate="2017-10-26T00:00:00"/>
    </cacheField>
    <cacheField name="RECEPTION PRO" numFmtId="164">
      <sharedItems containsNonDate="0" containsDate="1" containsString="0" containsBlank="1" minDate="2013-06-01T00:00:00" maxDate="2017-10-26T00:00:00"/>
    </cacheField>
    <cacheField name="ECART RECEPTION PRO" numFmtId="1">
      <sharedItems containsBlank="1" containsMixedTypes="1" containsNumber="1" containsInteger="1" minValue="-58" maxValue="42759"/>
    </cacheField>
    <cacheField name="VALIDATION PRO" numFmtId="164">
      <sharedItems containsNonDate="0" containsDate="1" containsString="0" containsBlank="1" minDate="1900-02-28T00:00:00" maxDate="2017-11-25T00:00:00"/>
    </cacheField>
    <cacheField name="DUREE VALIDATION PRO" numFmtId="1">
      <sharedItems containsBlank="1" containsMixedTypes="1" containsNumber="1" containsInteger="1" minValue="-42729" maxValue="279"/>
    </cacheField>
    <cacheField name="ECART VALIDATION PRO" numFmtId="1">
      <sharedItems containsString="0" containsBlank="1" containsNumber="1" containsInteger="1" minValue="-42759" maxValue="249"/>
    </cacheField>
    <cacheField name="DUREE PHASE PRO" numFmtId="1">
      <sharedItems containsBlank="1" containsMixedTypes="1" containsNumber="1" containsInteger="1" minValue="42" maxValue="411"/>
    </cacheField>
    <cacheField name="NH PRO" numFmtId="164">
      <sharedItems containsDate="1" containsBlank="1" containsMixedTypes="1" minDate="2013-08-22T00:00:00" maxDate="2016-12-14T00:00:00"/>
    </cacheField>
    <cacheField name="NH PRO 15%" numFmtId="3">
      <sharedItems containsBlank="1" containsMixedTypes="1" containsNumber="1" minValue="10511" maxValue="144751"/>
    </cacheField>
    <cacheField name="OS DCE" numFmtId="164">
      <sharedItems containsNonDate="0" containsDate="1" containsString="0" containsBlank="1" minDate="1900-02-28T00:00:00" maxDate="2017-11-25T00:00:00"/>
    </cacheField>
    <cacheField name="ECART LANCEMENT DCE" numFmtId="3">
      <sharedItems containsBlank="1" containsMixedTypes="1" containsNumber="1" containsInteger="1" minValue="-411" maxValue="74"/>
    </cacheField>
    <cacheField name="RECEPTION PREVUE DCE" numFmtId="164">
      <sharedItems containsNonDate="0" containsDate="1" containsString="0" containsBlank="1" minDate="1900-01-14T00:00:00" maxDate="2017-12-10T00:00:00"/>
    </cacheField>
    <cacheField name="RECEPTION DCE" numFmtId="164">
      <sharedItems containsNonDate="0" containsDate="1" containsString="0" containsBlank="1" minDate="2013-08-22T00:00:00" maxDate="2017-12-10T00:00:00"/>
    </cacheField>
    <cacheField name="ECART RECEPTION DCE" numFmtId="3">
      <sharedItems containsBlank="1" containsMixedTypes="1" containsNumber="1" containsInteger="1" minValue="-1" maxValue="42774"/>
    </cacheField>
    <cacheField name="LANCEMENT PREVU AO" numFmtId="164">
      <sharedItems containsNonDate="0" containsDate="1" containsString="0" containsBlank="1" minDate="1900-01-14T00:00:00" maxDate="2018-01-24T00:00:00"/>
    </cacheField>
    <cacheField name="LANCEMENT AO" numFmtId="164">
      <sharedItems containsNonDate="0" containsDate="1" containsString="0" containsBlank="1" minDate="2013-09-19T00:00:00" maxDate="2018-01-24T00:00:00"/>
    </cacheField>
    <cacheField name="ECART LANCEMENT AO" numFmtId="3">
      <sharedItems containsBlank="1" containsMixedTypes="1" containsNumber="1" containsInteger="1" minValue="-17" maxValue="714"/>
    </cacheField>
    <cacheField name="DUREE DCE" numFmtId="3">
      <sharedItems containsBlank="1" containsMixedTypes="1" containsNumber="1" containsInteger="1" minValue="0" maxValue="42774"/>
    </cacheField>
    <cacheField name="CAO2" numFmtId="164">
      <sharedItems containsNonDate="0" containsDate="1" containsString="0" containsBlank="1" minDate="1900-02-28T00:00:00" maxDate="2018-03-25T00:00:00"/>
    </cacheField>
    <cacheField name="DUREE CAO" numFmtId="1">
      <sharedItems containsBlank="1" containsMixedTypes="1" containsNumber="1" containsInteger="1" minValue="36" maxValue="525"/>
    </cacheField>
    <cacheField name="ECART CAO" numFmtId="1">
      <sharedItems containsString="0" containsBlank="1" containsNumber="1" containsInteger="1" minValue="-60" maxValue="465"/>
    </cacheField>
    <cacheField name="DUREE ETUDES NORMALES (mois)" numFmtId="1">
      <sharedItems containsString="0" containsBlank="1" containsNumber="1" minValue="8.0666666666666664" maxValue="9.6999999999999993"/>
    </cacheField>
    <cacheField name="ECART ETUDES (mois) prévisionnel" numFmtId="176">
      <sharedItems containsString="0" containsBlank="1" containsNumber="1" minValue="-9.6999999999999993" maxValue="1423.0666666666666"/>
    </cacheField>
    <cacheField name="NH VEFA" numFmtId="164">
      <sharedItems containsDate="1" containsBlank="1" containsMixedTypes="1" minDate="2016-07-13T00:00:00" maxDate="2016-12-24T00:00:00"/>
    </cacheField>
    <cacheField name="NH VEFA 5%" numFmtId="3">
      <sharedItems containsString="0" containsBlank="1" containsNumber="1" minValue="18438" maxValue="129228"/>
    </cacheField>
    <cacheField name="NH OS" numFmtId="164">
      <sharedItems containsDate="1" containsBlank="1" containsMixedTypes="1" minDate="2016-07-13T00:00:00" maxDate="2016-12-24T00:00:00"/>
    </cacheField>
    <cacheField name="NH OS 10%" numFmtId="3">
      <sharedItems containsString="0" containsBlank="1" containsNumber="1" containsInteger="1" minValue="18387" maxValue="41091"/>
    </cacheField>
    <cacheField name="NH Fondations" numFmtId="0">
      <sharedItems containsNonDate="0" containsDate="1" containsString="0" containsBlank="1" minDate="2016-07-13T00:00:00" maxDate="2016-12-24T00:00:00"/>
    </cacheField>
    <cacheField name="NH Fondations 5%" numFmtId="0">
      <sharedItems containsString="0" containsBlank="1" containsNumber="1" minValue="17699" maxValue="65916.894009216587"/>
    </cacheField>
    <cacheField name="NH R+1" numFmtId="0">
      <sharedItems containsNonDate="0" containsDate="1" containsString="0" containsBlank="1" minDate="2016-10-17T00:00:00" maxDate="2016-12-09T00:00:00"/>
    </cacheField>
    <cacheField name="NH R+1 5%" numFmtId="0">
      <sharedItems containsString="0" containsBlank="1" containsNumber="1" containsInteger="1" minValue="5451" maxValue="851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0">
  <r>
    <s v="DESIRE"/>
    <s v="Petite-Ile"/>
    <x v="0"/>
    <s v="PRLC 0099"/>
    <m/>
    <n v="27"/>
    <m/>
    <n v="27"/>
    <n v="2110.92"/>
    <n v="2110.92"/>
    <n v="78.182222222222222"/>
    <n v="1400"/>
    <n v="4"/>
    <s v="non"/>
    <x v="0"/>
    <s v="FHO"/>
    <s v="GPA"/>
    <m/>
    <m/>
    <s v="SRI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3629248.15"/>
    <n v="3629248.15"/>
    <n v="1719.2731842040437"/>
    <n v="134416.59814814816"/>
    <m/>
    <n v="0"/>
    <n v="0"/>
    <e v="#DIV/0!"/>
    <n v="0"/>
    <n v="0"/>
    <n v="0"/>
    <n v="0"/>
    <m/>
    <n v="2306000"/>
    <n v="511146"/>
    <n v="1794854"/>
    <n v="2306000"/>
    <n v="85407.407407407401"/>
    <m/>
    <n v="1321839.1499999999"/>
    <n v="1321839.1499999999"/>
    <n v="0.36421845389657359"/>
    <m/>
    <n v="0"/>
    <n v="48957.005555555552"/>
    <n v="0"/>
    <m/>
    <m/>
    <n v="1743325.6787247001"/>
    <n v="660000"/>
    <n v="73401.45"/>
    <n v="767026.95965000009"/>
    <n v="101809.85591296296"/>
    <m/>
    <m/>
    <n v="0"/>
    <n v="1409"/>
    <n v="5372573.8287247"/>
  </r>
  <r>
    <s v="JULES VIENNE"/>
    <s v="Petite-Ile"/>
    <x v="0"/>
    <s v="PRLC 0098"/>
    <s v="LLTS"/>
    <n v="30"/>
    <m/>
    <n v="30"/>
    <n v="2238.04"/>
    <n v="2238.04"/>
    <n v="74.601333333333329"/>
    <n v="1419.56"/>
    <n v="5"/>
    <m/>
    <x v="0"/>
    <s v="FMA"/>
    <s v="DAT"/>
    <m/>
    <m/>
    <s v="SAR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3840605"/>
    <n v="3840605"/>
    <n v="1716.0573537559651"/>
    <n v="128020.16666666667"/>
    <m/>
    <m/>
    <n v="0"/>
    <e v="#DIV/0!"/>
    <n v="0"/>
    <n v="0"/>
    <n v="0"/>
    <n v="0"/>
    <m/>
    <n v="2481000"/>
    <n v="486094"/>
    <n v="1994906"/>
    <n v="2481000"/>
    <n v="82700"/>
    <m/>
    <n v="1359605"/>
    <n v="1359605"/>
    <n v="0.35400802738110271"/>
    <m/>
    <n v="0"/>
    <n v="45320.166666666664"/>
    <n v="0"/>
    <m/>
    <m/>
    <n v="2116553"/>
    <n v="550000"/>
    <n v="63653.5"/>
    <n v="1220907.39295"/>
    <n v="104350.41309833335"/>
    <m/>
    <m/>
    <n v="0"/>
    <n v="0"/>
    <n v="5957158"/>
  </r>
  <r>
    <s v="Les Pechers VEFA"/>
    <s v="Tampon"/>
    <x v="1"/>
    <s v="PRLC 0105"/>
    <s v="LLS"/>
    <n v="20"/>
    <n v="20"/>
    <m/>
    <n v="1707.35"/>
    <n v="1707.35"/>
    <n v="85.367499999999993"/>
    <n v="461.7"/>
    <m/>
    <m/>
    <x v="1"/>
    <s v="FMA"/>
    <s v="GPA"/>
    <m/>
    <m/>
    <s v="MLO"/>
    <m/>
    <m/>
    <m/>
    <m/>
    <m/>
    <m/>
    <m/>
    <m/>
    <m/>
    <m/>
    <m/>
    <m/>
    <m/>
    <m/>
    <m/>
    <m/>
    <m/>
    <m/>
    <m/>
    <m/>
    <m/>
    <m/>
    <m/>
    <m/>
    <m/>
    <m/>
    <m/>
    <m/>
    <s v="BELLANGER"/>
    <m/>
    <m/>
    <m/>
    <m/>
    <m/>
    <m/>
    <m/>
    <m/>
    <m/>
    <m/>
    <m/>
    <m/>
    <m/>
    <m/>
    <n v="3732556"/>
    <n v="3732556"/>
    <n v="2186.1692095938151"/>
    <n v="186627.8"/>
    <n v="3491780"/>
    <m/>
    <n v="-3491780"/>
    <e v="#DIV/0!"/>
    <n v="1090089"/>
    <n v="1090090"/>
    <n v="54504.5"/>
    <n v="1"/>
    <n v="2287465"/>
    <n v="2287466"/>
    <n v="616923"/>
    <n v="1670543"/>
    <n v="1"/>
    <n v="114373.3"/>
    <n v="0"/>
    <n v="355000"/>
    <n v="355000"/>
    <n v="9.5109088785272078E-2"/>
    <n v="0"/>
    <n v="0"/>
    <n v="17750"/>
    <n v="0"/>
    <m/>
    <m/>
    <n v="0"/>
    <n v="0"/>
    <n v="72254.5"/>
    <n v="0"/>
    <n v="72254.5"/>
    <m/>
    <m/>
    <n v="0"/>
    <n v="0"/>
    <n v="3732556"/>
  </r>
  <r>
    <s v="Lavoir "/>
    <s v="St Leu"/>
    <x v="2"/>
    <s v="PRLC 0100"/>
    <s v="LLTS"/>
    <n v="14"/>
    <m/>
    <n v="14"/>
    <n v="1050.33"/>
    <n v="1050.33"/>
    <n v="75.023571428571429"/>
    <n v="600"/>
    <m/>
    <s v="oui"/>
    <x v="1"/>
    <s v="YFR"/>
    <s v="DAT"/>
    <m/>
    <m/>
    <s v="SRI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2182798.4699999997"/>
    <n v="2182798.4699999997"/>
    <n v="2078.2025363457196"/>
    <n v="155914.1764285714"/>
    <m/>
    <n v="0"/>
    <n v="0"/>
    <e v="#DIV/0!"/>
    <n v="0"/>
    <n v="0"/>
    <n v="0"/>
    <n v="0"/>
    <n v="1285412"/>
    <n v="1285412"/>
    <n v="305730"/>
    <n v="979682"/>
    <n v="0"/>
    <n v="91815.142857142855"/>
    <m/>
    <n v="701033"/>
    <n v="701033"/>
    <n v="0.3211624937596736"/>
    <m/>
    <n v="0"/>
    <n v="50073.785714285717"/>
    <n v="0"/>
    <m/>
    <m/>
    <n v="709049.17580824986"/>
    <n v="280000"/>
    <n v="70073.78571428571"/>
    <n v="259894.04"/>
    <n v="88637.645714285711"/>
    <m/>
    <m/>
    <n v="12797.14"/>
    <n v="196353.46999999997"/>
    <n v="2891847.6458082497"/>
  </r>
  <r>
    <s v="Oiseaux du Paradis VEFA"/>
    <s v="St Pierre"/>
    <x v="0"/>
    <s v="PRLC 0123"/>
    <s v="LLS"/>
    <n v="23"/>
    <n v="23"/>
    <m/>
    <n v="1916.48"/>
    <n v="1916.48"/>
    <n v="83.325217391304349"/>
    <m/>
    <m/>
    <s v="non"/>
    <x v="1"/>
    <s v="NBL"/>
    <s v="GPA"/>
    <m/>
    <m/>
    <s v="SRI"/>
    <m/>
    <m/>
    <m/>
    <m/>
    <m/>
    <m/>
    <m/>
    <m/>
    <m/>
    <m/>
    <m/>
    <m/>
    <m/>
    <m/>
    <m/>
    <m/>
    <m/>
    <m/>
    <m/>
    <m/>
    <m/>
    <m/>
    <m/>
    <m/>
    <m/>
    <m/>
    <m/>
    <m/>
    <s v="QUINOT"/>
    <m/>
    <m/>
    <m/>
    <m/>
    <m/>
    <m/>
    <m/>
    <m/>
    <m/>
    <m/>
    <m/>
    <m/>
    <m/>
    <m/>
    <n v="4024614"/>
    <n v="4024614"/>
    <n v="2100.0031307396894"/>
    <n v="174983.21739130435"/>
    <n v="3671820"/>
    <m/>
    <n v="-3671820"/>
    <e v="#DIV/0!"/>
    <n v="1191366"/>
    <n v="1191366"/>
    <n v="51798.521739130432"/>
    <n v="0"/>
    <n v="2593660"/>
    <n v="2593661"/>
    <n v="592565"/>
    <n v="2001096"/>
    <n v="1"/>
    <n v="112767.86956521739"/>
    <n v="0"/>
    <n v="239587"/>
    <n v="239587"/>
    <n v="5.9530429502059078E-2"/>
    <n v="0"/>
    <n v="0"/>
    <n v="10416.826086956522"/>
    <n v="0"/>
    <m/>
    <m/>
    <n v="0"/>
    <n v="0"/>
    <n v="62215.34782608696"/>
    <n v="0"/>
    <n v="62215.34782608696"/>
    <m/>
    <m/>
    <n v="0"/>
    <n v="0"/>
    <n v="4024614"/>
  </r>
  <r>
    <s v=" Les Rosiers VEFA LLS"/>
    <s v="Tampon"/>
    <x v="1"/>
    <s v="PRLC 0124"/>
    <s v="LLS"/>
    <n v="51"/>
    <n v="51"/>
    <m/>
    <n v="4837.3599999999997"/>
    <n v="4837.3599999999997"/>
    <n v="94.850196078431367"/>
    <n v="900"/>
    <m/>
    <s v="oui"/>
    <x v="1"/>
    <s v="SFE"/>
    <s v="DAT"/>
    <m/>
    <m/>
    <s v="SAR"/>
    <m/>
    <m/>
    <m/>
    <m/>
    <m/>
    <m/>
    <m/>
    <m/>
    <m/>
    <m/>
    <m/>
    <m/>
    <m/>
    <m/>
    <m/>
    <m/>
    <m/>
    <m/>
    <m/>
    <m/>
    <m/>
    <m/>
    <m/>
    <m/>
    <m/>
    <m/>
    <m/>
    <m/>
    <s v="BARET/GILLOT"/>
    <m/>
    <m/>
    <m/>
    <m/>
    <m/>
    <m/>
    <m/>
    <m/>
    <m/>
    <m/>
    <m/>
    <m/>
    <m/>
    <m/>
    <n v="9522775"/>
    <n v="9522775"/>
    <n v="1968.5892718342238"/>
    <n v="186721.07843137256"/>
    <m/>
    <m/>
    <n v="0"/>
    <e v="#DIV/0!"/>
    <n v="2932668"/>
    <n v="2932668"/>
    <n v="57503.294117647056"/>
    <n v="0"/>
    <n v="6290107"/>
    <n v="6290107"/>
    <n v="1887032"/>
    <n v="4403075"/>
    <n v="0"/>
    <n v="123335.43137254902"/>
    <n v="0"/>
    <n v="300000"/>
    <n v="300000"/>
    <n v="3.150342205922118E-2"/>
    <n v="0"/>
    <n v="0"/>
    <n v="5882.3529411764703"/>
    <n v="0"/>
    <m/>
    <m/>
    <n v="0"/>
    <n v="0"/>
    <n v="63385.647058823532"/>
    <n v="0"/>
    <n v="63385.647058823532"/>
    <m/>
    <m/>
    <n v="0"/>
    <n v="0"/>
    <n v="9522775"/>
  </r>
  <r>
    <s v=" Les Rosiers VEFA LLTS"/>
    <s v="Tampon"/>
    <x v="1"/>
    <s v="PRLC 0124"/>
    <s v="LLTS"/>
    <n v="6"/>
    <m/>
    <n v="6"/>
    <n v="470.86"/>
    <n v="470.86"/>
    <n v="78.476666666666674"/>
    <m/>
    <m/>
    <s v="oui"/>
    <x v="1"/>
    <s v="SFE"/>
    <s v="DAT"/>
    <m/>
    <m/>
    <s v="SAR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926283"/>
    <n v="926283"/>
    <n v="1967.2153081595377"/>
    <n v="154380.5"/>
    <m/>
    <m/>
    <n v="0"/>
    <e v="#DIV/0!"/>
    <n v="340124"/>
    <n v="340124"/>
    <n v="56687.333333333336"/>
    <n v="0"/>
    <n v="486159"/>
    <n v="486159"/>
    <n v="145848"/>
    <n v="340311"/>
    <n v="0"/>
    <n v="81026.5"/>
    <n v="0"/>
    <n v="100000"/>
    <n v="100000"/>
    <n v="0.10795836693537504"/>
    <n v="0"/>
    <n v="0"/>
    <n v="16666.666666666668"/>
    <n v="0"/>
    <m/>
    <m/>
    <n v="0"/>
    <n v="0"/>
    <n v="73354"/>
    <n v="0"/>
    <n v="73354"/>
    <m/>
    <m/>
    <n v="0"/>
    <n v="0"/>
    <n v="926283"/>
  </r>
  <r>
    <s v="P'titCanal  LLS       "/>
    <s v="St Leu"/>
    <x v="2"/>
    <s v="PRLC 0094"/>
    <s v="LLS"/>
    <n v="4"/>
    <n v="4"/>
    <m/>
    <n v="317.76"/>
    <n v="317.76"/>
    <n v="79.44"/>
    <n v="2180"/>
    <m/>
    <s v="oui"/>
    <x v="1"/>
    <s v="SFE"/>
    <s v="DAT"/>
    <m/>
    <m/>
    <s v="MLO"/>
    <m/>
    <m/>
    <m/>
    <m/>
    <m/>
    <m/>
    <m/>
    <m/>
    <m/>
    <m/>
    <m/>
    <m/>
    <m/>
    <m/>
    <m/>
    <m/>
    <m/>
    <m/>
    <m/>
    <m/>
    <m/>
    <m/>
    <m/>
    <m/>
    <m/>
    <m/>
    <m/>
    <m/>
    <s v="LE GOFF"/>
    <m/>
    <m/>
    <m/>
    <m/>
    <m/>
    <m/>
    <m/>
    <m/>
    <m/>
    <m/>
    <m/>
    <m/>
    <m/>
    <m/>
    <n v="642137"/>
    <n v="642137"/>
    <n v="2020.8238922457201"/>
    <n v="160534.25"/>
    <m/>
    <m/>
    <n v="0"/>
    <e v="#DIV/0!"/>
    <n v="75000"/>
    <n v="75000"/>
    <n v="18750"/>
    <n v="0"/>
    <m/>
    <n v="335412"/>
    <n v="85556"/>
    <n v="249856"/>
    <n v="335412"/>
    <n v="83853"/>
    <n v="100000"/>
    <n v="119398"/>
    <n v="119398"/>
    <n v="0.18593851467833189"/>
    <n v="12327"/>
    <n v="0"/>
    <n v="29849.5"/>
    <n v="0"/>
    <m/>
    <m/>
    <n v="1087937.9071325003"/>
    <n v="400000"/>
    <n v="148599.5"/>
    <n v="474274.71"/>
    <n v="267168.17749999999"/>
    <m/>
    <m/>
    <n v="0"/>
    <n v="0"/>
    <n v="1730074.9071325003"/>
  </r>
  <r>
    <s v="P'titCanal         LLTS"/>
    <s v="St Leu"/>
    <x v="2"/>
    <s v="PRLC 0094"/>
    <s v="LLTS"/>
    <n v="16"/>
    <m/>
    <n v="16"/>
    <n v="1432.77"/>
    <n v="1432.77"/>
    <n v="89.548124999999999"/>
    <m/>
    <m/>
    <s v="oui"/>
    <x v="1"/>
    <s v="SFE"/>
    <s v="DAT"/>
    <m/>
    <m/>
    <s v="MLO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2817333"/>
    <n v="2817333"/>
    <n v="1966.3539856362152"/>
    <n v="176083.3125"/>
    <m/>
    <m/>
    <n v="0"/>
    <e v="#DIV/0!"/>
    <n v="853424"/>
    <n v="853424"/>
    <n v="53339"/>
    <n v="0"/>
    <n v="1530227"/>
    <n v="1530227"/>
    <n v="304961"/>
    <n v="1225266"/>
    <n v="0"/>
    <n v="95639.1875"/>
    <n v="0"/>
    <n v="421063"/>
    <n v="380000"/>
    <n v="0.13487933446277028"/>
    <n v="53682"/>
    <n v="-41063"/>
    <n v="23750"/>
    <n v="-2566.4375"/>
    <m/>
    <m/>
    <n v="0"/>
    <n v="0"/>
    <n v="77089"/>
    <n v="0"/>
    <n v="77089"/>
    <m/>
    <m/>
    <n v="0"/>
    <n v="0"/>
    <n v="2817333"/>
  </r>
  <r>
    <s v="Avenue Raymond Barre "/>
    <s v="Etang-Salé"/>
    <x v="0"/>
    <s v="PRLC 0116"/>
    <s v="LLTS"/>
    <n v="14"/>
    <m/>
    <n v="14"/>
    <n v="1109.03"/>
    <n v="1109.03"/>
    <n v="79.216428571428565"/>
    <n v="1000"/>
    <n v="1"/>
    <m/>
    <x v="2"/>
    <s v="FHO"/>
    <s v="Tvx"/>
    <m/>
    <m/>
    <s v="NLE"/>
    <m/>
    <m/>
    <m/>
    <m/>
    <m/>
    <m/>
    <m/>
    <m/>
    <m/>
    <m/>
    <m/>
    <m/>
    <m/>
    <m/>
    <m/>
    <m/>
    <m/>
    <m/>
    <m/>
    <m/>
    <m/>
    <m/>
    <m/>
    <m/>
    <m/>
    <m/>
    <m/>
    <m/>
    <s v="LE GOFF"/>
    <n v="49348"/>
    <n v="29608.799999999999"/>
    <m/>
    <m/>
    <m/>
    <m/>
    <m/>
    <m/>
    <m/>
    <m/>
    <m/>
    <m/>
    <m/>
    <n v="2268881"/>
    <n v="2368881"/>
    <n v="100000"/>
    <n v="2135.9936160428483"/>
    <n v="169205.78571428571"/>
    <m/>
    <n v="2068826"/>
    <n v="2068826"/>
    <n v="0"/>
    <n v="745095"/>
    <n v="745095"/>
    <n v="53221.071428571428"/>
    <n v="0"/>
    <n v="1240121"/>
    <n v="1240121"/>
    <n v="347814"/>
    <n v="892307"/>
    <n v="0"/>
    <n v="88580.071428571435"/>
    <n v="100000"/>
    <n v="159905"/>
    <n v="159905"/>
    <n v="6.7502335490892115E-2"/>
    <n v="0"/>
    <n v="0"/>
    <n v="11421.785714285714"/>
    <n v="0"/>
    <m/>
    <m/>
    <n v="339632.49384750001"/>
    <n v="210000"/>
    <n v="79642.857142857145"/>
    <n v="0"/>
    <n v="79642.857142857145"/>
    <m/>
    <m/>
    <n v="0"/>
    <n v="123760"/>
    <n v="2708513.4938475001"/>
  </r>
  <r>
    <s v="Desiré 2"/>
    <s v="Petite-Ile"/>
    <x v="0"/>
    <s v="PRLC 0133"/>
    <s v="LLTS"/>
    <n v="7"/>
    <m/>
    <n v="7"/>
    <n v="534.08000000000004"/>
    <n v="534.08000000000004"/>
    <n v="76.297142857142859"/>
    <n v="217.58"/>
    <m/>
    <m/>
    <x v="2"/>
    <s v="YFR"/>
    <s v="Tvx"/>
    <m/>
    <m/>
    <s v="MLO"/>
    <m/>
    <m/>
    <m/>
    <m/>
    <m/>
    <m/>
    <m/>
    <m/>
    <m/>
    <m/>
    <m/>
    <m/>
    <m/>
    <m/>
    <m/>
    <m/>
    <m/>
    <m/>
    <m/>
    <m/>
    <m/>
    <m/>
    <m/>
    <m/>
    <m/>
    <m/>
    <m/>
    <m/>
    <s v="LE GOFF"/>
    <n v="25739"/>
    <n v="15443.4"/>
    <m/>
    <m/>
    <m/>
    <m/>
    <m/>
    <m/>
    <m/>
    <m/>
    <m/>
    <m/>
    <m/>
    <n v="1076955"/>
    <n v="1076956"/>
    <n v="1"/>
    <n v="2016.4694427801078"/>
    <n v="153850.85714285713"/>
    <n v="970725"/>
    <m/>
    <n v="-970725"/>
    <n v="0.92028935749404561"/>
    <n v="294296"/>
    <n v="294297"/>
    <n v="42042.428571428572"/>
    <n v="1"/>
    <n v="604971"/>
    <n v="604971"/>
    <n v="112853"/>
    <n v="492118"/>
    <n v="0"/>
    <n v="86424.428571428565"/>
    <n v="0"/>
    <n v="177688"/>
    <n v="177688"/>
    <n v="0.16499095599077399"/>
    <n v="0"/>
    <n v="0"/>
    <n v="25384"/>
    <n v="0"/>
    <m/>
    <m/>
    <n v="201612.56503499998"/>
    <n v="138000"/>
    <n v="87140.71428571429"/>
    <n v="0"/>
    <n v="87140.71428571429"/>
    <m/>
    <m/>
    <n v="5380.2623647346618"/>
    <n v="0"/>
    <n v="1278568.565035"/>
  </r>
  <r>
    <s v="Aubépines (Les Boulistes)"/>
    <s v="Tampon"/>
    <x v="1"/>
    <s v="PRLC 0104"/>
    <s v="LLTS"/>
    <n v="17"/>
    <m/>
    <n v="17"/>
    <n v="1240.2"/>
    <n v="1240.2"/>
    <n v="72.952941176470588"/>
    <n v="760"/>
    <m/>
    <m/>
    <x v="2"/>
    <s v="FMA"/>
    <s v="Tvx"/>
    <m/>
    <m/>
    <s v="MLO"/>
    <m/>
    <m/>
    <m/>
    <m/>
    <m/>
    <m/>
    <m/>
    <m/>
    <m/>
    <m/>
    <m/>
    <m/>
    <m/>
    <m/>
    <m/>
    <m/>
    <m/>
    <m/>
    <m/>
    <m/>
    <m/>
    <m/>
    <m/>
    <m/>
    <m/>
    <m/>
    <m/>
    <m/>
    <s v="BARET/GILLOT"/>
    <n v="61319"/>
    <n v="36791.4"/>
    <m/>
    <m/>
    <m/>
    <m/>
    <m/>
    <m/>
    <m/>
    <m/>
    <m/>
    <m/>
    <m/>
    <n v="2565589.7200000002"/>
    <n v="2565589.7200000002"/>
    <n v="0"/>
    <n v="2068.6903080148363"/>
    <n v="150917.04235294118"/>
    <n v="2379882"/>
    <m/>
    <n v="-2379882"/>
    <n v="0.94709590666741517"/>
    <n v="750247"/>
    <n v="750247"/>
    <n v="44132.176470588238"/>
    <n v="0"/>
    <n v="1395754"/>
    <n v="1395754"/>
    <n v="259962"/>
    <n v="1135792"/>
    <n v="0"/>
    <n v="82103.176470588238"/>
    <n v="0"/>
    <n v="339997"/>
    <n v="339997"/>
    <n v="0.13252196847748515"/>
    <n v="0"/>
    <n v="0"/>
    <n v="19999.823529411766"/>
    <n v="0"/>
    <m/>
    <m/>
    <n v="524441.45477732469"/>
    <n v="340000"/>
    <n v="84132"/>
    <n v="0"/>
    <n v="84132"/>
    <m/>
    <m/>
    <n v="1289.890117349918"/>
    <n v="79591.72"/>
    <n v="3090031.1747773248"/>
  </r>
  <r>
    <s v="Les Mimosas (Philidor Techer)"/>
    <s v="Tampon"/>
    <x v="1"/>
    <s v="PRLC 0114"/>
    <s v="LLTS"/>
    <n v="40"/>
    <m/>
    <n v="40"/>
    <n v="2591.65"/>
    <n v="2591.65"/>
    <n v="64.791250000000005"/>
    <m/>
    <m/>
    <s v="non"/>
    <x v="2"/>
    <s v="FMA"/>
    <s v="Tvx"/>
    <m/>
    <m/>
    <s v="KGI"/>
    <m/>
    <m/>
    <m/>
    <m/>
    <m/>
    <m/>
    <m/>
    <m/>
    <m/>
    <m/>
    <m/>
    <m/>
    <m/>
    <m/>
    <m/>
    <m/>
    <m/>
    <m/>
    <m/>
    <m/>
    <m/>
    <m/>
    <m/>
    <m/>
    <m/>
    <m/>
    <m/>
    <m/>
    <s v="MAREL"/>
    <n v="123221"/>
    <n v="73932.600000000006"/>
    <m/>
    <m/>
    <m/>
    <m/>
    <m/>
    <m/>
    <m/>
    <m/>
    <m/>
    <m/>
    <m/>
    <n v="5038677"/>
    <n v="5038677.5299999993"/>
    <n v="0.52999999932944775"/>
    <n v="1944.1967588215998"/>
    <n v="125966.93824999998"/>
    <n v="4689965"/>
    <m/>
    <n v="-4689965"/>
    <n v="0.95033959608841756"/>
    <n v="1480537"/>
    <n v="1480537"/>
    <n v="37013.425000000003"/>
    <n v="0"/>
    <n v="2895140"/>
    <n v="2895140.53"/>
    <n v="565518"/>
    <n v="2329622.5299999998"/>
    <n v="0.52999999979510903"/>
    <n v="72378.513249999989"/>
    <n v="0"/>
    <n v="663000"/>
    <n v="663000"/>
    <n v="0.13158214552380773"/>
    <n v="0"/>
    <n v="0"/>
    <n v="16575"/>
    <n v="0"/>
    <m/>
    <m/>
    <n v="1151902.8490725001"/>
    <n v="800000"/>
    <n v="73588.425000000003"/>
    <n v="0"/>
    <n v="73588.425000000003"/>
    <m/>
    <m/>
    <n v="8800.9666500000003"/>
    <n v="0"/>
    <n v="6190580.3790724995"/>
  </r>
  <r>
    <s v="Poker d'As LLS"/>
    <s v="Tampon"/>
    <x v="1"/>
    <s v="PRLC 0090"/>
    <s v="LLS"/>
    <n v="29"/>
    <n v="29"/>
    <m/>
    <n v="2390.15"/>
    <n v="2390.15"/>
    <n v="82.418965517241389"/>
    <n v="1046"/>
    <m/>
    <s v="oui"/>
    <x v="2"/>
    <s v="FMA"/>
    <s v="Tvx"/>
    <m/>
    <m/>
    <s v="SRI"/>
    <m/>
    <m/>
    <m/>
    <m/>
    <m/>
    <m/>
    <m/>
    <m/>
    <m/>
    <m/>
    <m/>
    <m/>
    <m/>
    <m/>
    <m/>
    <m/>
    <m/>
    <m/>
    <m/>
    <m/>
    <m/>
    <m/>
    <m/>
    <m/>
    <m/>
    <m/>
    <m/>
    <m/>
    <s v="QUINOT"/>
    <n v="154616"/>
    <n v="92769.600000000006"/>
    <m/>
    <m/>
    <m/>
    <m/>
    <m/>
    <m/>
    <m/>
    <m/>
    <m/>
    <m/>
    <m/>
    <n v="4660960"/>
    <n v="4660960.38"/>
    <n v="0.37999999988824129"/>
    <n v="1950.0702382695645"/>
    <n v="160722.77172413791"/>
    <m/>
    <m/>
    <n v="0"/>
    <n v="0"/>
    <n v="1474059"/>
    <n v="1473759.38"/>
    <n v="50819.28896551724"/>
    <n v="-299.62000000011176"/>
    <n v="3185790"/>
    <n v="3186090"/>
    <n v="549227"/>
    <n v="2636863"/>
    <n v="300"/>
    <n v="109865.1724137931"/>
    <n v="0"/>
    <n v="1111"/>
    <n v="1"/>
    <n v="2.1454805844112324E-7"/>
    <n v="1110"/>
    <n v="-1110"/>
    <n v="3.4482758620689655E-2"/>
    <n v="-38.275862068965516"/>
    <m/>
    <m/>
    <n v="0"/>
    <n v="0"/>
    <n v="50819.323448275856"/>
    <n v="0"/>
    <n v="50819.323448275856"/>
    <m/>
    <m/>
    <n v="0"/>
    <n v="0"/>
    <n v="4660960.38"/>
  </r>
  <r>
    <s v="Poker d'As LLTS"/>
    <s v="Tampon"/>
    <x v="1"/>
    <s v="PRLC 0090"/>
    <s v="LLTS"/>
    <n v="13"/>
    <m/>
    <n v="13"/>
    <n v="927.22"/>
    <n v="927.22"/>
    <n v="71.324615384615385"/>
    <m/>
    <m/>
    <s v="oui"/>
    <x v="2"/>
    <s v="FMA"/>
    <s v="Tvx"/>
    <m/>
    <m/>
    <s v="SRI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n v="1808176"/>
    <n v="1808176.47"/>
    <n v="0.46999999997206032"/>
    <n v="1950.1051206833329"/>
    <n v="139090.49769230769"/>
    <m/>
    <m/>
    <n v="0"/>
    <n v="0"/>
    <n v="706622"/>
    <n v="706398.49"/>
    <n v="54338.345384615386"/>
    <n v="-223.51000000000931"/>
    <n v="1041124"/>
    <n v="1041347.98"/>
    <n v="179485"/>
    <n v="861862.98"/>
    <n v="223.97999999998137"/>
    <n v="80103.690769230772"/>
    <n v="0"/>
    <n v="60430"/>
    <n v="60000"/>
    <n v="3.3182601917167966E-2"/>
    <n v="430"/>
    <n v="-430"/>
    <n v="4615.3846153846152"/>
    <n v="-33.07692307692308"/>
    <m/>
    <m/>
    <n v="0"/>
    <n v="0"/>
    <n v="58953.729999999996"/>
    <n v="0"/>
    <n v="58953.729999999996"/>
    <m/>
    <m/>
    <n v="0"/>
    <n v="0"/>
    <n v="1808176.47"/>
  </r>
  <r>
    <s v="Bouton d'Or (Tampon 15e km)"/>
    <s v="Tampon"/>
    <x v="1"/>
    <s v="PRLC 0117"/>
    <s v="LLTS"/>
    <n v="65"/>
    <m/>
    <n v="65"/>
    <n v="5311.74"/>
    <n v="5317.74"/>
    <n v="81.811384615384611"/>
    <m/>
    <m/>
    <m/>
    <x v="2"/>
    <s v="LIM"/>
    <s v="Tvx"/>
    <m/>
    <m/>
    <s v="SAR"/>
    <m/>
    <m/>
    <m/>
    <m/>
    <m/>
    <m/>
    <m/>
    <m/>
    <m/>
    <m/>
    <m/>
    <m/>
    <m/>
    <m/>
    <m/>
    <m/>
    <m/>
    <m/>
    <m/>
    <m/>
    <m/>
    <m/>
    <m/>
    <m/>
    <m/>
    <m/>
    <m/>
    <m/>
    <s v="BARET/GILLOT"/>
    <n v="241360"/>
    <n v="144816"/>
    <m/>
    <m/>
    <m/>
    <m/>
    <m/>
    <m/>
    <m/>
    <m/>
    <m/>
    <m/>
    <m/>
    <n v="10098517"/>
    <n v="10098517.550000001"/>
    <n v="0.55000000074505806"/>
    <n v="1901.1694002341985"/>
    <n v="155361.80846153849"/>
    <n v="9295451"/>
    <m/>
    <n v="-9295451"/>
    <n v="0.93980685193677438"/>
    <n v="3195831"/>
    <n v="3195831"/>
    <n v="49166.630769230767"/>
    <n v="0"/>
    <n v="6112292"/>
    <n v="6112292.5499999998"/>
    <n v="1264343"/>
    <n v="4847949.55"/>
    <n v="0.54999999981373549"/>
    <n v="94035.27"/>
    <n v="0"/>
    <n v="790394"/>
    <n v="790394"/>
    <n v="7.8268319690150953E-2"/>
    <n v="0"/>
    <n v="0"/>
    <n v="12159.907692307692"/>
    <n v="0"/>
    <m/>
    <m/>
    <n v="1951680.4950927752"/>
    <n v="1300000"/>
    <n v="81326.538461538468"/>
    <n v="0"/>
    <n v="81326.538461538468"/>
    <m/>
    <m/>
    <n v="1082.46"/>
    <n v="0"/>
    <n v="12050198.045092776"/>
  </r>
  <r>
    <s v="La Chaloupe (CH 578)"/>
    <s v="St Leu"/>
    <x v="2"/>
    <s v="PRLC 0138"/>
    <s v="LLTS"/>
    <n v="10"/>
    <m/>
    <n v="10"/>
    <n v="935.58"/>
    <n v="935.58"/>
    <n v="93.558000000000007"/>
    <n v="884"/>
    <m/>
    <m/>
    <x v="2"/>
    <s v="YFR"/>
    <s v="Tvx"/>
    <m/>
    <m/>
    <s v="SAR"/>
    <m/>
    <m/>
    <m/>
    <m/>
    <m/>
    <m/>
    <m/>
    <m/>
    <m/>
    <m/>
    <m/>
    <m/>
    <m/>
    <m/>
    <m/>
    <m/>
    <m/>
    <m/>
    <m/>
    <m/>
    <m/>
    <m/>
    <m/>
    <m/>
    <m/>
    <m/>
    <m/>
    <m/>
    <s v="BARET/GILLOT"/>
    <n v="43706"/>
    <n v="26223.599999999999"/>
    <m/>
    <m/>
    <m/>
    <m/>
    <m/>
    <m/>
    <m/>
    <m/>
    <m/>
    <m/>
    <m/>
    <n v="1896566"/>
    <n v="1996567"/>
    <n v="100001"/>
    <n v="2134.0419846512323"/>
    <n v="199656.7"/>
    <n v="1672116"/>
    <m/>
    <n v="-1672116"/>
    <n v="0.90016927225311416"/>
    <n v="553441"/>
    <n v="553441"/>
    <n v="55344.1"/>
    <n v="0"/>
    <n v="1110258"/>
    <n v="1110259"/>
    <n v="257996"/>
    <n v="852263"/>
    <n v="1"/>
    <n v="111025.9"/>
    <n v="100000"/>
    <n v="165000"/>
    <n v="165000"/>
    <n v="8.2641854743667503E-2"/>
    <n v="0"/>
    <n v="0"/>
    <n v="16500"/>
    <n v="0"/>
    <m/>
    <m/>
    <n v="657136"/>
    <n v="200000"/>
    <n v="91844.1"/>
    <n v="206916.91"/>
    <n v="112535.791"/>
    <m/>
    <m/>
    <n v="26181.876100000001"/>
    <n v="67867"/>
    <n v="2653703"/>
  </r>
  <r>
    <s v="Le Cap (BH 228)"/>
    <s v="St Leu"/>
    <x v="2"/>
    <s v="PRLC 0135"/>
    <s v="LLTS"/>
    <n v="24"/>
    <m/>
    <n v="24"/>
    <n v="2021.88"/>
    <n v="2021.88"/>
    <n v="84.245000000000005"/>
    <n v="3680"/>
    <m/>
    <m/>
    <x v="2"/>
    <s v="LIM"/>
    <s v="Tvx"/>
    <m/>
    <m/>
    <s v="SRI"/>
    <m/>
    <m/>
    <m/>
    <m/>
    <m/>
    <m/>
    <m/>
    <m/>
    <m/>
    <m/>
    <m/>
    <m/>
    <m/>
    <m/>
    <m/>
    <m/>
    <m/>
    <m/>
    <m/>
    <m/>
    <m/>
    <m/>
    <m/>
    <m/>
    <m/>
    <m/>
    <m/>
    <m/>
    <s v="LE GOFF"/>
    <n v="94248"/>
    <n v="56548.800000000003"/>
    <m/>
    <m/>
    <m/>
    <m/>
    <m/>
    <m/>
    <m/>
    <m/>
    <m/>
    <m/>
    <m/>
    <n v="3943373"/>
    <n v="3943373"/>
    <n v="0"/>
    <n v="1950.3496745603102"/>
    <n v="164307.20833333334"/>
    <n v="3645377"/>
    <m/>
    <n v="-3645377"/>
    <n v="0.94384424628357488"/>
    <n v="1196851"/>
    <n v="1196851"/>
    <n v="49868.791666666664"/>
    <n v="0"/>
    <n v="2362522"/>
    <n v="2362522"/>
    <n v="585357"/>
    <n v="1777165"/>
    <n v="0"/>
    <n v="98438.416666666672"/>
    <n v="0"/>
    <n v="384000"/>
    <n v="384000"/>
    <n v="9.737856398570463E-2"/>
    <n v="0"/>
    <n v="0"/>
    <n v="16000"/>
    <n v="0"/>
    <m/>
    <m/>
    <n v="890256.61825526995"/>
    <n v="480000"/>
    <n v="85868.791666666672"/>
    <n v="184958.11"/>
    <n v="93575.379583333328"/>
    <m/>
    <m/>
    <n v="0"/>
    <n v="0"/>
    <n v="4833629.6182552697"/>
  </r>
  <r>
    <s v="Laurency "/>
    <s v="St Leu"/>
    <x v="2"/>
    <s v="PRLC 0101"/>
    <s v="LLTS"/>
    <n v="22"/>
    <m/>
    <n v="22"/>
    <n v="1688.5"/>
    <n v="1688.5"/>
    <n v="76.75"/>
    <n v="1841.6"/>
    <m/>
    <s v="non"/>
    <x v="2"/>
    <s v="SFE"/>
    <s v="Tvx"/>
    <m/>
    <m/>
    <s v="SRI"/>
    <m/>
    <m/>
    <m/>
    <m/>
    <m/>
    <m/>
    <m/>
    <m/>
    <m/>
    <m/>
    <m/>
    <m/>
    <m/>
    <m/>
    <m/>
    <m/>
    <m/>
    <m/>
    <m/>
    <m/>
    <m/>
    <m/>
    <m/>
    <m/>
    <m/>
    <m/>
    <m/>
    <m/>
    <s v="LE GOFF"/>
    <n v="83482"/>
    <n v="50089.2"/>
    <m/>
    <m/>
    <m/>
    <m/>
    <m/>
    <m/>
    <m/>
    <m/>
    <m/>
    <m/>
    <m/>
    <n v="3492898"/>
    <n v="3492898"/>
    <n v="0"/>
    <n v="2068.639620965354"/>
    <n v="158768.09090909091"/>
    <n v="3169080"/>
    <m/>
    <n v="-3169080"/>
    <n v="0.92634559612104328"/>
    <n v="929819"/>
    <n v="929819"/>
    <n v="42264.5"/>
    <n v="0"/>
    <n v="1895079"/>
    <n v="1895079"/>
    <n v="328778"/>
    <n v="1566301"/>
    <n v="0"/>
    <n v="86139.954545454544"/>
    <n v="0"/>
    <n v="668000"/>
    <n v="668000"/>
    <n v="0.19124520670228562"/>
    <n v="0"/>
    <n v="0"/>
    <n v="30363.636363636364"/>
    <n v="0"/>
    <m/>
    <m/>
    <n v="1046070"/>
    <n v="440000"/>
    <n v="92628.136363636368"/>
    <n v="146105"/>
    <n v="99269.272727272721"/>
    <m/>
    <m/>
    <n v="0"/>
    <n v="0"/>
    <n v="4538968"/>
  </r>
  <r>
    <s v="Sceau de Salomon "/>
    <s v="Tampon"/>
    <x v="1"/>
    <s v="PRLC 0128"/>
    <s v="LLS"/>
    <n v="84"/>
    <n v="84"/>
    <m/>
    <n v="4575.46"/>
    <n v="4575.46"/>
    <n v="54.469761904761903"/>
    <m/>
    <m/>
    <m/>
    <x v="2"/>
    <s v="SFE"/>
    <s v="Tvx"/>
    <m/>
    <m/>
    <s v="DBE"/>
    <m/>
    <m/>
    <m/>
    <m/>
    <m/>
    <m/>
    <m/>
    <m/>
    <m/>
    <m/>
    <m/>
    <m/>
    <m/>
    <m/>
    <m/>
    <m/>
    <m/>
    <m/>
    <m/>
    <m/>
    <m/>
    <m/>
    <m/>
    <m/>
    <m/>
    <m/>
    <m/>
    <m/>
    <s v="MAREL"/>
    <n v="238468"/>
    <n v="143080.79999999999"/>
    <m/>
    <m/>
    <m/>
    <m/>
    <m/>
    <m/>
    <m/>
    <m/>
    <m/>
    <m/>
    <m/>
    <n v="9693250"/>
    <n v="9756378.3699999992"/>
    <n v="63128.36999999918"/>
    <n v="2132.327322280164"/>
    <n v="116147.36154761903"/>
    <n v="8749715"/>
    <m/>
    <n v="-8749715"/>
    <n v="0.92161648724627954"/>
    <n v="3263643"/>
    <n v="3263643"/>
    <n v="38852.892857142855"/>
    <n v="0"/>
    <n v="6429606"/>
    <n v="6429606.3699999992"/>
    <n v="1639468.02"/>
    <n v="4790138.3499999996"/>
    <n v="0.36999999918043613"/>
    <n v="76542.932976190466"/>
    <n v="0"/>
    <n v="1"/>
    <n v="1"/>
    <n v="1.0249704983510188E-7"/>
    <n v="63128"/>
    <n v="0"/>
    <n v="1.1904761904761904E-2"/>
    <n v="0"/>
    <m/>
    <m/>
    <n v="0"/>
    <n v="0"/>
    <n v="38852.904761904763"/>
    <n v="0"/>
    <n v="38852.904761904763"/>
    <m/>
    <m/>
    <n v="0"/>
    <n v="0"/>
    <n v="9756378.3699999992"/>
  </r>
  <r>
    <s v="Alamandas  "/>
    <s v="Tampon"/>
    <x v="1"/>
    <s v="PRLC 0107"/>
    <s v="LLTS"/>
    <n v="75"/>
    <m/>
    <n v="75"/>
    <n v="6558.86"/>
    <n v="6558.86"/>
    <n v="87.451466666666661"/>
    <m/>
    <m/>
    <s v="oui"/>
    <x v="2"/>
    <s v="SGM"/>
    <s v="Tvx"/>
    <m/>
    <m/>
    <s v="MLO"/>
    <m/>
    <m/>
    <m/>
    <m/>
    <m/>
    <m/>
    <m/>
    <m/>
    <m/>
    <m/>
    <m/>
    <m/>
    <m/>
    <m/>
    <m/>
    <m/>
    <m/>
    <m/>
    <m/>
    <m/>
    <m/>
    <m/>
    <m/>
    <m/>
    <m/>
    <m/>
    <m/>
    <m/>
    <s v="MAREL"/>
    <n v="295161"/>
    <n v="177096.6"/>
    <m/>
    <m/>
    <m/>
    <m/>
    <m/>
    <m/>
    <m/>
    <m/>
    <m/>
    <m/>
    <m/>
    <n v="12349548.800000001"/>
    <n v="12349548.309999999"/>
    <n v="-0.49000000208616257"/>
    <n v="1882.8803038942742"/>
    <n v="164660.64413333332"/>
    <m/>
    <m/>
    <n v="0"/>
    <n v="0"/>
    <n v="3816022.8"/>
    <n v="3816022.8"/>
    <n v="50880.303999999996"/>
    <n v="0"/>
    <n v="7538526"/>
    <n v="7538525.5099999998"/>
    <n v="1459253.6"/>
    <n v="6079271.9100000001"/>
    <n v="-0.49000000022351742"/>
    <n v="100513.67346666666"/>
    <n v="0"/>
    <n v="995000"/>
    <n v="995000"/>
    <n v="8.0569748384586873E-2"/>
    <n v="0"/>
    <n v="0"/>
    <n v="13266.666666666666"/>
    <n v="0"/>
    <m/>
    <m/>
    <n v="0"/>
    <n v="0"/>
    <n v="64146.970666666661"/>
    <n v="0"/>
    <n v="64146.970666666661"/>
    <m/>
    <m/>
    <n v="0"/>
    <n v="0"/>
    <n v="12349548.309999999"/>
  </r>
  <r>
    <s v="Palissandre"/>
    <s v="Tampon"/>
    <x v="1"/>
    <s v="PRLC 0110"/>
    <s v="LLS"/>
    <n v="29"/>
    <n v="29"/>
    <m/>
    <n v="2340.2600000000002"/>
    <n v="2433.5"/>
    <n v="83.91379310344827"/>
    <m/>
    <n v="1"/>
    <s v="oui"/>
    <x v="3"/>
    <s v="BBL"/>
    <s v="APD"/>
    <n v="530"/>
    <n v="0.05"/>
    <s v="MLO"/>
    <s v="INGEPAR"/>
    <s v="Oui"/>
    <s v="Oui"/>
    <s v="Oui"/>
    <s v="LS 73"/>
    <m/>
    <s v="oui"/>
    <s v="oui"/>
    <m/>
    <m/>
    <m/>
    <m/>
    <m/>
    <m/>
    <m/>
    <m/>
    <m/>
    <m/>
    <m/>
    <m/>
    <m/>
    <m/>
    <m/>
    <m/>
    <m/>
    <s v="Commune"/>
    <s v="LE GOFF"/>
    <m/>
    <s v="LE GOFF"/>
    <n v="114606"/>
    <n v="68763.600000000006"/>
    <m/>
    <m/>
    <m/>
    <m/>
    <m/>
    <m/>
    <m/>
    <m/>
    <m/>
    <m/>
    <s v="oui"/>
    <n v="4795033.2300000004"/>
    <n v="4795033.2218117043"/>
    <n v="-8.1882961094379425E-3"/>
    <n v="2048.9318409065659"/>
    <n v="165345.97344827588"/>
    <n v="4528652"/>
    <n v="4338445"/>
    <n v="-190207"/>
    <n v="0.96427980166469029"/>
    <n v="1606525.8"/>
    <n v="1606525.8"/>
    <n v="55397.441379310345"/>
    <n v="0"/>
    <n v="3188506.43"/>
    <n v="3188506.4218117045"/>
    <n v="695561.23181170458"/>
    <n v="2492945.19"/>
    <n v="-8.1882956437766552E-3"/>
    <n v="109948.49730385188"/>
    <n v="0"/>
    <n v="1"/>
    <n v="1"/>
    <n v="2.085491285964794E-7"/>
    <n v="0"/>
    <n v="0"/>
    <n v="3.4482758620689655E-2"/>
    <n v="0"/>
    <m/>
    <m/>
    <n v="0"/>
    <n v="0"/>
    <n v="55397.475862068968"/>
    <n v="0"/>
    <n v="55397.475862068968"/>
    <m/>
    <m/>
    <n v="0"/>
    <n v="0"/>
    <n v="4795033.2218117043"/>
  </r>
  <r>
    <s v="Rue de l'Eglise"/>
    <s v="Entre-Deux"/>
    <x v="1"/>
    <s v="PRLC 0148"/>
    <s v="LLTS"/>
    <n v="18"/>
    <m/>
    <n v="18"/>
    <n v="1340.98"/>
    <n v="1323.55"/>
    <n v="73.530555555555551"/>
    <m/>
    <m/>
    <s v="oui"/>
    <x v="3"/>
    <s v="BBL"/>
    <s v="AO"/>
    <n v="383"/>
    <n v="0"/>
    <s v="SAR"/>
    <s v="OFOI"/>
    <s v="Oui"/>
    <s v="Oui"/>
    <s v="Oui"/>
    <s v="LOGIS 5"/>
    <m/>
    <d v="2013-07-08T00:00:00"/>
    <s v="oui"/>
    <d v="2013-08-28T00:00:00"/>
    <d v="2013-08-29T00:00:00"/>
    <d v="2013-10-02T00:00:00"/>
    <d v="2013-10-29T00:00:00"/>
    <s v="CR + CASUD = 19/12/13_x000a_CG = 15/01/14_x000a_Commune = 15/01/14"/>
    <d v="2013-11-05T00:00:00"/>
    <d v="2013-12-11T00:00:00"/>
    <d v="2014-01-14T00:00:00"/>
    <d v="2013-11-06T00:00:00"/>
    <d v="2013-11-28T00:00:00"/>
    <m/>
    <s v="25/10/13 + 05/11/13"/>
    <d v="2013-12-06T00:00:00"/>
    <d v="2013-12-16T00:00:00"/>
    <d v="2013-11-05T00:00:00"/>
    <d v="2013-11-26T00:00:00"/>
    <d v="2013-12-18T00:00:00"/>
    <s v="EPFR"/>
    <s v="BARET"/>
    <d v="2013-11-13T00:00:00"/>
    <s v="BARET/GILLOT"/>
    <n v="63511"/>
    <n v="38106.6"/>
    <s v="CR ok"/>
    <s v="22/10/2013_x000a_transmiss° modif 04/12/13_x000a_retour 09/12/13"/>
    <s v="31/10/2013_x000a_relance 15/11/13_x000a_retour DS 18/11/13_x000a_transmission modif 04/12/13_x000a_2e 10/12/13"/>
    <s v="19/11/2013 retour 04/12/13 _x000a_2e 10/12/13"/>
    <m/>
    <s v="ok"/>
    <m/>
    <d v="2013-12-04T00:00:00"/>
    <s v="ok"/>
    <n v="388400.41"/>
    <s v="oui"/>
    <n v="2715924"/>
    <n v="2659227"/>
    <n v="-56697"/>
    <n v="1983.0474727438143"/>
    <n v="147734.83333333334"/>
    <n v="2383274"/>
    <n v="2329832"/>
    <n v="-53442"/>
    <n v="0.89594655594191874"/>
    <n v="717900"/>
    <n v="736924"/>
    <n v="40940.222222222219"/>
    <n v="19024"/>
    <n v="1504024"/>
    <n v="1490303"/>
    <n v="341701"/>
    <n v="1148602"/>
    <n v="-13721"/>
    <n v="82794.611111111109"/>
    <m/>
    <n v="494000"/>
    <n v="432000"/>
    <n v="0.16245322418883382"/>
    <n v="0"/>
    <n v="-62000"/>
    <n v="24000"/>
    <n v="-3444.4444444444443"/>
    <m/>
    <m/>
    <n v="0"/>
    <n v="0"/>
    <n v="64940.222222222219"/>
    <n v="0"/>
    <n v="64940.222222222219"/>
    <m/>
    <m/>
    <n v="0"/>
    <n v="0"/>
    <n v="2659227"/>
  </r>
  <r>
    <s v="Takamaka"/>
    <s v="St Philippe"/>
    <x v="1"/>
    <s v="PRLC 0093"/>
    <s v="LLTS"/>
    <n v="14"/>
    <m/>
    <n v="14"/>
    <n v="1044.56"/>
    <n v="1139.6199999999999"/>
    <n v="81.401428571428568"/>
    <m/>
    <n v="2"/>
    <s v="non"/>
    <x v="3"/>
    <s v="FHO"/>
    <s v="AO"/>
    <m/>
    <m/>
    <s v="MLO"/>
    <s v="OFOI"/>
    <s v="Oui"/>
    <s v="Oui"/>
    <s v="Oui"/>
    <s v="LOGIS 4"/>
    <m/>
    <d v="2013-08-29T00:00:00"/>
    <s v="oui"/>
    <d v="2013-09-18T00:00:00"/>
    <d v="2013-09-27T00:00:00"/>
    <d v="2013-10-02T00:00:00"/>
    <d v="2013-10-28T00:00:00"/>
    <s v="CR + CASUD = 19/12/13_x000a_CG = 15/01/14_x000a_"/>
    <d v="2013-11-05T00:00:00"/>
    <d v="2013-12-11T00:00:00"/>
    <d v="2014-01-14T00:00:00"/>
    <d v="2013-11-06T00:00:00"/>
    <d v="2013-12-19T00:00:00"/>
    <m/>
    <s v="25/10/13 + 05/11/13"/>
    <d v="2013-12-06T00:00:00"/>
    <d v="2013-12-16T00:00:00"/>
    <d v="2013-11-05T00:00:00"/>
    <d v="2013-11-26T00:00:00"/>
    <d v="2013-12-18T00:00:00"/>
    <s v="SODEGIS"/>
    <s v="Dubois"/>
    <s v="ok"/>
    <s v="BARET/GILLOT"/>
    <n v="67368"/>
    <n v="40420.800000000003"/>
    <d v="2013-11-25T00:00:00"/>
    <s v="06/12/2013_x000a_retour 11/12/13"/>
    <s v="09/12/2013_x000a_transmiss° modif 11/12/13"/>
    <s v="09/12/2013_x000a_transmiss° modif 11/12/13"/>
    <d v="2013-12-05T00:00:00"/>
    <m/>
    <s v="ok"/>
    <d v="2013-12-13T00:00:00"/>
    <s v="ok"/>
    <n v="344564.24"/>
    <s v="oui"/>
    <n v="2396286"/>
    <n v="2402761"/>
    <n v="6475"/>
    <n v="2300.261354062955"/>
    <n v="171625.78571428571"/>
    <n v="2112298"/>
    <n v="2153147"/>
    <n v="40849"/>
    <n v="0.89999952342917333"/>
    <n v="601367"/>
    <n v="642565"/>
    <n v="45897.5"/>
    <n v="41198"/>
    <n v="1294919"/>
    <n v="1260196"/>
    <n v="284216"/>
    <n v="975980"/>
    <n v="-34723"/>
    <n v="90014"/>
    <m/>
    <n v="500000"/>
    <n v="500000"/>
    <n v="0.20809393859813771"/>
    <n v="0"/>
    <n v="0"/>
    <n v="35714.285714285717"/>
    <n v="0"/>
    <m/>
    <m/>
    <n v="462801"/>
    <n v="238500"/>
    <n v="98647.5"/>
    <n v="0"/>
    <n v="98647.5"/>
    <m/>
    <m/>
    <n v="21500"/>
    <n v="0"/>
    <n v="2865562"/>
  </r>
  <r>
    <s v="PIVET-VELIN"/>
    <s v="Tampon"/>
    <x v="1"/>
    <s v="PRLC 0147"/>
    <s v="LLS"/>
    <n v="54"/>
    <n v="54"/>
    <m/>
    <n v="4668.4799999999996"/>
    <n v="4720.9799999999996"/>
    <n v="87.425555555555547"/>
    <m/>
    <m/>
    <s v="oui"/>
    <x v="3"/>
    <s v="FMA"/>
    <s v="AO"/>
    <m/>
    <m/>
    <s v="SAR"/>
    <s v="INGEPAR"/>
    <s v="Oui"/>
    <s v="Oui"/>
    <s v="Oui"/>
    <s v="LS 74"/>
    <m/>
    <d v="2013-07-11T00:00:00"/>
    <s v="ok"/>
    <d v="2013-08-12T00:00:00"/>
    <d v="2013-08-22T00:00:00"/>
    <d v="2013-10-03T00:00:00"/>
    <d v="2013-10-29T00:00:00"/>
    <s v="CR + CASUD = 19/12/13_x000a_CG = 15/01/14_x000a_Commune = 15/01/14"/>
    <d v="2013-11-05T00:00:00"/>
    <d v="2013-12-11T00:00:00"/>
    <d v="2014-01-14T00:00:00"/>
    <d v="2013-11-06T00:00:00"/>
    <d v="2013-12-10T00:00:00"/>
    <d v="2014-01-09T00:00:00"/>
    <s v="25/10/13 + 05/11/13"/>
    <d v="2013-12-06T00:00:00"/>
    <d v="2013-12-16T00:00:00"/>
    <d v="2013-11-05T00:00:00"/>
    <d v="2013-11-26T00:00:00"/>
    <d v="2013-12-18T00:00:00"/>
    <s v="Pivet-Velin"/>
    <s v="AUBERT"/>
    <d v="2013-12-11T00:00:00"/>
    <s v="QUINOT"/>
    <n v="217473"/>
    <n v="130483.8"/>
    <s v="CR ok"/>
    <s v="31/10/2013_x000a_transmission modif 28/11/13_x000a_retour 04/12/13"/>
    <s v="14/11/2013_x000a_retour DS 21/11/13_x000a_2e 10/12/13_x000a__x000a_"/>
    <s v="25/11/2013_x000a_retour INGEPAR 28/11/13_x000a_2e 10/12/13"/>
    <m/>
    <s v="ok"/>
    <s v="ok"/>
    <d v="2013-12-13T00:00:00"/>
    <s v="ok"/>
    <n v="1376612.59"/>
    <s v="oui"/>
    <n v="9099072"/>
    <n v="9206074"/>
    <n v="107002"/>
    <n v="1971.9638940297486"/>
    <n v="170482.85185185185"/>
    <n v="8367242"/>
    <n v="8644229"/>
    <n v="276987"/>
    <n v="0.93888190817700956"/>
    <n v="3120981"/>
    <n v="3287400"/>
    <n v="60877.777777777781"/>
    <n v="166419"/>
    <n v="5978090"/>
    <n v="5918673"/>
    <n v="1256197"/>
    <n v="4662476"/>
    <n v="-59417"/>
    <n v="109605.05555555556"/>
    <m/>
    <n v="1"/>
    <n v="1"/>
    <n v="1.08623936761751E-7"/>
    <n v="0"/>
    <n v="0"/>
    <n v="1.8518518518518517E-2"/>
    <n v="0"/>
    <m/>
    <m/>
    <n v="0"/>
    <n v="0"/>
    <n v="60877.796296296299"/>
    <n v="0"/>
    <n v="60877.796296296299"/>
    <m/>
    <m/>
    <n v="0"/>
    <n v="0"/>
    <n v="9206074"/>
  </r>
  <r>
    <s v="Poker d'As 2"/>
    <s v="Tampon"/>
    <x v="1"/>
    <s v="PRLC 0139"/>
    <s v="LLS"/>
    <n v="44"/>
    <n v="44"/>
    <m/>
    <n v="3666.81"/>
    <n v="3657.13"/>
    <n v="83.116590909090917"/>
    <n v="1428"/>
    <m/>
    <s v="oui"/>
    <x v="3"/>
    <s v="FMA"/>
    <s v="AO"/>
    <m/>
    <m/>
    <s v="NLE"/>
    <s v="INGEPAR"/>
    <s v="Oui"/>
    <s v="Oui"/>
    <s v="Oui"/>
    <s v="LS 75"/>
    <m/>
    <d v="2013-06-21T00:00:00"/>
    <s v="oui"/>
    <d v="2013-07-12T00:00:00"/>
    <d v="2013-08-14T00:00:00"/>
    <d v="2013-10-03T00:00:00"/>
    <d v="2013-10-29T00:00:00"/>
    <s v="CR + CASUD = 19/12/13_x000a_CG = 15/01/14_x000a_Commune = 15/01/14"/>
    <d v="2013-11-05T00:00:00"/>
    <d v="2013-12-11T00:00:00"/>
    <d v="2014-01-14T00:00:00"/>
    <d v="2013-11-06T00:00:00"/>
    <d v="2013-12-10T00:00:00"/>
    <d v="2014-01-09T00:00:00"/>
    <s v="25/10/13 + 05/11/13"/>
    <d v="2013-12-06T00:00:00"/>
    <d v="2013-12-16T00:00:00"/>
    <d v="2013-11-05T00:00:00"/>
    <d v="2013-11-26T00:00:00"/>
    <d v="2013-12-18T00:00:00"/>
    <s v="SODEGIS"/>
    <m/>
    <s v="ok"/>
    <s v="QUINOT"/>
    <n v="170905"/>
    <n v="102543"/>
    <s v="CR ok"/>
    <s v="24/10/2013_x000a_transmission modif 28/11/13_x000a_2e retour 05/12/13"/>
    <s v="14/11/2013_x000a_retour DS 21/11/13_x000a_2e 10/12/13"/>
    <s v="25/11/2013_x000a_2e 10/12/13"/>
    <m/>
    <s v="ok"/>
    <m/>
    <d v="2013-12-13T00:00:00"/>
    <s v="ok"/>
    <n v="1044256.41"/>
    <s v="oui"/>
    <n v="7150692"/>
    <n v="7132172"/>
    <n v="-18520"/>
    <n v="1945.0617839484457"/>
    <n v="162094.81818181818"/>
    <n v="6405313"/>
    <n v="6413222"/>
    <n v="7909"/>
    <n v="0.91457226419484994"/>
    <n v="2389181"/>
    <n v="2438948"/>
    <n v="55430.63636363636"/>
    <n v="49767"/>
    <n v="4761510"/>
    <n v="4693223"/>
    <n v="982573"/>
    <n v="3710650"/>
    <n v="-68287"/>
    <n v="106664.15909090909"/>
    <m/>
    <n v="1"/>
    <n v="1"/>
    <n v="1.4020974255808748E-7"/>
    <n v="0"/>
    <n v="0"/>
    <n v="2.2727272727272728E-2"/>
    <n v="0"/>
    <m/>
    <m/>
    <n v="0"/>
    <n v="0"/>
    <n v="55430.659090909088"/>
    <n v="0"/>
    <n v="55430.659090909088"/>
    <m/>
    <m/>
    <n v="0"/>
    <n v="0"/>
    <n v="7132172"/>
  </r>
  <r>
    <s v="RPA Chaloupe"/>
    <s v="St Leu"/>
    <x v="2"/>
    <s v="PRLC 0142"/>
    <s v="LLTS"/>
    <n v="14"/>
    <m/>
    <n v="14"/>
    <n v="806.89"/>
    <n v="806.9"/>
    <n v="57.635714285714286"/>
    <n v="3037"/>
    <m/>
    <s v="non"/>
    <x v="3"/>
    <s v="FMA"/>
    <s v="AO"/>
    <m/>
    <m/>
    <s v="SRI"/>
    <s v="OFOI"/>
    <s v="Oui"/>
    <s v="Oui"/>
    <s v="Oui"/>
    <s v="LOGIS 4"/>
    <m/>
    <d v="2013-10-19T00:00:00"/>
    <s v="oui"/>
    <d v="2013-10-25T00:00:00"/>
    <d v="2013-10-29T00:00:00"/>
    <d v="2013-10-03T00:00:00"/>
    <d v="2013-11-05T00:00:00"/>
    <d v="2014-01-20T00:00:00"/>
    <s v="SO"/>
    <s v="SO"/>
    <s v="SO"/>
    <s v="SO"/>
    <s v="SO"/>
    <s v="SO"/>
    <s v="04/11/13 + 06/11/13"/>
    <d v="2013-12-16T00:00:00"/>
    <d v="2014-01-15T00:00:00"/>
    <s v="SO"/>
    <s v="SO"/>
    <s v="SO"/>
    <s v="Commune"/>
    <s v="BARET"/>
    <m/>
    <s v="QUINOT"/>
    <n v="34254"/>
    <n v="20552.400000000001"/>
    <s v="CR ok"/>
    <m/>
    <m/>
    <m/>
    <m/>
    <s v="ok"/>
    <m/>
    <m/>
    <m/>
    <m/>
    <s v="oui"/>
    <n v="1650453"/>
    <n v="1416330.74"/>
    <n v="-234122.26"/>
    <n v="1755.2959387277076"/>
    <n v="101166.48142857142"/>
    <n v="1371622"/>
    <n v="1198809"/>
    <n v="-172813"/>
    <n v="0.84851011328404979"/>
    <n v="499740"/>
    <n v="444277.42"/>
    <n v="31734.101428571426"/>
    <n v="-55462.580000000016"/>
    <n v="1118233"/>
    <n v="939648.32000000007"/>
    <n v="152673.32"/>
    <n v="786975"/>
    <n v="-178584.67999999993"/>
    <n v="67117.73714285715"/>
    <m/>
    <n v="32480"/>
    <n v="32405"/>
    <n v="2.2879542951952027E-2"/>
    <n v="0"/>
    <n v="-75"/>
    <n v="2314.6428571428573"/>
    <n v="-5.3571428571428568"/>
    <m/>
    <m/>
    <n v="818523.74230000004"/>
    <n v="149758.60999999999"/>
    <n v="44745.787857142859"/>
    <n v="430486.0539"/>
    <n v="75494.791707142853"/>
    <m/>
    <m/>
    <n v="134027"/>
    <n v="0"/>
    <n v="2234854.4823000003"/>
  </r>
  <r>
    <s v="FANFAN"/>
    <s v="Trois Bassins"/>
    <x v="2"/>
    <s v="PRLC 0149"/>
    <s v="LLTS"/>
    <n v="24"/>
    <m/>
    <n v="24"/>
    <n v="1833.06"/>
    <n v="1841.94"/>
    <n v="76.747500000000002"/>
    <m/>
    <n v="5"/>
    <s v="non"/>
    <x v="3"/>
    <s v="JDC"/>
    <s v="AO"/>
    <m/>
    <m/>
    <s v="DBE"/>
    <s v="INGEPAR"/>
    <s v="Oui"/>
    <s v="Oui"/>
    <s v="Oui"/>
    <s v="LS 76"/>
    <n v="120000"/>
    <d v="2013-09-19T00:00:00"/>
    <s v="oui"/>
    <d v="2013-10-17T00:00:00"/>
    <d v="2013-10-21T00:00:00"/>
    <d v="2013-10-03T00:00:00"/>
    <d v="2013-11-05T00:00:00"/>
    <d v="2014-01-20T00:00:00"/>
    <s v="SO"/>
    <s v="SO"/>
    <s v="SO"/>
    <s v="SO"/>
    <s v="SO"/>
    <s v="SO"/>
    <s v="04/11/13 + 06/11/13"/>
    <d v="2013-12-16T00:00:00"/>
    <d v="2014-01-15T00:00:00"/>
    <s v="SO"/>
    <s v="SO"/>
    <s v="SO"/>
    <s v="EPFR"/>
    <s v="Dubois"/>
    <d v="2013-12-11T00:00:00"/>
    <s v="BARET/GILLOT"/>
    <n v="85429"/>
    <n v="51257.4"/>
    <s v="29/10/2013 / manque des pièces"/>
    <s v="04/12/2013_x000a_retour 10/12/13"/>
    <s v="05/12/2013_x000a_retour DS 06/12/13"/>
    <s v="05/12/2013_x000a_retour INGEPAR 09/12/13"/>
    <m/>
    <s v="ok"/>
    <m/>
    <d v="2013-12-11T00:00:00"/>
    <s v="ok"/>
    <n v="523343.27"/>
    <s v="oui"/>
    <n v="3574385"/>
    <n v="3574385"/>
    <n v="0"/>
    <n v="1949.9552660578486"/>
    <n v="148932.70833333334"/>
    <n v="3273574"/>
    <n v="3268014"/>
    <n v="-5560"/>
    <n v="0.93507527980337868"/>
    <n v="1046714"/>
    <n v="1042673"/>
    <n v="43444.708333333336"/>
    <n v="-4041"/>
    <n v="2047671"/>
    <n v="2051712"/>
    <n v="255345"/>
    <n v="1796367"/>
    <n v="4041"/>
    <n v="85488"/>
    <m/>
    <n v="480000"/>
    <n v="480000"/>
    <n v="0.13428883570180605"/>
    <n v="0"/>
    <n v="0"/>
    <n v="20000"/>
    <n v="0"/>
    <m/>
    <m/>
    <n v="1239591.1399652001"/>
    <n v="480000"/>
    <n v="83444.708333333328"/>
    <n v="0"/>
    <n v="83444.708333333328"/>
    <m/>
    <n v="188451"/>
    <n v="2015.44"/>
    <n v="0"/>
    <n v="4813976.1399651999"/>
  </r>
  <r>
    <s v="VEFA Antares"/>
    <s v="Etang-Salé"/>
    <x v="0"/>
    <s v="PRLC 0146"/>
    <s v="LLS"/>
    <n v="56"/>
    <n v="56"/>
    <m/>
    <n v="4555.5200000000004"/>
    <n v="4749.17"/>
    <n v="84.806607142857146"/>
    <m/>
    <m/>
    <s v="oui"/>
    <x v="3"/>
    <s v="JDC"/>
    <s v="Signature"/>
    <m/>
    <m/>
    <s v="SAR"/>
    <s v="INGEPAR"/>
    <s v="Oui"/>
    <s v="Oui"/>
    <s v="Oui"/>
    <s v="LS 41"/>
    <m/>
    <d v="2013-09-18T00:00:00"/>
    <s v="oui"/>
    <d v="2013-11-06T00:00:00"/>
    <d v="2013-11-13T00:00:00"/>
    <d v="2013-10-08T00:00:00"/>
    <m/>
    <m/>
    <s v="manque prêt"/>
    <s v="manque prêt"/>
    <s v="manque prêt"/>
    <s v="manque prêt"/>
    <s v="manque prêt"/>
    <s v="manque prêt"/>
    <s v="contrôle dossier OK_x000a_manque prêt"/>
    <s v="manque prêt"/>
    <s v="manque prêt"/>
    <s v="contrôle dossier OK_x000a_manque prêt"/>
    <s v="manque prêt"/>
    <s v="manque prêt"/>
    <m/>
    <m/>
    <m/>
    <s v="BARET/GILLOT"/>
    <n v="224727"/>
    <n v="134836.20000000001"/>
    <s v="Résa 09/08/13"/>
    <s v="20/11/2013_x000a_transmission modif 02/12/13"/>
    <s v="20/11/2013_x000a_retour DS 02/12/13"/>
    <s v="ok"/>
    <m/>
    <m/>
    <m/>
    <m/>
    <m/>
    <m/>
    <s v="oui"/>
    <n v="8866497"/>
    <n v="9329577"/>
    <n v="463080"/>
    <n v="2047.9719110002807"/>
    <n v="166599.58928571429"/>
    <n v="1337540"/>
    <n v="1322857"/>
    <n v="-14683"/>
    <n v="0.15402118108199889"/>
    <n v="3015663"/>
    <n v="3213816"/>
    <n v="57389.571428571428"/>
    <n v="198153"/>
    <n v="5850833"/>
    <n v="6115760"/>
    <n v="756505"/>
    <n v="5359255"/>
    <n v="264927"/>
    <n v="109210"/>
    <m/>
    <n v="1"/>
    <n v="1"/>
    <n v="1.0718599567804629E-7"/>
    <n v="0"/>
    <n v="0"/>
    <n v="1.7857142857142856E-2"/>
    <n v="0"/>
    <m/>
    <m/>
    <n v="0"/>
    <n v="0"/>
    <n v="57389.589285714283"/>
    <n v="0"/>
    <n v="57389.589285714283"/>
    <m/>
    <m/>
    <n v="0"/>
    <n v="0"/>
    <n v="9329577"/>
  </r>
  <r>
    <s v="Barrage"/>
    <s v="St Paul"/>
    <x v="2"/>
    <s v="PRLC 0140"/>
    <s v="LLS"/>
    <n v="27"/>
    <n v="27"/>
    <m/>
    <n v="2870.27"/>
    <n v="2814.94"/>
    <n v="104.25703703703704"/>
    <n v="12480"/>
    <m/>
    <s v="oui"/>
    <x v="3"/>
    <s v="LIM"/>
    <s v="AO"/>
    <m/>
    <m/>
    <s v="SRI"/>
    <s v="OFOI"/>
    <s v="Oui"/>
    <s v="Oui"/>
    <s v="Oui"/>
    <s v="LOGIS 6"/>
    <m/>
    <d v="2013-08-07T00:00:00"/>
    <s v="oui"/>
    <m/>
    <m/>
    <d v="2013-10-03T00:00:00"/>
    <m/>
    <m/>
    <s v="SO"/>
    <s v="SO"/>
    <s v="SO"/>
    <s v="manque prêt"/>
    <s v="manque prêt"/>
    <m/>
    <s v="SO"/>
    <s v="SO"/>
    <s v="SO"/>
    <s v="SO"/>
    <s v="SO"/>
    <s v="SO"/>
    <s v="SODEGIS"/>
    <m/>
    <m/>
    <s v="MAREL"/>
    <n v="474895"/>
    <n v="284937"/>
    <s v="CR ok"/>
    <m/>
    <m/>
    <m/>
    <m/>
    <s v="ok"/>
    <s v="ok"/>
    <m/>
    <m/>
    <m/>
    <s v="oui"/>
    <n v="5546805"/>
    <n v="5488131"/>
    <n v="-58674"/>
    <n v="1912.0608862580873"/>
    <n v="203264.11111111112"/>
    <n v="5057320"/>
    <n v="4965430"/>
    <n v="-91890"/>
    <n v="0.93090053102641968"/>
    <n v="1882322"/>
    <n v="1886367"/>
    <n v="69865.444444444438"/>
    <n v="4045"/>
    <n v="3664482"/>
    <n v="3601763"/>
    <n v="784558"/>
    <n v="2817205"/>
    <n v="-62719"/>
    <n v="133398.62962962964"/>
    <m/>
    <n v="1"/>
    <n v="1"/>
    <n v="1.8221139400644774E-7"/>
    <n v="0"/>
    <n v="0"/>
    <n v="3.7037037037037035E-2"/>
    <n v="0"/>
    <m/>
    <m/>
    <n v="3482776.9462047499"/>
    <n v="2200000"/>
    <n v="151346.96296296295"/>
    <n v="0"/>
    <n v="151346.96296296295"/>
    <m/>
    <m/>
    <n v="1187.07"/>
    <n v="0"/>
    <n v="8970907.9462047499"/>
  </r>
  <r>
    <s v="Barrage"/>
    <s v="St Paul"/>
    <x v="2"/>
    <s v="PRLC 0140"/>
    <s v="LLTS"/>
    <n v="83"/>
    <m/>
    <n v="83"/>
    <n v="7367.96"/>
    <n v="7367.66"/>
    <n v="88.766987951807224"/>
    <m/>
    <n v="4"/>
    <s v="oui"/>
    <x v="3"/>
    <s v="LIM"/>
    <s v="AO"/>
    <m/>
    <m/>
    <s v="SRI"/>
    <s v="OFOI"/>
    <s v="Oui"/>
    <s v="Oui"/>
    <s v="Oui"/>
    <s v="LOGIS 6"/>
    <n v="415000"/>
    <d v="2013-07-08T00:00:00"/>
    <s v="oui"/>
    <m/>
    <m/>
    <d v="2013-10-03T00:00:00"/>
    <m/>
    <m/>
    <s v="SO"/>
    <s v="SO"/>
    <s v="SO"/>
    <s v="SO"/>
    <s v="SO"/>
    <s v="SO"/>
    <s v="04/11/13 + 06/11/13"/>
    <s v="manque prêt"/>
    <m/>
    <s v="SO"/>
    <s v="SO"/>
    <s v="SO"/>
    <s v="SODEGIS"/>
    <m/>
    <m/>
    <m/>
    <m/>
    <n v="0"/>
    <s v="CR ok"/>
    <m/>
    <m/>
    <m/>
    <m/>
    <s v="ok"/>
    <s v="ok"/>
    <m/>
    <m/>
    <m/>
    <s v="oui"/>
    <n v="14323814"/>
    <n v="14364755"/>
    <n v="40941"/>
    <n v="1949.624455073046"/>
    <n v="173069.3373493976"/>
    <n v="13043765"/>
    <n v="12989943"/>
    <n v="-53822"/>
    <n v="0.92975823792461976"/>
    <n v="4234760"/>
    <n v="4347184"/>
    <n v="52375.710843373497"/>
    <n v="112424"/>
    <n v="8429054"/>
    <n v="8357571"/>
    <n v="1715630"/>
    <n v="6641941"/>
    <n v="-71483"/>
    <n v="100693.6265060241"/>
    <m/>
    <n v="1660000"/>
    <n v="1660000"/>
    <n v="0.115560620421302"/>
    <n v="0"/>
    <n v="0"/>
    <n v="20000"/>
    <n v="0"/>
    <m/>
    <m/>
    <n v="0"/>
    <n v="0"/>
    <n v="72375.710843373497"/>
    <n v="0"/>
    <n v="72375.710843373497"/>
    <m/>
    <m/>
    <n v="0"/>
    <n v="0"/>
    <n v="14364755"/>
  </r>
  <r>
    <s v="Parc à Moutons"/>
    <s v="St Joseph"/>
    <x v="1"/>
    <s v="PRLC 0121"/>
    <s v="LLTS"/>
    <n v="34"/>
    <m/>
    <n v="34"/>
    <n v="2592.75"/>
    <n v="2646.83"/>
    <n v="77.847941176470584"/>
    <n v="1035"/>
    <n v="4"/>
    <s v="non"/>
    <x v="3"/>
    <s v="LIM"/>
    <s v="AO"/>
    <m/>
    <m/>
    <s v="KGI"/>
    <s v="INGEPAR"/>
    <s v="Oui"/>
    <s v="Oui"/>
    <s v="Oui"/>
    <s v="LS 77"/>
    <m/>
    <d v="2013-07-29T00:00:00"/>
    <s v="oui"/>
    <d v="2013-08-12T00:00:00"/>
    <d v="2013-08-23T00:00:00"/>
    <d v="2013-10-02T00:00:00"/>
    <d v="2013-10-29T00:00:00"/>
    <s v="CR + CASUD = 19/12/13_x000a_CG = 15/01/14_x000a_Commune = 15/01/14"/>
    <d v="2013-11-05T00:00:00"/>
    <d v="2013-12-11T00:00:00"/>
    <d v="2014-01-14T00:00:00"/>
    <d v="2013-11-06T00:00:00"/>
    <d v="2013-12-17T00:00:00"/>
    <d v="2014-01-06T00:00:00"/>
    <s v="25/10/13 + 05/11/13"/>
    <d v="2013-12-06T00:00:00"/>
    <d v="2013-12-16T00:00:00"/>
    <d v="2013-11-05T00:00:00"/>
    <d v="2013-11-26T00:00:00"/>
    <d v="2013-12-18T00:00:00"/>
    <s v="Commune"/>
    <s v="BARET"/>
    <d v="2013-12-19T00:00:00"/>
    <s v="MAREL"/>
    <n v="120582"/>
    <n v="72349.2"/>
    <s v="CR ok"/>
    <s v="14/11/2013_x000a_retour notaire 06/12/13"/>
    <s v="14/11/2013_x000a_retour DS 04/12/13"/>
    <s v="transmission modif DS 05/12/13_x000a_retour INGEPAR 05/12/13"/>
    <d v="2013-12-06T00:00:00"/>
    <s v="ok"/>
    <s v="ok"/>
    <d v="2013-12-16T00:00:00"/>
    <s v="ok"/>
    <n v="776596.18"/>
    <s v="oui"/>
    <n v="5045187"/>
    <n v="5304078.58"/>
    <n v="258891.58000000007"/>
    <n v="2045.7346755375568"/>
    <n v="156002.3111764706"/>
    <n v="4467345"/>
    <n v="4848194"/>
    <n v="380849"/>
    <n v="0.90406148374678663"/>
    <n v="1408892"/>
    <n v="1600171.58"/>
    <n v="47063.87"/>
    <n v="191279.58000000007"/>
    <n v="2956295"/>
    <n v="3023907"/>
    <n v="650910"/>
    <n v="2372997"/>
    <n v="67612"/>
    <n v="88938.441176470587"/>
    <m/>
    <n v="680000"/>
    <n v="680000"/>
    <n v="0.12820322884432078"/>
    <n v="0"/>
    <n v="0"/>
    <n v="20000"/>
    <n v="0"/>
    <m/>
    <m/>
    <n v="1305757.1912500574"/>
    <n v="680000"/>
    <n v="87063.87"/>
    <n v="55743.187849999995"/>
    <n v="88703.375524999996"/>
    <m/>
    <m/>
    <n v="51376.214"/>
    <n v="0"/>
    <n v="6609835.771250058"/>
  </r>
  <r>
    <s v="Tamariniers"/>
    <s v="St Leu"/>
    <x v="2"/>
    <s v="PRLC 0113"/>
    <s v="LLS"/>
    <n v="37"/>
    <n v="37"/>
    <m/>
    <n v="3305.14"/>
    <n v="3681.47"/>
    <n v="99.499189189189181"/>
    <n v="3236"/>
    <n v="6"/>
    <s v="oui"/>
    <x v="3"/>
    <s v="LIM"/>
    <s v="AO"/>
    <m/>
    <m/>
    <s v="MLO"/>
    <s v="OFOI"/>
    <s v="Oui"/>
    <s v="Oui"/>
    <s v="Oui"/>
    <s v="DOMBEYA 3"/>
    <m/>
    <d v="2013-08-07T00:00:00"/>
    <s v="oui"/>
    <d v="2013-09-20T00:00:00"/>
    <d v="2013-09-26T00:00:00"/>
    <d v="2013-10-02T00:00:00"/>
    <d v="2013-10-29T00:00:00"/>
    <d v="2014-01-13T00:00:00"/>
    <s v="SO"/>
    <s v="SO"/>
    <s v="SO"/>
    <d v="2013-11-06T00:00:00"/>
    <d v="2013-12-16T00:00:00"/>
    <d v="2013-12-23T00:00:00"/>
    <s v="SO"/>
    <s v="SO"/>
    <s v="SO"/>
    <s v="SO"/>
    <s v="SO"/>
    <s v="SO"/>
    <s v="EPFR"/>
    <s v="POPINEAU"/>
    <m/>
    <s v="MAREL"/>
    <n v="307120"/>
    <n v="184272"/>
    <s v="CR ok"/>
    <d v="2013-11-15T00:00:00"/>
    <s v="18/11/2013_x000a_retour DS 19/11/13"/>
    <m/>
    <d v="2013-12-04T00:00:00"/>
    <s v="ok"/>
    <s v="ok"/>
    <d v="2013-12-13T00:00:00"/>
    <s v="ok"/>
    <n v="1991541.28"/>
    <s v="oui"/>
    <n v="6447379"/>
    <n v="7137960"/>
    <n v="690581"/>
    <n v="2159.6543565476804"/>
    <n v="192917.83783783784"/>
    <n v="5795250"/>
    <n v="6458898"/>
    <n v="663648"/>
    <n v="0.91772955335803885"/>
    <n v="2155832"/>
    <n v="2453735"/>
    <n v="66317.16216216216"/>
    <n v="297903"/>
    <n v="4291546"/>
    <n v="4684224"/>
    <n v="641413"/>
    <n v="4042811"/>
    <n v="392678"/>
    <n v="126600.64864864865"/>
    <m/>
    <n v="1"/>
    <n v="1"/>
    <n v="1.4009604985177837E-7"/>
    <n v="0"/>
    <n v="0"/>
    <n v="2.7027027027027029E-2"/>
    <n v="0"/>
    <m/>
    <m/>
    <n v="0"/>
    <n v="0"/>
    <n v="66317.189189189186"/>
    <n v="0"/>
    <n v="66317.189189189186"/>
    <m/>
    <m/>
    <n v="0"/>
    <n v="0"/>
    <n v="7137960"/>
  </r>
  <r>
    <s v="Tamariniers"/>
    <s v="St Leu"/>
    <x v="2"/>
    <s v="PRLC 0113"/>
    <s v="LLTS"/>
    <n v="44"/>
    <m/>
    <n v="44"/>
    <n v="3272.11"/>
    <n v="3318.11"/>
    <n v="75.411590909090918"/>
    <m/>
    <n v="6"/>
    <s v="oui"/>
    <x v="3"/>
    <s v="LIM"/>
    <s v="AO"/>
    <m/>
    <m/>
    <s v="MLO"/>
    <s v="OFOI"/>
    <s v="Oui"/>
    <s v="Oui"/>
    <s v="Oui"/>
    <s v="DOMBEYA 3"/>
    <n v="220000"/>
    <d v="2013-07-10T00:00:00"/>
    <s v="oui"/>
    <d v="2013-09-20T00:00:00"/>
    <d v="2013-09-26T00:00:00"/>
    <d v="2013-10-02T00:00:00"/>
    <d v="2013-11-05T00:00:00"/>
    <d v="2014-01-20T00:00:00"/>
    <s v="SO"/>
    <s v="SO"/>
    <s v="SO"/>
    <s v="SO"/>
    <s v="SO"/>
    <s v="SO"/>
    <s v="04/11/13 + 06/11/13"/>
    <d v="2013-12-16T00:00:00"/>
    <d v="2014-01-15T00:00:00"/>
    <s v="SO"/>
    <s v="SO"/>
    <s v="SO"/>
    <s v="EPFR"/>
    <s v="POPINEAU"/>
    <m/>
    <m/>
    <m/>
    <n v="0"/>
    <s v="CR ok"/>
    <d v="2013-11-15T00:00:00"/>
    <s v="18/11/2013_x000a_retour DS 19/11/13"/>
    <m/>
    <d v="2013-12-04T00:00:00"/>
    <s v="ok"/>
    <s v="ok"/>
    <d v="2013-12-13T00:00:00"/>
    <s v="ok"/>
    <m/>
    <s v="oui"/>
    <n v="6402537"/>
    <n v="6464079"/>
    <n v="61542"/>
    <n v="1975.5078527311123"/>
    <n v="146910.88636363635"/>
    <n v="5737343"/>
    <n v="5833192"/>
    <n v="95849"/>
    <n v="0.91492281934489406"/>
    <n v="1799492"/>
    <n v="1905132"/>
    <n v="43298.454545454544"/>
    <n v="105640"/>
    <n v="3703045"/>
    <n v="3678947"/>
    <n v="473086"/>
    <n v="3205861"/>
    <n v="-24098"/>
    <n v="83612.431818181823"/>
    <m/>
    <n v="900000"/>
    <n v="880000"/>
    <n v="0.13613695005893336"/>
    <n v="0"/>
    <n v="-20000"/>
    <n v="20000"/>
    <n v="-454.54545454545456"/>
    <m/>
    <m/>
    <n v="2196102.662575"/>
    <n v="1303101.6922500001"/>
    <n v="92914.402096590915"/>
    <n v="0"/>
    <n v="92914.402096590915"/>
    <m/>
    <m/>
    <n v="0"/>
    <n v="0"/>
    <n v="8660181.662574999"/>
  </r>
  <r>
    <s v="Amaryllis"/>
    <s v="Tampon"/>
    <x v="1"/>
    <s v="PRLC 0109"/>
    <s v="LLTS"/>
    <n v="9"/>
    <m/>
    <n v="9"/>
    <n v="709.36"/>
    <n v="709.36"/>
    <n v="78.817777777777778"/>
    <m/>
    <n v="1"/>
    <m/>
    <x v="3"/>
    <s v="SFE"/>
    <s v="AO"/>
    <m/>
    <m/>
    <s v="SRI"/>
    <s v="OFOI"/>
    <s v="Oui"/>
    <s v="Oui"/>
    <s v="Oui"/>
    <s v="LOGIS 4"/>
    <m/>
    <d v="2013-07-31T00:00:00"/>
    <s v="oui"/>
    <d v="2013-08-30T00:00:00"/>
    <d v="2013-09-02T00:00:00"/>
    <d v="2013-10-02T00:00:00"/>
    <d v="2013-10-29T00:00:00"/>
    <s v="CR + CASUD = 19/12/13_x000a_CG = 15/01/14_x000a_Commune = 15/01/14"/>
    <d v="2013-11-05T00:00:00"/>
    <d v="2013-12-11T00:00:00"/>
    <d v="2014-01-14T00:00:00"/>
    <d v="2013-11-06T00:00:00"/>
    <d v="2013-12-10T00:00:00"/>
    <d v="2014-01-09T00:00:00"/>
    <s v="25/10/13 + 05/11/13"/>
    <d v="2013-12-06T00:00:00"/>
    <d v="2013-12-16T00:00:00"/>
    <d v="2013-11-05T00:00:00"/>
    <d v="2013-11-26T00:00:00"/>
    <d v="2013-12-18T00:00:00"/>
    <s v="Commune"/>
    <s v="LE GOFF"/>
    <m/>
    <s v="LE GOFF"/>
    <n v="36984"/>
    <n v="22190.400000000001"/>
    <s v="Résa 09/08/13"/>
    <d v="2013-12-09T00:00:00"/>
    <d v="2013-12-10T00:00:00"/>
    <d v="2013-12-10T00:00:00"/>
    <d v="2013-12-03T00:00:00"/>
    <s v="ok"/>
    <m/>
    <d v="2013-12-13T00:00:00"/>
    <s v="ok"/>
    <n v="221879.91"/>
    <s v="oui"/>
    <n v="1517365"/>
    <n v="1515419"/>
    <n v="-1946"/>
    <n v="2136.3186534340812"/>
    <n v="168379.88888888888"/>
    <n v="1337540"/>
    <n v="1322857"/>
    <n v="-14683"/>
    <n v="0.89999989455404594"/>
    <n v="424314"/>
    <n v="426409"/>
    <n v="47378.777777777781"/>
    <n v="2095"/>
    <n v="868051"/>
    <n v="864010"/>
    <n v="176535"/>
    <n v="687475"/>
    <n v="-4041"/>
    <n v="96001.111111111109"/>
    <m/>
    <n v="225000"/>
    <n v="225000"/>
    <n v="0.14847378843738926"/>
    <n v="0"/>
    <n v="0"/>
    <n v="25000"/>
    <n v="0"/>
    <m/>
    <m/>
    <n v="261893.70259967924"/>
    <n v="180000"/>
    <n v="92378.777777777781"/>
    <n v="0"/>
    <n v="92378.777777777781"/>
    <m/>
    <m/>
    <n v="0"/>
    <n v="0"/>
    <n v="1777312.7025996791"/>
  </r>
  <r>
    <s v="Josepha Fontaine"/>
    <s v="St Joseph"/>
    <x v="1"/>
    <s v="PRLC 0122"/>
    <s v="LLTS"/>
    <n v="15"/>
    <m/>
    <n v="15"/>
    <n v="1160.5899999999999"/>
    <n v="1174.1099999999999"/>
    <n v="78.273999999999987"/>
    <m/>
    <m/>
    <m/>
    <x v="3"/>
    <s v="SFE"/>
    <s v="AO"/>
    <m/>
    <m/>
    <s v="SAR"/>
    <s v="OFOI"/>
    <s v="Oui"/>
    <s v="Oui"/>
    <s v="Oui"/>
    <s v="LOGIS 5"/>
    <m/>
    <d v="2013-11-18T00:00:00"/>
    <s v="oui"/>
    <m/>
    <m/>
    <d v="2013-10-03T00:00:00"/>
    <m/>
    <m/>
    <s v="manque LBU + prêt"/>
    <s v="manque prêt"/>
    <s v="manque prêt"/>
    <s v="manque prêt"/>
    <s v="manque prêt"/>
    <s v="manque prêt"/>
    <s v="contrôle dossier OK_x000a_manque prêt"/>
    <s v="manque prêt"/>
    <s v="manque prêt"/>
    <s v="erreur lettre_x000a_manque prêt"/>
    <s v="manque prêt"/>
    <s v="manque prêt"/>
    <s v="EPFR / RUET"/>
    <s v="BARET"/>
    <m/>
    <s v="LE GOFF"/>
    <n v="56629"/>
    <n v="33977.4"/>
    <s v="Résa 09/08/13"/>
    <s v="projet reçu 17/09/13"/>
    <m/>
    <m/>
    <m/>
    <s v="ok"/>
    <m/>
    <m/>
    <m/>
    <m/>
    <m/>
    <n v="2369121"/>
    <n v="2369380"/>
    <n v="259"/>
    <n v="2041.5306008151028"/>
    <n v="157958.66666666666"/>
    <n v="2132208"/>
    <n v="2096365"/>
    <n v="-35843"/>
    <n v="0.91889961213462701"/>
    <n v="646677"/>
    <n v="661320"/>
    <n v="44088"/>
    <n v="14643"/>
    <n v="1328613"/>
    <n v="1314229"/>
    <n v="212380"/>
    <n v="1101849"/>
    <n v="-14384"/>
    <n v="87615.266666666663"/>
    <m/>
    <n v="393831"/>
    <n v="393831"/>
    <n v="0.16621690062379188"/>
    <n v="0"/>
    <n v="0"/>
    <n v="26255.4"/>
    <n v="0"/>
    <m/>
    <m/>
    <n v="754090.89148181258"/>
    <n v="300000"/>
    <n v="90343.4"/>
    <n v="162750"/>
    <n v="101193.4"/>
    <m/>
    <m/>
    <n v="143420.17000000001"/>
    <n v="0"/>
    <n v="3123470.8914818126"/>
  </r>
  <r>
    <s v="VEFA BOTAURUS STELLARIS"/>
    <s v="St Joseph"/>
    <x v="1"/>
    <m/>
    <s v="LLTS"/>
    <n v="30"/>
    <m/>
    <n v="30"/>
    <n v="2274.8200000000002"/>
    <n v="2274.8200000000002"/>
    <n v="75.827333333333343"/>
    <m/>
    <m/>
    <m/>
    <x v="4"/>
    <s v="FHO"/>
    <s v="Faisa"/>
    <m/>
    <m/>
    <s v="SAR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n v="4686986"/>
    <n v="4686986"/>
    <m/>
    <n v="2060.3766451851134"/>
    <n v="156232.86666666667"/>
    <m/>
    <m/>
    <n v="0"/>
    <n v="0"/>
    <n v="1341626"/>
    <n v="1341626"/>
    <n v="149069.55555555556"/>
    <n v="0"/>
    <n v="2745360"/>
    <n v="2745360"/>
    <n v="539563"/>
    <n v="2205797"/>
    <n v="0"/>
    <n v="91512"/>
    <m/>
    <n v="600000"/>
    <n v="600000"/>
    <n v="0.12801403716588869"/>
    <n v="0"/>
    <n v="0"/>
    <n v="20000"/>
    <n v="0"/>
    <n v="5.3"/>
    <n v="5.29"/>
    <n v="0"/>
    <n v="0"/>
    <n v="129441.73333333334"/>
    <n v="0"/>
    <n v="129441.73333333334"/>
    <n v="0.41425897154375968"/>
    <n v="0"/>
    <n v="0"/>
    <n v="0"/>
    <n v="4686986"/>
  </r>
  <r>
    <s v="Manapany "/>
    <s v="St Joseph"/>
    <x v="1"/>
    <s v="PRLC 0111"/>
    <s v="LLTS"/>
    <n v="21"/>
    <m/>
    <n v="21"/>
    <n v="1508.31"/>
    <n v="1508.31"/>
    <n v="71.824285714285708"/>
    <m/>
    <m/>
    <s v="non"/>
    <x v="4"/>
    <s v="FHO"/>
    <s v="PRO"/>
    <n v="40"/>
    <m/>
    <s v="MLO"/>
    <s v="OFOI"/>
    <m/>
    <m/>
    <m/>
    <m/>
    <m/>
    <m/>
    <m/>
    <m/>
    <m/>
    <m/>
    <m/>
    <m/>
    <m/>
    <m/>
    <m/>
    <m/>
    <m/>
    <m/>
    <s v="manque prêt"/>
    <m/>
    <m/>
    <m/>
    <m/>
    <m/>
    <s v="Commune / MOREL"/>
    <s v="AUBERT"/>
    <m/>
    <m/>
    <m/>
    <n v="0"/>
    <m/>
    <m/>
    <m/>
    <m/>
    <m/>
    <m/>
    <m/>
    <m/>
    <m/>
    <m/>
    <m/>
    <n v="3165962"/>
    <n v="3165962"/>
    <n v="0"/>
    <n v="2099.0128024079931"/>
    <n v="150760.09523809524"/>
    <n v="2213308"/>
    <m/>
    <n v="-2213308"/>
    <n v="0.71377592908569332"/>
    <n v="840835"/>
    <n v="840835"/>
    <n v="56055.666666666664"/>
    <n v="0"/>
    <n v="1607847"/>
    <n v="1607847"/>
    <n v="374953"/>
    <n v="1232894"/>
    <n v="0"/>
    <n v="107189.8"/>
    <m/>
    <n v="717280"/>
    <n v="717280"/>
    <n v="0.2265598892216647"/>
    <n v="0"/>
    <n v="0"/>
    <n v="34156.190476190473"/>
    <n v="0"/>
    <n v="5.39"/>
    <n v="5.13"/>
    <n v="1348357.3859175001"/>
    <n v="315000"/>
    <n v="124874.33333333333"/>
    <n v="292222.2"/>
    <n v="144355.81333333335"/>
    <n v="0.47965972606076751"/>
    <n v="164613.48000000001"/>
    <n v="0"/>
    <n v="0"/>
    <n v="4514319.3859174997"/>
  </r>
  <r>
    <s v=" VEFA 10e km RAMDIALE"/>
    <s v="Tampon"/>
    <x v="1"/>
    <m/>
    <s v="LLS"/>
    <n v="33"/>
    <n v="33"/>
    <m/>
    <n v="2443.5"/>
    <n v="2443.5"/>
    <n v="74.045454545454547"/>
    <m/>
    <m/>
    <m/>
    <x v="4"/>
    <s v="BBL"/>
    <s v="Faisa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n v="5200011"/>
    <n v="5200011"/>
    <n v="0"/>
    <n v="2128.0994475138123"/>
    <n v="157576.09090909091"/>
    <m/>
    <m/>
    <n v="0"/>
    <n v="0"/>
    <n v="1642593"/>
    <n v="1642593"/>
    <n v="49775.545454545456"/>
    <n v="0"/>
    <n v="3297417"/>
    <n v="3297417"/>
    <n v="650166"/>
    <n v="2647251"/>
    <n v="0"/>
    <n v="99921.727272727279"/>
    <m/>
    <n v="260001"/>
    <n v="260001"/>
    <n v="5.0000086538278476E-2"/>
    <m/>
    <n v="0"/>
    <n v="7878.818181818182"/>
    <n v="0"/>
    <n v="6.68"/>
    <n v="6.21"/>
    <n v="0"/>
    <n v="0"/>
    <n v="63419.8"/>
    <n v="0"/>
    <n v="63419.8"/>
    <n v="0.36588268755585324"/>
    <n v="0"/>
    <n v="0"/>
    <n v="0"/>
    <n v="5200011"/>
  </r>
  <r>
    <s v=" VEFA Petunias"/>
    <s v="Tampon"/>
    <x v="1"/>
    <s v="PRLC"/>
    <s v="LLTS"/>
    <n v="50"/>
    <m/>
    <n v="50"/>
    <n v="4457.7700000000004"/>
    <n v="4457.7700000000004"/>
    <n v="89.155400000000014"/>
    <m/>
    <n v="1"/>
    <s v="oui"/>
    <x v="4"/>
    <s v="FMA"/>
    <s v="Faisa"/>
    <m/>
    <m/>
    <s v="SAR"/>
    <s v="INGEPAR"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n v="9050135"/>
    <n v="9050135"/>
    <n v="0"/>
    <n v="2030.1933477949735"/>
    <n v="181002.7"/>
    <m/>
    <m/>
    <n v="0"/>
    <n v="0"/>
    <n v="2661471"/>
    <n v="2661471"/>
    <n v="53229.42"/>
    <n v="0"/>
    <n v="5438664"/>
    <n v="5438664"/>
    <n v="982256"/>
    <n v="4456408"/>
    <n v="0"/>
    <n v="108773.28"/>
    <m/>
    <n v="950000"/>
    <n v="950000"/>
    <n v="0.1049708098276987"/>
    <n v="0"/>
    <n v="0"/>
    <n v="19000"/>
    <n v="0"/>
    <n v="5.07"/>
    <n v="5.07"/>
    <n v="0"/>
    <n v="0"/>
    <n v="72229.42"/>
    <n v="0"/>
    <n v="72229.42"/>
    <n v="0.39905161635710407"/>
    <n v="0"/>
    <n v="0"/>
    <n v="0"/>
    <n v="9050135"/>
  </r>
  <r>
    <s v="RPA Alamandas"/>
    <s v="St Joseph"/>
    <x v="1"/>
    <s v="PRLC 0144"/>
    <s v="LLTS"/>
    <n v="15"/>
    <m/>
    <n v="15"/>
    <n v="969.3"/>
    <n v="969.3"/>
    <n v="64.61999999999999"/>
    <m/>
    <m/>
    <s v="non"/>
    <x v="5"/>
    <s v="FMA"/>
    <s v="APS"/>
    <m/>
    <m/>
    <s v="SRI"/>
    <m/>
    <m/>
    <m/>
    <m/>
    <m/>
    <m/>
    <m/>
    <m/>
    <m/>
    <m/>
    <m/>
    <m/>
    <m/>
    <m/>
    <m/>
    <m/>
    <m/>
    <m/>
    <m/>
    <m/>
    <m/>
    <m/>
    <m/>
    <m/>
    <m/>
    <s v="Commune"/>
    <m/>
    <m/>
    <m/>
    <m/>
    <m/>
    <m/>
    <m/>
    <m/>
    <m/>
    <m/>
    <m/>
    <m/>
    <m/>
    <m/>
    <m/>
    <m/>
    <n v="1895746"/>
    <n v="1895746"/>
    <n v="0"/>
    <n v="1955.788713504591"/>
    <n v="126383.06666666667"/>
    <n v="1672406"/>
    <m/>
    <n v="-1672406"/>
    <n v="0.90071482466532959"/>
    <n v="511922"/>
    <n v="511922"/>
    <n v="34128.133333333331"/>
    <n v="0"/>
    <n v="1131824"/>
    <n v="1131824"/>
    <m/>
    <m/>
    <n v="0"/>
    <n v="75454.933333333334"/>
    <m/>
    <n v="252000"/>
    <n v="252000"/>
    <n v="0.1329292004308594"/>
    <n v="0"/>
    <n v="0"/>
    <n v="16800"/>
    <n v="0"/>
    <m/>
    <m/>
    <n v="0"/>
    <n v="0"/>
    <n v="50928.133333333331"/>
    <n v="0"/>
    <n v="50928.133333333331"/>
    <m/>
    <m/>
    <n v="0"/>
    <n v="0"/>
    <n v="1895746"/>
  </r>
  <r>
    <s v="Terrain Michel CV"/>
    <s v="St Joseph"/>
    <x v="1"/>
    <s v="PRLC 0151"/>
    <s v="LLTS"/>
    <n v="19"/>
    <m/>
    <n v="19"/>
    <n v="1481.44"/>
    <n v="1481.44"/>
    <n v="77.970526315789471"/>
    <m/>
    <n v="1"/>
    <s v="oui"/>
    <x v="4"/>
    <s v="YFR"/>
    <s v="ESQ"/>
    <m/>
    <m/>
    <s v="MLO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n v="2888786"/>
    <n v="2888786"/>
    <n v="0"/>
    <n v="1949.9851495841883"/>
    <n v="152041.36842105264"/>
    <m/>
    <m/>
    <n v="0"/>
    <n v="0"/>
    <n v="838405"/>
    <n v="838405"/>
    <n v="44126.57894736842"/>
    <n v="0"/>
    <n v="1670381"/>
    <n v="1670381"/>
    <n v="226311"/>
    <n v="1444070"/>
    <n v="0"/>
    <n v="87914.789473684214"/>
    <m/>
    <n v="380000"/>
    <n v="380000"/>
    <n v="0.13154314649821758"/>
    <n v="0"/>
    <n v="0"/>
    <n v="20000"/>
    <n v="0"/>
    <n v="5.26"/>
    <n v="5.09"/>
    <n v="0"/>
    <n v="0"/>
    <n v="64126.57894736842"/>
    <n v="0"/>
    <n v="64126.57894736842"/>
    <n v="0.42177059844516002"/>
    <n v="0"/>
    <n v="0"/>
    <n v="0"/>
    <n v="2888786"/>
  </r>
  <r>
    <s v="Ilôt 6.1"/>
    <s v="Etang-Salé"/>
    <x v="0"/>
    <s v="PRLC 0160"/>
    <s v="LLTS"/>
    <n v="30"/>
    <m/>
    <n v="30"/>
    <n v="2535.3000000000002"/>
    <n v="2535.3000000000002"/>
    <n v="84.51"/>
    <m/>
    <m/>
    <m/>
    <x v="4"/>
    <s v="FMA"/>
    <s v="ESQ"/>
    <m/>
    <m/>
    <s v="DBE"/>
    <m/>
    <m/>
    <m/>
    <m/>
    <m/>
    <m/>
    <m/>
    <m/>
    <m/>
    <m/>
    <m/>
    <m/>
    <m/>
    <m/>
    <m/>
    <m/>
    <m/>
    <m/>
    <m/>
    <m/>
    <m/>
    <m/>
    <m/>
    <m/>
    <m/>
    <s v="SODEGIS"/>
    <m/>
    <m/>
    <m/>
    <m/>
    <n v="0"/>
    <m/>
    <m/>
    <m/>
    <m/>
    <m/>
    <m/>
    <m/>
    <m/>
    <m/>
    <m/>
    <m/>
    <n v="4934193"/>
    <n v="4934193"/>
    <n v="0"/>
    <n v="1946.1968997751744"/>
    <n v="164473.1"/>
    <m/>
    <m/>
    <n v="0"/>
    <n v="0"/>
    <n v="1389643"/>
    <n v="1389643"/>
    <n v="46321.433333333334"/>
    <n v="0"/>
    <n v="2944550"/>
    <n v="2944550"/>
    <n v="590792"/>
    <n v="2353758"/>
    <n v="0"/>
    <n v="98151.666666666672"/>
    <m/>
    <n v="600000"/>
    <n v="600000"/>
    <n v="0.1216004319247342"/>
    <n v="0"/>
    <n v="0"/>
    <n v="20000"/>
    <n v="0"/>
    <n v="5.15"/>
    <n v="4.99"/>
    <n v="0"/>
    <n v="0"/>
    <n v="66321.433333333334"/>
    <n v="0"/>
    <n v="66321.433333333334"/>
    <n v="0.40323574696003989"/>
    <n v="0"/>
    <n v="0"/>
    <n v="0"/>
    <n v="4934193"/>
  </r>
  <r>
    <s v="Ilôt 5.6"/>
    <s v="Etang-Salé"/>
    <x v="0"/>
    <s v="PRLC 0156"/>
    <s v="LLTS"/>
    <n v="30"/>
    <n v="30"/>
    <m/>
    <n v="2296.9"/>
    <n v="2296.9"/>
    <n v="76.563333333333333"/>
    <m/>
    <n v="1"/>
    <s v="oui"/>
    <x v="4"/>
    <s v="JDC"/>
    <s v="APS"/>
    <m/>
    <m/>
    <s v="KGI"/>
    <m/>
    <m/>
    <m/>
    <m/>
    <m/>
    <m/>
    <m/>
    <m/>
    <m/>
    <m/>
    <m/>
    <m/>
    <m/>
    <m/>
    <m/>
    <m/>
    <m/>
    <m/>
    <m/>
    <m/>
    <m/>
    <m/>
    <m/>
    <m/>
    <m/>
    <s v="SODEGIS"/>
    <m/>
    <m/>
    <m/>
    <m/>
    <n v="0"/>
    <m/>
    <m/>
    <m/>
    <m/>
    <m/>
    <m/>
    <m/>
    <m/>
    <m/>
    <m/>
    <m/>
    <n v="4776038"/>
    <n v="4776038"/>
    <n v="0"/>
    <n v="2079.3408507118288"/>
    <n v="159201.26666666666"/>
    <m/>
    <m/>
    <n v="0"/>
    <n v="0"/>
    <n v="1469126"/>
    <n v="1469126"/>
    <n v="48970.866666666669"/>
    <n v="0"/>
    <n v="3068110"/>
    <n v="3068110"/>
    <m/>
    <m/>
    <n v="0"/>
    <n v="102270.33333333333"/>
    <m/>
    <n v="238802"/>
    <n v="238802"/>
    <n v="5.0000020937856861E-2"/>
    <n v="0"/>
    <n v="0"/>
    <n v="7960.0666666666666"/>
    <n v="0"/>
    <n v="6.61"/>
    <n v="6.6"/>
    <n v="0"/>
    <n v="0"/>
    <n v="56930.933333333334"/>
    <n v="0"/>
    <n v="56930.933333333334"/>
    <n v="0.3576035199049924"/>
    <n v="0"/>
    <n v="0"/>
    <n v="0"/>
    <n v="4776038"/>
  </r>
  <r>
    <s v=" VEFA Hydras"/>
    <s v="St Louis"/>
    <x v="0"/>
    <s v="PRLC"/>
    <s v="LLTS"/>
    <n v="15"/>
    <m/>
    <n v="15"/>
    <n v="1121.58"/>
    <m/>
    <n v="0"/>
    <m/>
    <m/>
    <m/>
    <x v="5"/>
    <s v="LIM"/>
    <s v="Faisa"/>
    <m/>
    <m/>
    <s v="MLO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2300041.0997241684"/>
    <m/>
    <n v="-2300041.0997241684"/>
    <n v="2050.7151515934383"/>
    <n v="153336.07331494457"/>
    <m/>
    <m/>
    <n v="0"/>
    <n v="0"/>
    <n v="648664.35017465393"/>
    <n v="648664.35017465393"/>
    <n v="43244.290011643592"/>
    <n v="0"/>
    <n v="1331376.7495495146"/>
    <n v="1331376.7495495146"/>
    <m/>
    <m/>
    <n v="0"/>
    <n v="88758.449969967638"/>
    <m/>
    <n v="320000"/>
    <n v="320000"/>
    <e v="#DIV/0!"/>
    <n v="0"/>
    <n v="0"/>
    <n v="21333.333333333332"/>
    <n v="0"/>
    <m/>
    <m/>
    <n v="0"/>
    <n v="0"/>
    <n v="64577.623344976928"/>
    <n v="0"/>
    <n v="64577.623344976928"/>
    <m/>
    <m/>
    <n v="0"/>
    <n v="0"/>
    <n v="0"/>
  </r>
  <r>
    <s v="AX 18"/>
    <s v="Etang-Salé"/>
    <x v="0"/>
    <s v="PRLC 0153"/>
    <s v="LLTS"/>
    <n v="9"/>
    <n v="9"/>
    <m/>
    <n v="858.51"/>
    <n v="858.51"/>
    <n v="95.39"/>
    <m/>
    <m/>
    <s v="non"/>
    <x v="4"/>
    <s v="SFE"/>
    <s v="ESQ"/>
    <n v="30"/>
    <m/>
    <s v="NLE"/>
    <m/>
    <m/>
    <m/>
    <m/>
    <m/>
    <m/>
    <m/>
    <m/>
    <m/>
    <m/>
    <m/>
    <m/>
    <m/>
    <m/>
    <m/>
    <m/>
    <m/>
    <m/>
    <m/>
    <m/>
    <m/>
    <m/>
    <m/>
    <m/>
    <m/>
    <s v="SODEGIS"/>
    <s v="QUINOT"/>
    <d v="2013-05-13T00:00:00"/>
    <m/>
    <m/>
    <n v="0"/>
    <m/>
    <m/>
    <m/>
    <m/>
    <m/>
    <m/>
    <m/>
    <m/>
    <m/>
    <m/>
    <m/>
    <n v="1544439"/>
    <n v="1544438"/>
    <n v="-1"/>
    <n v="1798.976133067757"/>
    <n v="171604.33333333334"/>
    <m/>
    <m/>
    <n v="0"/>
    <n v="0"/>
    <n v="478312"/>
    <n v="478312"/>
    <n v="53145.777777777781"/>
    <n v="0"/>
    <n v="980627"/>
    <n v="980626"/>
    <n v="159918"/>
    <n v="820708"/>
    <n v="-1"/>
    <n v="108958.44444444444"/>
    <n v="0"/>
    <n v="85500"/>
    <n v="85500"/>
    <n v="5.5359943228540091E-2"/>
    <n v="0"/>
    <n v="0"/>
    <n v="9500"/>
    <n v="0"/>
    <n v="6.24"/>
    <n v="5.13"/>
    <n v="0"/>
    <n v="0"/>
    <n v="62645.777777777781"/>
    <n v="196515"/>
    <n v="84480.777777777781"/>
    <n v="0.49230011175586202"/>
    <n v="165428"/>
    <n v="0"/>
    <n v="0"/>
    <n v="1544438"/>
  </r>
  <r>
    <s v=" VEFA La Safranière"/>
    <s v="Tampon"/>
    <x v="0"/>
    <s v="PRLC"/>
    <s v="LLTS"/>
    <n v="52"/>
    <m/>
    <n v="52"/>
    <n v="4397.1499999999996"/>
    <n v="4397.1499999999996"/>
    <n v="84.560576923076923"/>
    <m/>
    <m/>
    <s v="oui"/>
    <x v="4"/>
    <s v="SFE"/>
    <s v="Faisa"/>
    <n v="512"/>
    <m/>
    <s v="MLO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n v="9070838"/>
    <n v="9070838"/>
    <n v="0"/>
    <n v="2062.8902812048714"/>
    <n v="174439.19230769231"/>
    <m/>
    <m/>
    <n v="0"/>
    <n v="0"/>
    <n v="2612892"/>
    <n v="2612892"/>
    <n v="50247.923076923078"/>
    <n v="0"/>
    <n v="5339946"/>
    <n v="5339946"/>
    <n v="1207176"/>
    <n v="4132770"/>
    <n v="0"/>
    <n v="102691.26923076923"/>
    <n v="0"/>
    <n v="1118000"/>
    <n v="1118000"/>
    <n v="0.12325211849224955"/>
    <n v="0"/>
    <n v="0"/>
    <n v="21500"/>
    <n v="0"/>
    <n v="5.14"/>
    <n v="5.07"/>
    <n v="0"/>
    <n v="0"/>
    <n v="71747.923076923078"/>
    <n v="0"/>
    <n v="71747.923076923078"/>
    <n v="0.41130621007673163"/>
    <n v="0"/>
    <n v="0"/>
    <n v="0"/>
    <n v="9070838"/>
  </r>
  <r>
    <s v="Ilôt 5.1"/>
    <s v="Etang-Salé"/>
    <x v="0"/>
    <s v="PRLC 0155"/>
    <s v="LLTS"/>
    <n v="17"/>
    <m/>
    <n v="17"/>
    <n v="1433.9"/>
    <n v="1433.9"/>
    <n v="84.347058823529423"/>
    <m/>
    <n v="1"/>
    <m/>
    <x v="4"/>
    <s v="YFR"/>
    <s v="ESQ"/>
    <m/>
    <m/>
    <s v="SAR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n v="2796062"/>
    <n v="2796062"/>
    <n v="0"/>
    <n v="1949.9700118557778"/>
    <n v="164474.23529411765"/>
    <m/>
    <m/>
    <n v="0"/>
    <n v="0"/>
    <n v="831609"/>
    <n v="831609"/>
    <n v="48918.176470588238"/>
    <n v="0"/>
    <n v="1624453"/>
    <n v="1624453"/>
    <n v="292713"/>
    <n v="1331740"/>
    <n v="0"/>
    <n v="95556.058823529413"/>
    <m/>
    <n v="340000"/>
    <n v="340000"/>
    <n v="0.12159959256983571"/>
    <n v="0"/>
    <n v="0"/>
    <n v="20000"/>
    <n v="0"/>
    <n v="5.15"/>
    <n v="4.92"/>
    <n v="0"/>
    <n v="0"/>
    <n v="68918.176470588238"/>
    <n v="0"/>
    <n v="68918.176470588238"/>
    <n v="0.41902110897397843"/>
    <n v="0"/>
    <n v="0"/>
    <n v="0"/>
    <n v="2796062"/>
  </r>
  <r>
    <s v="VEFA CAMELIAS"/>
    <s v="St Leu"/>
    <x v="2"/>
    <m/>
    <s v="LLTS"/>
    <n v="29"/>
    <m/>
    <n v="29"/>
    <n v="2675.69"/>
    <n v="2675.69"/>
    <n v="92.26517241379311"/>
    <m/>
    <m/>
    <m/>
    <x v="4"/>
    <m/>
    <s v="Faisa"/>
    <n v="8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n v="5556046.2030870281"/>
    <n v="5556046.043087028"/>
    <m/>
    <n v="2076.4909997372747"/>
    <n v="191587.80010644926"/>
    <m/>
    <m/>
    <n v="0"/>
    <n v="0"/>
    <n v="1640253.2030870281"/>
    <n v="1640253.2030870281"/>
    <n v="31543.330828596696"/>
    <n v="0"/>
    <n v="3335793"/>
    <n v="3335792.84"/>
    <n v="721914.2"/>
    <n v="2613878.64"/>
    <n v="-0.16000000014901161"/>
    <n v="64149.862307692303"/>
    <m/>
    <n v="580000"/>
    <n v="580000"/>
    <n v="0.10439078357200632"/>
    <n v="0"/>
    <n v="0"/>
    <n v="20000"/>
    <n v="0"/>
    <n v="5.03"/>
    <n v="5.0199999999999996"/>
    <n v="0"/>
    <n v="0"/>
    <n v="76560.455278863039"/>
    <n v="0"/>
    <n v="76560.455278863039"/>
    <n v="0.39961029585950297"/>
    <n v="0"/>
    <n v="0"/>
    <n v="0"/>
    <n v="5556046.043087028"/>
  </r>
  <r>
    <s v="Bras Moutons Ho Quock"/>
    <s v="St Leu"/>
    <x v="2"/>
    <s v="PRLC 0159"/>
    <s v="LLTS"/>
    <n v="16"/>
    <m/>
    <n v="16"/>
    <n v="1556"/>
    <n v="1556"/>
    <n v="97.25"/>
    <m/>
    <m/>
    <m/>
    <x v="4"/>
    <s v="LIM"/>
    <s v="ESQ"/>
    <m/>
    <m/>
    <s v="SAR"/>
    <m/>
    <m/>
    <m/>
    <m/>
    <m/>
    <m/>
    <m/>
    <m/>
    <m/>
    <m/>
    <m/>
    <m/>
    <m/>
    <m/>
    <m/>
    <m/>
    <m/>
    <m/>
    <m/>
    <m/>
    <m/>
    <m/>
    <m/>
    <m/>
    <m/>
    <s v="Commune"/>
    <m/>
    <m/>
    <m/>
    <m/>
    <n v="0"/>
    <m/>
    <m/>
    <m/>
    <m/>
    <m/>
    <m/>
    <m/>
    <m/>
    <m/>
    <m/>
    <m/>
    <n v="3100741"/>
    <n v="3100741"/>
    <n v="0"/>
    <n v="1992.7641388174807"/>
    <n v="193796.3125"/>
    <m/>
    <m/>
    <n v="0"/>
    <n v="0"/>
    <n v="940537"/>
    <n v="940537"/>
    <n v="58783.5625"/>
    <n v="0"/>
    <n v="1857804"/>
    <n v="1857804"/>
    <n v="354656"/>
    <n v="1503148"/>
    <n v="0"/>
    <n v="116112.75"/>
    <m/>
    <n v="302400"/>
    <n v="302400"/>
    <n v="9.7525075457769617E-2"/>
    <n v="0"/>
    <n v="0"/>
    <n v="18900"/>
    <n v="0"/>
    <n v="4.97"/>
    <n v="4.97"/>
    <n v="824557.61"/>
    <n v="320000"/>
    <n v="97683.5625"/>
    <n v="276732"/>
    <n v="114979.3125"/>
    <n v="0.46866982178459032"/>
    <n v="178250"/>
    <n v="0"/>
    <n v="0"/>
    <n v="3925298.6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7">
  <r>
    <s v="Avenue Raymond Barre "/>
    <s v="Etang-Salé"/>
    <s v="CIVIS"/>
    <n v="2012"/>
    <n v="14"/>
    <x v="0"/>
    <s v="GPA"/>
    <x v="0"/>
  </r>
  <r>
    <s v="Desiré 2"/>
    <s v="Petite-Ile"/>
    <s v="CIVIS"/>
    <n v="2012"/>
    <n v="7"/>
    <x v="1"/>
    <s v="GPA"/>
    <x v="0"/>
  </r>
  <r>
    <s v="Sceau de Salomon "/>
    <s v="Tampon"/>
    <s v="CA SUD"/>
    <n v="2012"/>
    <n v="84"/>
    <x v="2"/>
    <s v="GPA"/>
    <x v="0"/>
  </r>
  <r>
    <s v="Alamandas  "/>
    <s v="Tampon"/>
    <s v="CA SUD"/>
    <n v="2012"/>
    <n v="75"/>
    <x v="3"/>
    <s v="Tvx"/>
    <x v="0"/>
  </r>
  <r>
    <s v="Aubépines"/>
    <s v="Tampon"/>
    <s v="CA SUD"/>
    <n v="2012"/>
    <n v="17"/>
    <x v="4"/>
    <s v="Tvx"/>
    <x v="0"/>
  </r>
  <r>
    <s v="Bouton d'Or (Tampon 15e km)"/>
    <s v="Tampon"/>
    <s v="CA SUD"/>
    <n v="2012"/>
    <n v="65"/>
    <x v="5"/>
    <s v="Tvx"/>
    <x v="0"/>
  </r>
  <r>
    <s v="La Chaloupe (CH 578)"/>
    <s v="St Leu"/>
    <s v="TCO"/>
    <n v="2012"/>
    <n v="10"/>
    <x v="1"/>
    <s v="Tvx"/>
    <x v="0"/>
  </r>
  <r>
    <s v="Laurency "/>
    <s v="St Leu"/>
    <s v="TCO"/>
    <n v="2012"/>
    <n v="22"/>
    <x v="2"/>
    <s v="Tvx"/>
    <x v="0"/>
  </r>
  <r>
    <s v="Le Cap (BH 228)"/>
    <s v="St Leu"/>
    <s v="TCO"/>
    <n v="2012"/>
    <n v="24"/>
    <x v="1"/>
    <s v="Tvx"/>
    <x v="0"/>
  </r>
  <r>
    <s v="Les Mimosas (Philidor Techer)"/>
    <s v="Tampon"/>
    <s v="CA SUD"/>
    <n v="2012"/>
    <n v="40"/>
    <x v="0"/>
    <s v="Tvx"/>
    <x v="0"/>
  </r>
  <r>
    <s v="Poker d'As "/>
    <s v="Tampon"/>
    <s v="CA SUD"/>
    <n v="2012"/>
    <n v="42"/>
    <x v="4"/>
    <s v="Tvx"/>
    <x v="0"/>
  </r>
  <r>
    <s v="Josepha Fontaine"/>
    <s v="St Joseph"/>
    <s v="CA SUD"/>
    <n v="2013"/>
    <n v="15"/>
    <x v="0"/>
    <s v="AO"/>
    <x v="1"/>
  </r>
  <r>
    <s v="RPA Chaloupe"/>
    <s v="St Leu"/>
    <s v="TCO"/>
    <n v="2013"/>
    <n v="14"/>
    <x v="4"/>
    <s v="AO"/>
    <x v="1"/>
  </r>
  <r>
    <s v="Palissandre"/>
    <s v="Tampon"/>
    <s v="CA SUD"/>
    <n v="2013"/>
    <n v="29"/>
    <x v="6"/>
    <s v="APD"/>
    <x v="1"/>
  </r>
  <r>
    <s v="Barrage"/>
    <s v="St Paul"/>
    <s v="TCO"/>
    <n v="2013"/>
    <n v="110"/>
    <x v="4"/>
    <s v="Attrib"/>
    <x v="1"/>
  </r>
  <r>
    <s v="Amaryllis"/>
    <s v="Tampon"/>
    <s v="CA SUD"/>
    <n v="2013"/>
    <n v="9"/>
    <x v="7"/>
    <s v="Tvx"/>
    <x v="0"/>
  </r>
  <r>
    <s v="FANFAN"/>
    <s v="Trois Bassins"/>
    <s v="TCO"/>
    <n v="2013"/>
    <n v="24"/>
    <x v="4"/>
    <s v="Tvx"/>
    <x v="0"/>
  </r>
  <r>
    <s v="Parc à Moutons"/>
    <s v="St Joseph"/>
    <s v="CA SUD"/>
    <n v="2013"/>
    <n v="34"/>
    <x v="1"/>
    <s v="Tvx"/>
    <x v="0"/>
  </r>
  <r>
    <s v="PIVET-VELIN"/>
    <s v="Tampon"/>
    <s v="CA SUD"/>
    <n v="2013"/>
    <n v="54"/>
    <x v="1"/>
    <s v="Tvx"/>
    <x v="0"/>
  </r>
  <r>
    <s v="Poker d'As 2"/>
    <s v="Tampon"/>
    <s v="CA SUD"/>
    <n v="2013"/>
    <n v="44"/>
    <x v="5"/>
    <s v="Tvx"/>
    <x v="0"/>
  </r>
  <r>
    <s v="Rue de l'Eglise"/>
    <s v="Entre-Deux"/>
    <s v="CA SUD"/>
    <n v="2013"/>
    <n v="18"/>
    <x v="7"/>
    <s v="Tvx"/>
    <x v="0"/>
  </r>
  <r>
    <s v="Takamaka"/>
    <s v="St Philippe"/>
    <s v="CA SUD"/>
    <n v="2013"/>
    <n v="14"/>
    <x v="0"/>
    <s v="Tvx"/>
    <x v="0"/>
  </r>
  <r>
    <s v="Tamariniers"/>
    <s v="St Leu"/>
    <s v="TCO"/>
    <n v="2013"/>
    <n v="81"/>
    <x v="2"/>
    <s v="Tvx"/>
    <x v="0"/>
  </r>
  <r>
    <s v="AX 18"/>
    <s v="Etang-Salé"/>
    <s v="CIVIS"/>
    <n v="2014"/>
    <n v="9"/>
    <x v="2"/>
    <s v="AO"/>
    <x v="1"/>
  </r>
  <r>
    <s v="Verveine des Indes"/>
    <s v="Etang-Salé"/>
    <s v="CIVIS"/>
    <n v="2014"/>
    <n v="16"/>
    <x v="1"/>
    <s v="AO"/>
    <x v="1"/>
  </r>
  <r>
    <s v="FAHAM"/>
    <s v="Etang-Salé"/>
    <s v="CIVIS"/>
    <n v="2014"/>
    <n v="30"/>
    <x v="5"/>
    <s v="AO"/>
    <x v="1"/>
  </r>
  <r>
    <s v="Fleurs Jaunes"/>
    <s v="Etang-Salé"/>
    <s v="CIVIS"/>
    <n v="2014"/>
    <n v="30"/>
    <x v="0"/>
    <s v="AO"/>
    <x v="1"/>
  </r>
  <r>
    <s v="VEFA Petunias"/>
    <s v="Tampon"/>
    <s v="CA SUD"/>
    <n v="2014"/>
    <n v="50"/>
    <x v="1"/>
    <s v="DCE"/>
    <x v="1"/>
  </r>
  <r>
    <s v=" VEFA 10e km RAMDIALE"/>
    <s v="Tampon"/>
    <s v="CA SUD"/>
    <n v="2014"/>
    <n v="32"/>
    <x v="5"/>
    <s v="PC"/>
    <x v="1"/>
  </r>
  <r>
    <s v="VEFA CAP OUEST"/>
    <s v="St Leu"/>
    <s v="TCO"/>
    <n v="2014"/>
    <n v="32"/>
    <x v="4"/>
    <s v="PC"/>
    <x v="1"/>
  </r>
  <r>
    <s v="Manapany "/>
    <s v="St Joseph"/>
    <s v="CA SUD"/>
    <n v="2014"/>
    <n v="21"/>
    <x v="0"/>
    <s v="PRO"/>
    <x v="1"/>
  </r>
  <r>
    <s v="VEFA LOULOU PITOU (LA SAFRANIERE)"/>
    <s v="Tampon"/>
    <s v="CA SUD"/>
    <n v="2014"/>
    <n v="47"/>
    <x v="2"/>
    <s v="Tvx"/>
    <x v="0"/>
  </r>
  <r>
    <s v="CD 61 Rue Bertaut"/>
    <s v="Tampon"/>
    <s v="CA SUD"/>
    <n v="2015"/>
    <n v="89"/>
    <x v="6"/>
    <s v="APD"/>
    <x v="1"/>
  </r>
  <r>
    <s v="HE 168"/>
    <s v="St Louis"/>
    <s v="CIVIS"/>
    <n v="2015"/>
    <n v="58"/>
    <x v="2"/>
    <s v="APD"/>
    <x v="1"/>
  </r>
  <r>
    <s v="Ilot 6.2"/>
    <s v="Etang-Salé"/>
    <s v="CIVIS"/>
    <n v="2015"/>
    <n v="18"/>
    <x v="6"/>
    <s v="APD"/>
    <x v="1"/>
  </r>
  <r>
    <s v="La Plaine St Paul"/>
    <s v="St Paul"/>
    <s v="TCO"/>
    <n v="2015"/>
    <n v="18"/>
    <x v="6"/>
    <s v="APD"/>
    <x v="1"/>
  </r>
  <r>
    <s v="Lacaussade 3"/>
    <s v="St Joseph"/>
    <s v="CA SUD"/>
    <n v="2015"/>
    <n v="20"/>
    <x v="6"/>
    <s v="APD"/>
    <x v="1"/>
  </r>
  <r>
    <s v="Terrain Michel CV"/>
    <s v="St Joseph"/>
    <s v="CA SUD"/>
    <n v="2015"/>
    <n v="19"/>
    <x v="1"/>
    <s v="APD"/>
    <x v="1"/>
  </r>
  <r>
    <s v="VEFA DRAGONS"/>
    <s v="St Paul"/>
    <s v="TCO"/>
    <n v="2015"/>
    <n v="25"/>
    <x v="0"/>
    <s v="ESQ"/>
    <x v="1"/>
  </r>
  <r>
    <s v="Bras Moutons "/>
    <s v="St Leu"/>
    <s v="TCO"/>
    <n v="2015"/>
    <n v="19"/>
    <x v="7"/>
    <s v="PC"/>
    <x v="1"/>
  </r>
  <r>
    <s v="RPA mixte St Philippe"/>
    <s v="St Philippe"/>
    <s v="CA SUD"/>
    <n v="2015"/>
    <n v="19"/>
    <x v="0"/>
    <s v="PC"/>
    <x v="1"/>
  </r>
  <r>
    <s v="VEFA AJP HandyHome "/>
    <s v="Avirons"/>
    <s v="CIVIS"/>
    <n v="2015"/>
    <n v="23"/>
    <x v="5"/>
    <s v="PC"/>
    <x v="1"/>
  </r>
  <r>
    <s v="VEFA BUTOR"/>
    <s v="St Joseph"/>
    <s v="CA SUD"/>
    <n v="2015"/>
    <n v="55"/>
    <x v="0"/>
    <s v="PC"/>
    <x v="1"/>
  </r>
  <r>
    <s v="Bac Rouge"/>
    <s v="St Paul"/>
    <s v="TCO"/>
    <n v="2016"/>
    <n v="12"/>
    <x v="6"/>
    <s v="ESQ"/>
    <x v="1"/>
  </r>
  <r>
    <s v="BY 100"/>
    <s v="Tampon"/>
    <s v="CA SUD"/>
    <n v="2016"/>
    <n v="78"/>
    <x v="5"/>
    <s v="ESQ"/>
    <x v="1"/>
  </r>
  <r>
    <s v="Chemin EDF"/>
    <s v="St Paul"/>
    <s v="TCO"/>
    <n v="2016"/>
    <n v="39"/>
    <x v="4"/>
    <s v="ESQ"/>
    <x v="1"/>
  </r>
  <r>
    <s v="RPA Clinifutur"/>
    <s v="St Joseph"/>
    <s v="CA SUD"/>
    <n v="2016"/>
    <n v="35"/>
    <x v="7"/>
    <s v="Prosp"/>
    <x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14">
  <r>
    <s v="DESIRE"/>
    <x v="0"/>
    <x v="0"/>
    <x v="0"/>
    <s v="PRLC 0099"/>
    <s v="FHO"/>
    <s v="RTA"/>
    <s v="patrimoine"/>
    <s v="oui"/>
    <m/>
    <s v="rétrocession voirie Mairie_x000a_vente des lots  :  attestation de non opposition à conformité reçu_x000a_dossier en préparation chez notaire pour signature SICA"/>
    <m/>
    <m/>
    <m/>
    <n v="9556"/>
    <n v="407560.68000000005"/>
    <n v="222180"/>
    <n v="15094.840000000002"/>
    <n v="42.649715362076186"/>
    <n v="23.250313938886563"/>
    <n v="100.51347010789659"/>
    <n v="8228.8888888888887"/>
    <n v="353.92592592592592"/>
    <m/>
    <n v="0.23131540393470068"/>
    <s v="UC"/>
    <m/>
    <m/>
    <s v="LLTS"/>
    <n v="27"/>
    <m/>
    <n v="27"/>
    <n v="2110.92"/>
    <n v="2210.4499999999998"/>
    <n v="81.868518518518513"/>
    <m/>
    <n v="0.22"/>
    <n v="0.3"/>
    <n v="0.3"/>
    <n v="0.19"/>
    <n v="1400"/>
    <m/>
    <n v="0"/>
    <n v="3"/>
    <n v="4"/>
    <m/>
    <m/>
    <s v="non"/>
    <m/>
    <m/>
    <d v="2011-09-30T00:00:00"/>
    <s v="SO"/>
    <m/>
    <m/>
    <m/>
    <m/>
    <m/>
    <m/>
    <m/>
    <m/>
    <m/>
    <m/>
    <m/>
    <m/>
    <m/>
    <s v="SO"/>
    <s v="SO"/>
    <m/>
    <s v="SO"/>
    <s v="SO"/>
    <s v="SO"/>
    <m/>
    <d v="2010-11-09T00:00:00"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SO"/>
    <m/>
    <m/>
    <s v="SO"/>
    <s v="SO"/>
    <m/>
    <m/>
    <s v="ok"/>
    <s v="ok"/>
    <s v="ok"/>
    <d v="2011-06-27T00:00:00"/>
    <m/>
    <n v="15"/>
    <n v="16"/>
    <n v="24"/>
    <n v="24"/>
    <n v="9"/>
    <n v="8"/>
    <n v="11101"/>
    <n v="99909"/>
    <s v="ok"/>
    <d v="2013-05-30T00:00:00"/>
    <s v="sem 03/06/13"/>
    <d v="2013-07-09T00:00:00"/>
    <m/>
    <s v="ok"/>
    <m/>
    <m/>
    <d v="2013-11-28T00:00:00"/>
    <m/>
    <d v="2013-07-26T00:00:00"/>
    <d v="2013-07-26T00:00:00"/>
    <m/>
    <m/>
    <s v="Lot Charpente : BCCM par CMOI_x000a_Lot Peinture/Sol : RSOP par Corail_x000a_Lot Etanchéité : RVD par Corail_x000a_Lot ECS : Sunzil par Gaia _x000a_Soit 4 lots / 14 lots  =  28 % "/>
    <m/>
    <m/>
    <m/>
    <m/>
    <m/>
    <d v="2014-07-09T00:00:00"/>
    <s v="ok"/>
    <m/>
    <d v="2014-10-14T00:00:00"/>
    <s v="attente doc signé"/>
    <s v="SO"/>
    <m/>
    <s v="SO"/>
    <m/>
    <d v="2015-04-20T00:00:00"/>
    <d v="2016-02-24T00:00:00"/>
    <m/>
    <m/>
    <n v="3574937"/>
    <n v="3574937"/>
    <n v="1693.5445208724157"/>
    <n v="132405.07407407407"/>
    <m/>
    <n v="0"/>
    <n v="0"/>
    <e v="#DIV/0!"/>
    <m/>
    <n v="0"/>
    <n v="0"/>
    <n v="0"/>
    <n v="0"/>
    <m/>
    <n v="2306000"/>
    <n v="511146"/>
    <n v="1794854"/>
    <n v="2306000"/>
    <n v="85407.407407407401"/>
    <m/>
    <n v="1267528"/>
    <n v="1267528"/>
    <n v="94500"/>
    <n v="0.35455953489530023"/>
    <m/>
    <m/>
    <n v="0"/>
    <n v="46945.481481481482"/>
    <m/>
    <n v="0"/>
    <m/>
    <m/>
    <n v="1734704.6581725003"/>
    <n v="660000"/>
    <n v="71389.925925925927"/>
    <n v="767026.95965000009"/>
    <n v="99798.331838888887"/>
    <n v="0.52964624417787332"/>
    <n v="222180"/>
    <m/>
    <n v="1409"/>
    <n v="5309641.6581725003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8.0666666666666664"/>
    <n v="-8.0666666666666664"/>
    <m/>
    <m/>
    <m/>
    <m/>
    <m/>
    <m/>
    <m/>
    <m/>
  </r>
  <r>
    <s v="VEFA LLS  Les Rosiers "/>
    <x v="1"/>
    <x v="1"/>
    <x v="1"/>
    <s v="PRLC 0124"/>
    <m/>
    <s v="SAR"/>
    <s v="patrimoine"/>
    <m/>
    <m/>
    <m/>
    <m/>
    <m/>
    <m/>
    <n v="5169"/>
    <n v="908948"/>
    <n v="908948"/>
    <n v="15149.133333333333"/>
    <n v="175.84600502998646"/>
    <n v="175.84600502998646"/>
    <n v="163.87126085326105"/>
    <n v="15149.133333333333"/>
    <n v="86.15"/>
    <m/>
    <n v="1.0730740955697426"/>
    <s v="UB"/>
    <m/>
    <m/>
    <s v="LLS"/>
    <n v="51"/>
    <n v="51"/>
    <m/>
    <n v="4837.3599999999997"/>
    <n v="4837.3599999999997"/>
    <n v="94.850196078431367"/>
    <m/>
    <m/>
    <m/>
    <m/>
    <m/>
    <n v="900"/>
    <n v="0"/>
    <n v="0"/>
    <m/>
    <m/>
    <m/>
    <m/>
    <s v="oui"/>
    <d v="2011-02-09T00:00:00"/>
    <m/>
    <d v="2011-09-30T00:00:00"/>
    <s v="SO"/>
    <m/>
    <m/>
    <m/>
    <m/>
    <m/>
    <m/>
    <m/>
    <m/>
    <m/>
    <m/>
    <m/>
    <m/>
    <m/>
    <s v="INGEPAR"/>
    <s v="ok"/>
    <m/>
    <m/>
    <m/>
    <s v="LS 11"/>
    <m/>
    <d v="2011-06-28T00:00:00"/>
    <d v="2015-11-09T00:00:00"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s v="BARET/GILLOT"/>
    <m/>
    <m/>
    <m/>
    <m/>
    <m/>
    <m/>
    <m/>
    <m/>
    <m/>
    <m/>
    <m/>
    <m/>
    <m/>
    <m/>
    <m/>
    <m/>
    <m/>
    <m/>
    <d v="1901-06-30T00:00:00"/>
    <m/>
    <m/>
    <s v="ok"/>
    <s v="ok"/>
    <d v="2013-05-14T00:00:00"/>
    <d v="2011-12-21T00:00:00"/>
    <m/>
    <n v="22"/>
    <n v="23"/>
    <n v="22"/>
    <n v="25"/>
    <n v="0"/>
    <n v="2"/>
    <n v="30568"/>
    <n v="0"/>
    <s v="ok"/>
    <d v="2013-10-01T00:00:00"/>
    <d v="2013-11-01T00:00:00"/>
    <d v="2013-10-21T00:00:00"/>
    <m/>
    <s v="ok"/>
    <m/>
    <m/>
    <m/>
    <m/>
    <d v="2014-02-13T00:00:00"/>
    <d v="2014-02-13T00:00:00"/>
    <m/>
    <m/>
    <m/>
    <m/>
    <m/>
    <m/>
    <m/>
    <m/>
    <d v="2014-10-21T00:00:00"/>
    <s v="14/10/14 DPR"/>
    <s v="ok"/>
    <m/>
    <m/>
    <m/>
    <m/>
    <d v="2015-04-27T00:00:00"/>
    <m/>
    <m/>
    <m/>
    <m/>
    <m/>
    <n v="9522775"/>
    <n v="9522775"/>
    <n v="1968.5892718342238"/>
    <n v="186721.07843137256"/>
    <m/>
    <m/>
    <n v="0"/>
    <e v="#DIV/0!"/>
    <m/>
    <n v="2932668"/>
    <n v="2932668"/>
    <n v="57503.294117647056"/>
    <n v="0"/>
    <n v="6290107"/>
    <n v="6290107"/>
    <n v="1887032"/>
    <n v="4403075"/>
    <n v="0"/>
    <n v="123335.43137254902"/>
    <n v="0"/>
    <n v="300000"/>
    <n v="300000"/>
    <m/>
    <n v="3.150342205922118E-2"/>
    <m/>
    <n v="0"/>
    <n v="0"/>
    <n v="5882.3529411764703"/>
    <m/>
    <n v="0"/>
    <m/>
    <m/>
    <n v="0"/>
    <n v="0"/>
    <n v="63385.647058823532"/>
    <n v="0"/>
    <n v="63385.647058823532"/>
    <n v="0.33946701460446144"/>
    <m/>
    <m/>
    <n v="0"/>
    <n v="9522775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m/>
    <m/>
    <s v="0"/>
    <m/>
    <s v="0"/>
    <n v="-30"/>
    <s v="0"/>
    <m/>
    <m/>
    <m/>
    <s v="0"/>
    <m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VEFA LLTS Les Rosiers "/>
    <x v="1"/>
    <x v="1"/>
    <x v="1"/>
    <s v="PRLC 0124"/>
    <m/>
    <s v="SAR"/>
    <s v="patrimoine"/>
    <m/>
    <m/>
    <m/>
    <m/>
    <m/>
    <m/>
    <m/>
    <m/>
    <m/>
    <m/>
    <m/>
    <m/>
    <m/>
    <m/>
    <m/>
    <m/>
    <m/>
    <s v="UB"/>
    <m/>
    <m/>
    <s v="LLTS"/>
    <n v="6"/>
    <m/>
    <n v="6"/>
    <n v="470.86"/>
    <n v="470.86"/>
    <n v="78.476666666666674"/>
    <m/>
    <m/>
    <m/>
    <m/>
    <m/>
    <m/>
    <n v="0"/>
    <e v="#DIV/0!"/>
    <m/>
    <m/>
    <m/>
    <m/>
    <s v="oui"/>
    <d v="2011-02-09T00:00:00"/>
    <m/>
    <d v="2011-09-30T00:00:00"/>
    <s v="SO"/>
    <m/>
    <m/>
    <m/>
    <m/>
    <m/>
    <m/>
    <m/>
    <m/>
    <m/>
    <m/>
    <m/>
    <m/>
    <m/>
    <s v="INGEPAR"/>
    <s v="ok"/>
    <m/>
    <m/>
    <m/>
    <s v="LS 11"/>
    <m/>
    <d v="2011-07-06T00:00:00"/>
    <d v="2015-11-09T00:00:00"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06-30T00:00:00"/>
    <m/>
    <m/>
    <s v="ok"/>
    <s v="ok"/>
    <d v="2013-05-14T00:00:00"/>
    <d v="2011-12-21T00:00:00"/>
    <m/>
    <n v="22"/>
    <n v="23"/>
    <n v="22"/>
    <n v="25"/>
    <n v="0"/>
    <n v="2"/>
    <n v="2502"/>
    <n v="0"/>
    <s v="ok"/>
    <d v="2013-10-01T00:00:00"/>
    <d v="2013-11-01T00:00:00"/>
    <d v="2013-10-21T00:00:00"/>
    <m/>
    <s v="ok"/>
    <m/>
    <m/>
    <d v="2013-12-03T00:00:00"/>
    <m/>
    <d v="2014-02-13T00:00:00"/>
    <d v="2014-02-13T00:00:00"/>
    <m/>
    <m/>
    <m/>
    <m/>
    <m/>
    <m/>
    <m/>
    <m/>
    <d v="2014-10-21T00:00:00"/>
    <s v="14/10/14 DPR"/>
    <s v="ok"/>
    <m/>
    <m/>
    <m/>
    <m/>
    <d v="2015-04-27T00:00:00"/>
    <m/>
    <m/>
    <m/>
    <m/>
    <m/>
    <n v="926283"/>
    <n v="926283"/>
    <n v="1967.2153081595377"/>
    <n v="154380.5"/>
    <m/>
    <m/>
    <n v="0"/>
    <e v="#DIV/0!"/>
    <m/>
    <n v="340124"/>
    <n v="340124"/>
    <n v="56687.333333333336"/>
    <n v="0"/>
    <n v="486159"/>
    <n v="486159"/>
    <n v="145848"/>
    <n v="340311"/>
    <n v="0"/>
    <n v="81026.5"/>
    <n v="0"/>
    <n v="100000"/>
    <n v="100000"/>
    <m/>
    <n v="0.10795836693537504"/>
    <m/>
    <n v="0"/>
    <n v="0"/>
    <n v="16666.666666666668"/>
    <m/>
    <n v="0"/>
    <m/>
    <m/>
    <n v="0"/>
    <n v="0"/>
    <n v="73354"/>
    <n v="0"/>
    <n v="73354"/>
    <n v="0.47515068289065004"/>
    <m/>
    <m/>
    <n v="0"/>
    <n v="926283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m/>
    <m/>
    <s v="0"/>
    <m/>
    <s v="0"/>
    <n v="-30"/>
    <s v="0"/>
    <m/>
    <m/>
    <m/>
    <s v="0"/>
    <m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VEFA Oiseaux du Paradis "/>
    <x v="2"/>
    <x v="0"/>
    <x v="1"/>
    <s v="PRLC 0123"/>
    <s v="NBL"/>
    <s v="KGI"/>
    <s v="patrimoine"/>
    <m/>
    <m/>
    <m/>
    <m/>
    <m/>
    <m/>
    <n v="4531"/>
    <n v="799078"/>
    <n v="799078"/>
    <n v="34742.521739130432"/>
    <n v="176.35797837122047"/>
    <n v="176.35797837122047"/>
    <n v="416.95086825847386"/>
    <n v="34742.521739130432"/>
    <n v="197"/>
    <m/>
    <n v="0.42297064665636724"/>
    <s v="U3"/>
    <m/>
    <m/>
    <s v="LLS"/>
    <n v="23"/>
    <n v="23"/>
    <m/>
    <n v="1916.48"/>
    <n v="1916.48"/>
    <n v="83.325217391304349"/>
    <m/>
    <m/>
    <m/>
    <m/>
    <m/>
    <m/>
    <m/>
    <n v="0"/>
    <n v="2.5"/>
    <m/>
    <m/>
    <m/>
    <s v="non"/>
    <d v="2011-03-08T00:00:00"/>
    <m/>
    <d v="2011-09-30T00:00:00"/>
    <s v="SO"/>
    <m/>
    <m/>
    <m/>
    <m/>
    <m/>
    <m/>
    <m/>
    <m/>
    <m/>
    <m/>
    <m/>
    <m/>
    <m/>
    <s v="INGEPAR"/>
    <s v="ok"/>
    <m/>
    <m/>
    <m/>
    <s v="LS 12"/>
    <m/>
    <d v="2011-07-06T00:00:00"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s v="QUINOT"/>
    <m/>
    <m/>
    <m/>
    <m/>
    <m/>
    <m/>
    <m/>
    <m/>
    <m/>
    <m/>
    <m/>
    <m/>
    <m/>
    <m/>
    <m/>
    <m/>
    <m/>
    <m/>
    <d v="1901-06-30T00:00:00"/>
    <m/>
    <m/>
    <s v="ok"/>
    <s v="ok"/>
    <s v="ok"/>
    <d v="2011-12-21T00:00:00"/>
    <m/>
    <n v="16"/>
    <n v="17"/>
    <n v="18"/>
    <n v="19"/>
    <n v="2"/>
    <n v="2"/>
    <n v="12116"/>
    <n v="24232"/>
    <s v="ok"/>
    <s v="19 et 26/04/13"/>
    <d v="2013-06-25T00:00:00"/>
    <d v="2013-07-18T00:00:00"/>
    <m/>
    <s v="ok"/>
    <m/>
    <m/>
    <d v="2013-07-15T00:00:00"/>
    <m/>
    <d v="2013-07-31T00:00:00"/>
    <d v="2013-07-31T00:00:00"/>
    <m/>
    <m/>
    <m/>
    <m/>
    <m/>
    <m/>
    <m/>
    <m/>
    <d v="2014-07-18T00:00:00"/>
    <s v="ok"/>
    <m/>
    <m/>
    <s v="25/09/2014 : à détailler plus"/>
    <s v="ok"/>
    <m/>
    <d v="2016-10-21T00:00:00"/>
    <m/>
    <m/>
    <m/>
    <m/>
    <m/>
    <n v="4024614"/>
    <n v="4024614"/>
    <n v="2100.0031307396894"/>
    <n v="174983.21739130435"/>
    <n v="3671820"/>
    <m/>
    <n v="-3671820"/>
    <e v="#DIV/0!"/>
    <m/>
    <n v="1191366"/>
    <n v="1191366"/>
    <n v="51798.521739130432"/>
    <n v="0"/>
    <n v="2593660"/>
    <n v="2593661"/>
    <n v="592565"/>
    <n v="2001096"/>
    <n v="1"/>
    <n v="112767.86956521739"/>
    <n v="0"/>
    <n v="239587"/>
    <n v="239587"/>
    <m/>
    <n v="5.9530429502059078E-2"/>
    <m/>
    <n v="0"/>
    <n v="0"/>
    <n v="10416.826086956522"/>
    <m/>
    <n v="0"/>
    <m/>
    <m/>
    <n v="0"/>
    <n v="0"/>
    <n v="62215.34782608696"/>
    <n v="0"/>
    <n v="62215.34782608696"/>
    <n v="0.3555503707933233"/>
    <m/>
    <m/>
    <n v="0"/>
    <n v="4024614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m/>
    <m/>
    <s v="0"/>
    <m/>
    <s v="0"/>
    <n v="-30"/>
    <s v="0"/>
    <m/>
    <m/>
    <m/>
    <s v="0"/>
    <m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VEFA Les Pechers "/>
    <x v="1"/>
    <x v="1"/>
    <x v="1"/>
    <s v="PRLC 0105"/>
    <s v="FMA"/>
    <s v="SRI"/>
    <s v="patrimoine"/>
    <m/>
    <m/>
    <m/>
    <m/>
    <m/>
    <m/>
    <n v="3280"/>
    <n v="700000"/>
    <n v="700000"/>
    <n v="35000"/>
    <n v="213.41463414634146"/>
    <n v="213.41463414634146"/>
    <n v="409.99209300963486"/>
    <n v="35000"/>
    <n v="164"/>
    <m/>
    <n v="0.52053353658536583"/>
    <s v="UC"/>
    <m/>
    <m/>
    <s v="LLS"/>
    <n v="20"/>
    <n v="20"/>
    <m/>
    <n v="1707.35"/>
    <n v="1707.35"/>
    <n v="85.367499999999993"/>
    <n v="0"/>
    <n v="0"/>
    <n v="0.1"/>
    <n v="0.9"/>
    <n v="0"/>
    <n v="461.7"/>
    <s v="x"/>
    <e v="#VALUE!"/>
    <n v="2"/>
    <m/>
    <m/>
    <m/>
    <m/>
    <d v="2011-02-09T00:00:00"/>
    <m/>
    <d v="2011-09-30T00:00:00"/>
    <s v="SO"/>
    <m/>
    <m/>
    <m/>
    <m/>
    <m/>
    <m/>
    <m/>
    <m/>
    <m/>
    <m/>
    <m/>
    <m/>
    <m/>
    <s v="INGEPAR"/>
    <s v="ok"/>
    <m/>
    <m/>
    <m/>
    <s v="LS 4"/>
    <m/>
    <d v="2011-06-28T00:00:00"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s v="BELLANGER"/>
    <m/>
    <m/>
    <m/>
    <m/>
    <m/>
    <m/>
    <m/>
    <m/>
    <m/>
    <m/>
    <m/>
    <m/>
    <m/>
    <m/>
    <m/>
    <m/>
    <m/>
    <m/>
    <d v="1901-06-30T00:00:00"/>
    <m/>
    <m/>
    <s v="ok"/>
    <s v="ok"/>
    <d v="2013-04-01T00:00:00"/>
    <d v="2011-12-22T00:00:00"/>
    <m/>
    <n v="15"/>
    <n v="16"/>
    <n v="19"/>
    <n v="20"/>
    <n v="4"/>
    <n v="4"/>
    <n v="10566"/>
    <n v="42264"/>
    <s v="ok"/>
    <s v="sem 03/07/13"/>
    <s v="sem 10/06/13"/>
    <d v="2013-08-14T00:00:00"/>
    <m/>
    <s v="ok"/>
    <m/>
    <m/>
    <d v="2013-06-04T00:00:00"/>
    <m/>
    <d v="2013-08-22T00:00:00"/>
    <d v="2013-09-12T00:00:00"/>
    <m/>
    <m/>
    <m/>
    <m/>
    <m/>
    <m/>
    <m/>
    <m/>
    <d v="2014-08-14T00:00:00"/>
    <s v="13/10/14 DPR"/>
    <s v="ok"/>
    <s v="ok"/>
    <d v="2014-10-20T00:00:00"/>
    <s v="ok"/>
    <m/>
    <d v="2015-06-23T00:00:00"/>
    <m/>
    <m/>
    <m/>
    <m/>
    <m/>
    <n v="3732556"/>
    <n v="3732556"/>
    <n v="2186.1692095938151"/>
    <n v="186627.8"/>
    <n v="3491780"/>
    <m/>
    <n v="-3491780"/>
    <e v="#DIV/0!"/>
    <m/>
    <n v="1090089"/>
    <n v="1090090"/>
    <n v="54504.5"/>
    <n v="1"/>
    <n v="2287465"/>
    <n v="2287466"/>
    <n v="616923"/>
    <n v="1670543"/>
    <n v="1"/>
    <n v="114373.3"/>
    <n v="0"/>
    <n v="355000"/>
    <n v="355000"/>
    <m/>
    <n v="9.5109088785272078E-2"/>
    <m/>
    <n v="0"/>
    <n v="0"/>
    <n v="17750"/>
    <m/>
    <n v="0"/>
    <m/>
    <m/>
    <n v="0"/>
    <n v="0"/>
    <n v="72254.5"/>
    <n v="0"/>
    <n v="72254.5"/>
    <n v="0.38715829045833472"/>
    <m/>
    <m/>
    <n v="0"/>
    <n v="3732556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m/>
    <m/>
    <s v="0"/>
    <m/>
    <s v="0"/>
    <n v="-30"/>
    <s v="0"/>
    <m/>
    <m/>
    <m/>
    <s v="0"/>
    <m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P'titCanal         LLTS"/>
    <x v="3"/>
    <x v="2"/>
    <x v="1"/>
    <s v="PRLC 0094"/>
    <m/>
    <s v="MLO"/>
    <s v="patrimoine"/>
    <m/>
    <m/>
    <s v="rétrocession voirie Mairie à faire / DA en attente validation par Commune_x000a_transmettre DOE à Commune"/>
    <m/>
    <m/>
    <m/>
    <m/>
    <m/>
    <m/>
    <m/>
    <m/>
    <m/>
    <m/>
    <m/>
    <m/>
    <m/>
    <m/>
    <m/>
    <m/>
    <m/>
    <s v="LLTS"/>
    <n v="16"/>
    <m/>
    <n v="16"/>
    <n v="1432.77"/>
    <n v="1432.77"/>
    <n v="89.548124999999999"/>
    <m/>
    <m/>
    <m/>
    <m/>
    <m/>
    <m/>
    <m/>
    <m/>
    <n v="2.5"/>
    <m/>
    <m/>
    <m/>
    <s v="oui"/>
    <d v="2011-02-09T00:00:00"/>
    <m/>
    <d v="2011-09-30T00:00:00"/>
    <s v="SO"/>
    <m/>
    <m/>
    <m/>
    <m/>
    <m/>
    <m/>
    <m/>
    <m/>
    <m/>
    <m/>
    <m/>
    <m/>
    <m/>
    <s v="INGEPAR"/>
    <s v="ok"/>
    <m/>
    <m/>
    <m/>
    <s v="LS 5"/>
    <m/>
    <d v="2011-06-28T00:00:00"/>
    <d v="2015-10-14T00:00:00"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06-30T00:00:00"/>
    <m/>
    <m/>
    <s v="ok"/>
    <s v="ok"/>
    <d v="2013-02-28T00:00:00"/>
    <d v="2012-02-01T00:00:00"/>
    <m/>
    <n v="13"/>
    <n v="14"/>
    <n v="24"/>
    <n v="24"/>
    <n v="11"/>
    <n v="10"/>
    <n v="7110"/>
    <n v="78210"/>
    <s v="ok"/>
    <d v="2013-08-27T00:00:00"/>
    <d v="2013-10-29T00:00:00"/>
    <d v="2014-02-18T00:00:00"/>
    <m/>
    <s v="ok"/>
    <m/>
    <m/>
    <d v="2014-02-19T00:00:00"/>
    <m/>
    <d v="2014-02-26T00:00:00"/>
    <d v="2014-02-26T00:00:00"/>
    <m/>
    <m/>
    <s v="?"/>
    <m/>
    <m/>
    <m/>
    <d v="2014-05-28T00:00:00"/>
    <m/>
    <d v="2015-02-18T00:00:00"/>
    <s v="ok"/>
    <m/>
    <d v="2014-10-07T00:00:00"/>
    <d v="2014-10-09T00:00:00"/>
    <s v="ok"/>
    <m/>
    <d v="2015-10-14T00:00:00"/>
    <m/>
    <m/>
    <m/>
    <m/>
    <m/>
    <n v="2817333"/>
    <n v="2817333"/>
    <n v="1966.3539856362152"/>
    <n v="176083.3125"/>
    <m/>
    <m/>
    <n v="0"/>
    <e v="#DIV/0!"/>
    <m/>
    <n v="853424"/>
    <n v="853424"/>
    <n v="53339"/>
    <n v="0"/>
    <n v="1530227"/>
    <n v="1530227"/>
    <n v="304961"/>
    <n v="1225266"/>
    <n v="0"/>
    <n v="95639.1875"/>
    <n v="0"/>
    <n v="421063"/>
    <n v="380000"/>
    <m/>
    <n v="0.13487933446277028"/>
    <m/>
    <n v="53682"/>
    <n v="-41063"/>
    <n v="23750"/>
    <m/>
    <n v="-2566.4375"/>
    <m/>
    <m/>
    <n v="0"/>
    <n v="0"/>
    <n v="77089"/>
    <n v="0"/>
    <n v="77089"/>
    <n v="0.46171877778297693"/>
    <n v="145958"/>
    <m/>
    <n v="0"/>
    <n v="2817333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P'titCanal  LLS       "/>
    <x v="3"/>
    <x v="2"/>
    <x v="1"/>
    <s v="PRLC 0094"/>
    <m/>
    <s v="MLO"/>
    <s v="patrimoine"/>
    <m/>
    <m/>
    <s v="rétrocession voirie Mairie à faire / DA en attente validation par Commune_x000a_transmettre DOE à Commune"/>
    <m/>
    <m/>
    <m/>
    <n v="8131"/>
    <n v="227747.25"/>
    <n v="178042"/>
    <e v="#REF!"/>
    <n v="28.009746648628706"/>
    <n v="21.896691673840856"/>
    <e v="#REF!"/>
    <e v="#REF!"/>
    <e v="#REF!"/>
    <n v="1079"/>
    <e v="#REF!"/>
    <s v="UC"/>
    <m/>
    <m/>
    <s v="LLS"/>
    <n v="4"/>
    <n v="4"/>
    <m/>
    <n v="317.76"/>
    <n v="317.76"/>
    <n v="79.44"/>
    <m/>
    <m/>
    <m/>
    <m/>
    <m/>
    <n v="2180"/>
    <n v="850"/>
    <n v="0.10453818718484811"/>
    <n v="2.5"/>
    <m/>
    <m/>
    <m/>
    <s v="oui"/>
    <d v="2011-02-09T00:00:00"/>
    <m/>
    <d v="2011-09-30T00:00:00"/>
    <s v="SO"/>
    <m/>
    <m/>
    <m/>
    <m/>
    <m/>
    <m/>
    <m/>
    <m/>
    <m/>
    <m/>
    <m/>
    <m/>
    <m/>
    <s v="INGEPAR"/>
    <s v="ok"/>
    <m/>
    <m/>
    <m/>
    <s v="LS 5"/>
    <m/>
    <d v="2011-07-06T00:00:00"/>
    <d v="2015-10-14T00:00:00"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s v="LE GOFF"/>
    <m/>
    <m/>
    <m/>
    <m/>
    <m/>
    <m/>
    <m/>
    <m/>
    <m/>
    <m/>
    <m/>
    <m/>
    <m/>
    <m/>
    <m/>
    <m/>
    <m/>
    <m/>
    <d v="1901-06-30T00:00:00"/>
    <m/>
    <m/>
    <s v="ok"/>
    <s v="ok"/>
    <d v="2013-02-28T00:00:00"/>
    <d v="2012-02-01T00:00:00"/>
    <m/>
    <n v="13"/>
    <n v="14"/>
    <n v="24"/>
    <n v="24"/>
    <n v="11"/>
    <n v="10"/>
    <n v="2035"/>
    <n v="22385"/>
    <s v="ok"/>
    <d v="2013-08-27T00:00:00"/>
    <d v="2013-10-29T00:00:00"/>
    <d v="2014-02-18T00:00:00"/>
    <m/>
    <s v="ok"/>
    <m/>
    <m/>
    <d v="2014-02-19T00:00:00"/>
    <m/>
    <d v="2014-02-26T00:00:00"/>
    <d v="2014-02-26T00:00:00"/>
    <m/>
    <m/>
    <s v="?"/>
    <m/>
    <m/>
    <m/>
    <d v="2014-05-28T00:00:00"/>
    <m/>
    <d v="2015-02-18T00:00:00"/>
    <s v="ok"/>
    <m/>
    <d v="2014-10-07T00:00:00"/>
    <d v="2014-10-09T00:00:00"/>
    <s v="ok"/>
    <m/>
    <d v="2015-10-14T00:00:00"/>
    <m/>
    <m/>
    <m/>
    <m/>
    <m/>
    <n v="642137"/>
    <n v="642137"/>
    <n v="2020.8238922457201"/>
    <n v="160534.25"/>
    <m/>
    <m/>
    <n v="0"/>
    <e v="#DIV/0!"/>
    <m/>
    <n v="75000"/>
    <n v="75000"/>
    <n v="18750"/>
    <n v="0"/>
    <m/>
    <n v="335412"/>
    <n v="85556"/>
    <n v="249856"/>
    <n v="335412"/>
    <n v="83853"/>
    <n v="100000"/>
    <n v="119398"/>
    <n v="119398"/>
    <m/>
    <n v="0.18593851467833189"/>
    <m/>
    <n v="12327"/>
    <n v="0"/>
    <n v="29849.5"/>
    <m/>
    <n v="0"/>
    <m/>
    <m/>
    <n v="1087937.9071325003"/>
    <n v="400000"/>
    <n v="148599.5"/>
    <n v="474274.71"/>
    <n v="267168.17749999999"/>
    <n v="0.62937481320481981"/>
    <n v="32084"/>
    <m/>
    <n v="0"/>
    <n v="1730074.9071325003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JULES VIENNE"/>
    <x v="0"/>
    <x v="0"/>
    <x v="0"/>
    <s v="PRLC 0098"/>
    <s v="FMA"/>
    <s v="SRI"/>
    <s v="patrimoine"/>
    <m/>
    <m/>
    <s v="vente des lots à faire : signature SICA en mai 2017"/>
    <m/>
    <m/>
    <m/>
    <n v="9462"/>
    <n v="874165.66"/>
    <n v="262890"/>
    <n v="29138.855333333333"/>
    <n v="92.386985838089203"/>
    <n v="27.783766645529486"/>
    <n v="117.46438848277958"/>
    <n v="8763"/>
    <n v="315.39999999999998"/>
    <n v="379.2"/>
    <n v="0.23652927499471571"/>
    <s v="UC"/>
    <m/>
    <m/>
    <s v="LLTS"/>
    <n v="30"/>
    <m/>
    <n v="30"/>
    <n v="2238.04"/>
    <n v="2238.04"/>
    <n v="74.601333333333329"/>
    <m/>
    <n v="0.17"/>
    <n v="0.37"/>
    <n v="0.33"/>
    <n v="0.13"/>
    <n v="1419.56"/>
    <n v="664"/>
    <n v="7.0175438596491224E-2"/>
    <m/>
    <n v="5"/>
    <m/>
    <m/>
    <m/>
    <m/>
    <m/>
    <d v="2011-09-30T00:00:00"/>
    <s v="SO"/>
    <m/>
    <m/>
    <m/>
    <m/>
    <m/>
    <m/>
    <m/>
    <m/>
    <m/>
    <m/>
    <m/>
    <m/>
    <m/>
    <s v="SO"/>
    <s v="SO"/>
    <m/>
    <s v="SO"/>
    <s v="SO"/>
    <s v="SO"/>
    <m/>
    <d v="2010-11-09T00:00:00"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SO"/>
    <m/>
    <m/>
    <s v="SO"/>
    <s v="SO"/>
    <m/>
    <m/>
    <s v="ok"/>
    <s v="ok"/>
    <d v="2012-03-01T00:00:00"/>
    <d v="2012-02-06T00:00:00"/>
    <m/>
    <n v="15"/>
    <n v="16"/>
    <n v="21"/>
    <n v="23"/>
    <n v="6"/>
    <n v="7"/>
    <n v="11928"/>
    <n v="71568"/>
    <s v="ok"/>
    <d v="2013-08-28T00:00:00"/>
    <s v="19 et 20/11/13"/>
    <d v="2013-11-23T00:00:00"/>
    <m/>
    <s v="ok"/>
    <m/>
    <m/>
    <d v="2014-01-30T00:00:00"/>
    <m/>
    <d v="2014-01-24T00:00:00"/>
    <d v="2014-01-24T00:00:00"/>
    <m/>
    <m/>
    <s v="Lot Couverture : BCCM par GMF_x000a_soit 1 lot sur 14"/>
    <m/>
    <s v="ok"/>
    <s v="ok"/>
    <m/>
    <d v="2016-11-23T00:00:00"/>
    <d v="2014-11-23T00:00:00"/>
    <s v="ok"/>
    <m/>
    <d v="2014-10-13T00:00:00"/>
    <d v="2014-10-16T00:00:00"/>
    <m/>
    <m/>
    <s v="SO"/>
    <m/>
    <m/>
    <m/>
    <m/>
    <m/>
    <n v="3911389"/>
    <n v="3911389"/>
    <n v="1747.6850279709031"/>
    <n v="130379.63333333333"/>
    <m/>
    <m/>
    <n v="0"/>
    <e v="#DIV/0!"/>
    <m/>
    <n v="0"/>
    <n v="0"/>
    <n v="0"/>
    <n v="0"/>
    <m/>
    <n v="2481000"/>
    <n v="486094"/>
    <n v="1994906"/>
    <n v="2481000"/>
    <n v="82700"/>
    <m/>
    <n v="1359605"/>
    <n v="1359605"/>
    <m/>
    <n v="0.34760158092176463"/>
    <m/>
    <m/>
    <n v="0"/>
    <n v="45320.166666666664"/>
    <m/>
    <n v="0"/>
    <m/>
    <m/>
    <n v="2106869"/>
    <n v="550000"/>
    <n v="63653.5"/>
    <n v="1220907.39295"/>
    <n v="104350.41309833335"/>
    <n v="0.5439291445742479"/>
    <n v="262890"/>
    <m/>
    <n v="70784"/>
    <n v="6018258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Lavoir "/>
    <x v="3"/>
    <x v="2"/>
    <x v="1"/>
    <s v="PRLC 0100"/>
    <s v="YFR"/>
    <s v="NLE"/>
    <s v="patrimoine"/>
    <m/>
    <m/>
    <m/>
    <m/>
    <m/>
    <m/>
    <n v="2405"/>
    <n v="133800"/>
    <n v="120788"/>
    <n v="9557.1428571428569"/>
    <n v="55.634095634095637"/>
    <n v="50.223700623700623"/>
    <n v="115.00004760408635"/>
    <n v="8627.7142857142862"/>
    <n v="171.78571428571428"/>
    <m/>
    <n v="0.43672765072765068"/>
    <s v="UC"/>
    <m/>
    <m/>
    <s v="LLTS"/>
    <n v="14"/>
    <m/>
    <n v="14"/>
    <n v="1050.33"/>
    <n v="1050.33"/>
    <n v="75.023571428571429"/>
    <m/>
    <m/>
    <m/>
    <m/>
    <m/>
    <n v="600"/>
    <s v="x"/>
    <e v="#VALUE!"/>
    <n v="2"/>
    <m/>
    <m/>
    <m/>
    <s v="oui"/>
    <d v="2011-03-08T00:00:00"/>
    <m/>
    <d v="2011-09-30T00:00:00"/>
    <s v="SO"/>
    <m/>
    <m/>
    <m/>
    <m/>
    <m/>
    <m/>
    <m/>
    <m/>
    <m/>
    <m/>
    <m/>
    <m/>
    <m/>
    <s v="SO"/>
    <s v="SO"/>
    <m/>
    <s v="SO"/>
    <s v="SO"/>
    <s v="SO"/>
    <m/>
    <d v="2011-12-07T00:00:00"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SO"/>
    <m/>
    <m/>
    <s v="SO"/>
    <s v="SO"/>
    <m/>
    <m/>
    <s v="ok"/>
    <s v="ok"/>
    <d v="2013-03-28T00:00:00"/>
    <d v="2012-03-02T00:00:00"/>
    <m/>
    <n v="12"/>
    <n v="13"/>
    <n v="20"/>
    <n v="26"/>
    <n v="8"/>
    <n v="13"/>
    <n v="5964"/>
    <n v="47712"/>
    <s v="ok"/>
    <d v="2013-08-06T00:00:00"/>
    <d v="2013-08-19T00:00:00"/>
    <d v="2013-11-05T00:00:00"/>
    <m/>
    <s v="ok"/>
    <d v="2014-03-18T00:00:00"/>
    <m/>
    <d v="2013-12-19T00:00:00"/>
    <m/>
    <d v="2014-05-15T00:00:00"/>
    <d v="2014-05-15T00:00:00"/>
    <m/>
    <m/>
    <s v="Lot GO : Dunite btp par CH2D_x000a_Lot Métallerie : Sodure par Espace alu_x000a_Soit 2 sur 14 lots = 14%"/>
    <m/>
    <m/>
    <m/>
    <d v="2014-01-22T00:00:00"/>
    <s v="ok"/>
    <d v="2014-11-05T00:00:00"/>
    <s v="ok"/>
    <m/>
    <d v="2014-10-07T00:00:00"/>
    <d v="2014-10-13T00:00:00"/>
    <m/>
    <m/>
    <s v="SO"/>
    <m/>
    <m/>
    <m/>
    <m/>
    <m/>
    <n v="2230353.88"/>
    <n v="2230353.88"/>
    <n v="2123.4791732122285"/>
    <n v="159310.99142857143"/>
    <m/>
    <n v="0"/>
    <n v="0"/>
    <e v="#DIV/0!"/>
    <m/>
    <n v="0"/>
    <n v="0"/>
    <n v="0"/>
    <n v="0"/>
    <n v="1285412"/>
    <n v="1285412"/>
    <n v="305730"/>
    <n v="979682"/>
    <n v="0"/>
    <n v="91815.142857142855"/>
    <m/>
    <n v="620464"/>
    <n v="620464"/>
    <n v="70000"/>
    <n v="0.27819083131328021"/>
    <m/>
    <n v="1120"/>
    <n v="0"/>
    <n v="44318.857142857145"/>
    <m/>
    <n v="0"/>
    <m/>
    <m/>
    <n v="715424.22886499984"/>
    <n v="280000"/>
    <n v="64318.857142857145"/>
    <n v="259894.04"/>
    <n v="82882.717142857146"/>
    <n v="0.41111677977683803"/>
    <n v="123324.49695"/>
    <m/>
    <n v="253357.88"/>
    <n v="2945778.1088649998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Laurency "/>
    <x v="3"/>
    <x v="2"/>
    <x v="2"/>
    <s v="PRLC 0101"/>
    <s v="APU"/>
    <s v="SAR"/>
    <s v="GPA"/>
    <m/>
    <m/>
    <s v="rétrocession voirie Mairie_x000a_lots à commercialisez_x000a_vérifier avec notaire s'il faut afficher le PA modif_x000a_notaire prépare cession de la CH 505 à M. RIVIERE_x000a_"/>
    <m/>
    <m/>
    <m/>
    <n v="6156.15"/>
    <n v="164070"/>
    <n v="163875"/>
    <n v="7457.727272727273"/>
    <n v="26.651397383104701"/>
    <n v="26.619721741672961"/>
    <n v="97.053597867930122"/>
    <n v="7448.863636363636"/>
    <n v="279.82499999999999"/>
    <m/>
    <n v="0.27427856696149383"/>
    <s v="UD"/>
    <n v="890"/>
    <m/>
    <s v="LLTS"/>
    <n v="22"/>
    <m/>
    <n v="22"/>
    <n v="1688.5"/>
    <n v="1688.5"/>
    <n v="76.75"/>
    <n v="0"/>
    <n v="0.18181818181818182"/>
    <n v="0.36363636363636365"/>
    <n v="0.27272727272727271"/>
    <n v="0.18181818181818182"/>
    <n v="1841.6"/>
    <m/>
    <n v="0"/>
    <n v="1.5"/>
    <m/>
    <m/>
    <m/>
    <s v="non"/>
    <d v="2012-08-31T00:00:00"/>
    <m/>
    <d v="2012-02-24T00:00:00"/>
    <s v="SO"/>
    <m/>
    <m/>
    <m/>
    <m/>
    <d v="2012-08-16T00:00:00"/>
    <m/>
    <m/>
    <m/>
    <d v="2012-12-13T00:00:00"/>
    <m/>
    <s v="ok"/>
    <d v="2014-01-22T00:00:00"/>
    <s v="ok"/>
    <s v="OFOI"/>
    <s v="ok"/>
    <m/>
    <m/>
    <m/>
    <s v="LOGIS 2"/>
    <m/>
    <d v="2012-09-25T00:00:00"/>
    <m/>
    <m/>
    <m/>
    <m/>
    <d v="2012-10-15T00:00:00"/>
    <m/>
    <m/>
    <m/>
    <m/>
    <m/>
    <d v="2013-02-14T00:00:00"/>
    <d v="2015-02-14T00:00:00"/>
    <d v="2016-02-14T00:00:00"/>
    <s v="oui"/>
    <m/>
    <m/>
    <m/>
    <m/>
    <m/>
    <m/>
    <m/>
    <m/>
    <m/>
    <m/>
    <m/>
    <m/>
    <m/>
    <m/>
    <m/>
    <m/>
    <m/>
    <m/>
    <s v="LE GOFF"/>
    <n v="83482"/>
    <n v="50089.2"/>
    <s v="ok"/>
    <s v="ok"/>
    <s v="ok"/>
    <m/>
    <s v="ok"/>
    <s v="ok"/>
    <d v="2012-10-26T00:00:00"/>
    <m/>
    <m/>
    <d v="2012-12-13T00:00:00"/>
    <s v="ok"/>
    <m/>
    <d v="2012-12-13T00:00:00"/>
    <s v="ok"/>
    <s v="ok"/>
    <n v="3409415.73"/>
    <d v="2014-06-13T00:00:00"/>
    <d v="2013-10-22T00:00:00"/>
    <m/>
    <d v="2013-03-20T00:00:00"/>
    <d v="2013-06-05T00:00:00"/>
    <d v="2014-04-10T00:00:00"/>
    <d v="2013-01-21T00:00:00"/>
    <d v="2013-04-02T00:00:00"/>
    <n v="13"/>
    <n v="15"/>
    <n v="33"/>
    <n v="36"/>
    <n v="20"/>
    <n v="21"/>
    <n v="8886.294089596"/>
    <n v="177725.88179191999"/>
    <s v="ok"/>
    <s v="ok"/>
    <d v="2015-08-18T00:00:00"/>
    <d v="2015-11-18T00:00:00"/>
    <m/>
    <d v="2015-12-10T00:00:00"/>
    <s v="ok"/>
    <s v="ok"/>
    <d v="2015-11-30T00:00:00"/>
    <d v="2016-06-14T00:00:00"/>
    <s v="ok"/>
    <d v="2016-02-09T00:00:00"/>
    <m/>
    <m/>
    <s v="Lot 1.1 SATP_x000a_Lot 9 ERSEC _x000a_Soit 2 lots sur 15 = 13%"/>
    <d v="2015-11-13T00:00:00"/>
    <s v="notifiés le 20/06/2016"/>
    <d v="2015-12-10T00:00:00"/>
    <d v="2015-12-02T00:00:00"/>
    <s v="dossier envoyé 22/02/17"/>
    <d v="2016-11-18T00:00:00"/>
    <d v="2016-06-09T00:00:00"/>
    <d v="2016-06-10T00:00:00"/>
    <m/>
    <m/>
    <m/>
    <s v="14/09/2016_x000a_21/02/16"/>
    <s v="dossier envoyé 22/02/17"/>
    <s v="dde GL 20/01/17"/>
    <m/>
    <m/>
    <m/>
    <n v="3674939"/>
    <n v="3674939"/>
    <n v="0"/>
    <n v="2176.4518803671899"/>
    <n v="167042.68181818182"/>
    <n v="3169080"/>
    <m/>
    <n v="-3169080"/>
    <n v="0.88045833685946884"/>
    <m/>
    <n v="929819"/>
    <n v="929819"/>
    <n v="42264.5"/>
    <n v="0"/>
    <n v="1895079"/>
    <n v="1895079"/>
    <n v="328778"/>
    <n v="1566301"/>
    <n v="0"/>
    <n v="86139.954545454544"/>
    <n v="0"/>
    <n v="668000"/>
    <n v="558000"/>
    <n v="110000"/>
    <n v="0.15183925501892684"/>
    <m/>
    <n v="0"/>
    <n v="-110000"/>
    <n v="25363.636363636364"/>
    <m/>
    <n v="-5000"/>
    <m/>
    <m/>
    <n v="1214321.7850000001"/>
    <n v="440000"/>
    <n v="87628.136363636368"/>
    <n v="91493"/>
    <n v="91786.909090909088"/>
    <n v="0.42764417042342945"/>
    <n v="167316.375"/>
    <m/>
    <n v="182041"/>
    <n v="4889260.7850000001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Sceau de Salomon "/>
    <x v="1"/>
    <x v="1"/>
    <x v="2"/>
    <s v="PRLC 0128"/>
    <m/>
    <s v="DBE"/>
    <s v="clôture défisc"/>
    <m/>
    <m/>
    <m/>
    <m/>
    <m/>
    <m/>
    <n v="7275"/>
    <n v="773000"/>
    <n v="773000"/>
    <n v="9202.3809523809523"/>
    <n v="106.25429553264605"/>
    <n v="106.25429553264605"/>
    <n v="168.94476183815397"/>
    <n v="9202.3809523809523"/>
    <n v="86.607142857142861"/>
    <m/>
    <n v="0.62892920962199317"/>
    <s v="UB"/>
    <n v="530"/>
    <n v="0.1"/>
    <s v="LLS"/>
    <n v="84"/>
    <n v="84"/>
    <m/>
    <n v="4575.46"/>
    <n v="4575.46"/>
    <n v="54.469761904761903"/>
    <m/>
    <m/>
    <m/>
    <m/>
    <m/>
    <n v="2038"/>
    <n v="0"/>
    <n v="0"/>
    <n v="4"/>
    <m/>
    <m/>
    <m/>
    <m/>
    <d v="2011-11-08T00:00:00"/>
    <m/>
    <d v="2012-02-24T00:00:00"/>
    <s v="SO"/>
    <m/>
    <m/>
    <m/>
    <m/>
    <d v="2012-09-21T00:00:00"/>
    <m/>
    <m/>
    <m/>
    <d v="2012-12-10T00:00:00"/>
    <m/>
    <s v="ok"/>
    <s v="ok"/>
    <m/>
    <s v="INGEPAR"/>
    <s v="ok"/>
    <m/>
    <m/>
    <m/>
    <s v="LS 55"/>
    <m/>
    <d v="2012-08-23T00:00:00"/>
    <d v="2016-04-21T00:00:00"/>
    <m/>
    <m/>
    <m/>
    <d v="2012-10-17T00:00:00"/>
    <m/>
    <m/>
    <m/>
    <m/>
    <m/>
    <m/>
    <d v="1901-12-31T00:00:00"/>
    <d v="1902-12-31T00:00:00"/>
    <s v="oui"/>
    <m/>
    <m/>
    <m/>
    <m/>
    <m/>
    <m/>
    <m/>
    <m/>
    <m/>
    <m/>
    <m/>
    <m/>
    <m/>
    <m/>
    <m/>
    <m/>
    <m/>
    <m/>
    <s v="MAREL"/>
    <n v="238468"/>
    <n v="143080.79999999999"/>
    <m/>
    <m/>
    <m/>
    <m/>
    <m/>
    <m/>
    <m/>
    <m/>
    <m/>
    <m/>
    <m/>
    <m/>
    <d v="2012-12-27T00:00:00"/>
    <m/>
    <m/>
    <n v="9461576.1300000008"/>
    <d v="2014-06-27T00:00:00"/>
    <m/>
    <m/>
    <s v="ok"/>
    <d v="2013-07-15T00:00:00"/>
    <s v="13/1/14 - 07/04/2014"/>
    <d v="2013-01-21T00:00:00"/>
    <d v="2013-04-01T00:00:00"/>
    <n v="19"/>
    <n v="20"/>
    <n v="20"/>
    <n v="21"/>
    <n v="1"/>
    <n v="1"/>
    <n v="33642.054927489415"/>
    <n v="33642.054927489415"/>
    <s v="ok"/>
    <d v="2014-09-01T00:00:00"/>
    <d v="2014-09-01T00:00:00"/>
    <d v="2014-10-15T00:00:00"/>
    <m/>
    <m/>
    <s v="étudiants 03/09/14"/>
    <m/>
    <d v="2014-10-23T00:00:00"/>
    <m/>
    <d v="2014-11-12T00:00:00"/>
    <d v="2014-11-12T00:00:00"/>
    <m/>
    <m/>
    <s v="RAS"/>
    <m/>
    <m/>
    <m/>
    <m/>
    <d v="2015-09-03T00:00:00"/>
    <d v="2015-10-15T00:00:00"/>
    <d v="2014-11-25T00:00:00"/>
    <d v="2014-11-26T00:00:00"/>
    <s v="ok"/>
    <d v="2015-10-29T00:00:00"/>
    <m/>
    <s v="ok"/>
    <d v="2016-04-15T00:00:00"/>
    <m/>
    <d v="2015-08-03T00:00:00"/>
    <m/>
    <m/>
    <n v="9693250"/>
    <n v="9756378.3699999992"/>
    <n v="63128.36999999918"/>
    <n v="2132.327322280164"/>
    <n v="116147.36154761903"/>
    <n v="8749715"/>
    <m/>
    <n v="-8749715"/>
    <n v="0.92161648724627954"/>
    <m/>
    <n v="3263643"/>
    <n v="3263643"/>
    <n v="38852.892857142855"/>
    <n v="0"/>
    <n v="6429606"/>
    <n v="6429606.3699999992"/>
    <n v="1639468.02"/>
    <n v="4790138.3499999996"/>
    <n v="0.36999999918043613"/>
    <n v="76542.932976190466"/>
    <n v="0"/>
    <n v="1"/>
    <n v="1"/>
    <m/>
    <n v="1.0249704983510188E-7"/>
    <m/>
    <n v="63128"/>
    <n v="0"/>
    <n v="1.1904761904761904E-2"/>
    <m/>
    <n v="0"/>
    <m/>
    <m/>
    <n v="0"/>
    <n v="0"/>
    <n v="38852.904761904763"/>
    <n v="0"/>
    <n v="38852.904761904763"/>
    <n v="0.33451388171203122"/>
    <m/>
    <m/>
    <n v="0"/>
    <n v="9756378.3699999992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Avenue Raymond Barre "/>
    <x v="4"/>
    <x v="0"/>
    <x v="2"/>
    <s v="PRLC 0116"/>
    <s v="FHO"/>
    <s v="NLE"/>
    <s v="clôture défisc"/>
    <s v="oui"/>
    <m/>
    <m/>
    <m/>
    <m/>
    <m/>
    <n v="2671"/>
    <n v="176000"/>
    <n v="110833"/>
    <n v="12571.428571428571"/>
    <n v="65.89292399850244"/>
    <n v="41.494945713216026"/>
    <n v="99.936881779573142"/>
    <n v="7916.6428571428569"/>
    <n v="190.78571428571428"/>
    <n v="748.11"/>
    <n v="0.41521153126169974"/>
    <s v="UC"/>
    <m/>
    <m/>
    <s v="LLTS"/>
    <n v="14"/>
    <m/>
    <n v="14"/>
    <n v="1109.03"/>
    <n v="1109.03"/>
    <n v="79.216428571428565"/>
    <n v="0.21428571428571427"/>
    <n v="0.21428571428571427"/>
    <n v="0.42857142857142855"/>
    <n v="7.1428571428571425E-2"/>
    <n v="7.1428571428571425E-2"/>
    <n v="1000"/>
    <m/>
    <n v="0"/>
    <n v="3"/>
    <n v="1"/>
    <m/>
    <m/>
    <m/>
    <d v="2011-03-08T00:00:00"/>
    <m/>
    <d v="2012-02-24T00:00:00"/>
    <s v="SO"/>
    <m/>
    <m/>
    <m/>
    <m/>
    <d v="2011-12-05T00:00:00"/>
    <m/>
    <m/>
    <m/>
    <d v="2012-12-24T00:00:00"/>
    <m/>
    <s v="ok"/>
    <s v="ok"/>
    <s v="ok"/>
    <s v="OFOI"/>
    <s v="ok"/>
    <m/>
    <m/>
    <m/>
    <s v="LOGIS 3"/>
    <m/>
    <d v="2012-09-18T00:00:00"/>
    <m/>
    <m/>
    <m/>
    <m/>
    <d v="2012-12-05T00:00:00"/>
    <m/>
    <m/>
    <m/>
    <m/>
    <m/>
    <m/>
    <d v="1901-12-31T00:00:00"/>
    <d v="1902-12-31T00:00:00"/>
    <s v="oui"/>
    <m/>
    <m/>
    <m/>
    <m/>
    <m/>
    <m/>
    <m/>
    <m/>
    <m/>
    <m/>
    <m/>
    <m/>
    <m/>
    <m/>
    <m/>
    <m/>
    <m/>
    <m/>
    <s v="LE GOFF"/>
    <n v="49348"/>
    <n v="29608.799999999999"/>
    <m/>
    <m/>
    <m/>
    <m/>
    <m/>
    <m/>
    <m/>
    <m/>
    <m/>
    <m/>
    <m/>
    <m/>
    <d v="2012-12-12T00:00:00"/>
    <m/>
    <m/>
    <n v="2312263.67"/>
    <d v="2014-06-12T00:00:00"/>
    <m/>
    <m/>
    <s v="ok"/>
    <s v="ok"/>
    <s v="ok"/>
    <d v="2013-02-04T00:00:00"/>
    <d v="2013-05-07T00:00:00"/>
    <n v="13"/>
    <n v="14"/>
    <n v="20"/>
    <n v="21"/>
    <n v="7"/>
    <n v="7"/>
    <n v="5777.4969208543998"/>
    <n v="40442.4784459808"/>
    <s v="ok"/>
    <d v="2014-09-08T00:00:00"/>
    <d v="2014-08-21T00:00:00"/>
    <d v="2014-10-31T00:00:00"/>
    <m/>
    <s v="ok"/>
    <m/>
    <m/>
    <d v="2014-12-10T00:00:00"/>
    <m/>
    <d v="2014-11-06T00:00:00"/>
    <d v="2014-11-04T00:00:00"/>
    <m/>
    <m/>
    <s v="Lot Cloison : SPB par CPR_x000a_Lot Etanchéité : RSOP par Corail_x000a_Lot Sol souple : RSOP par Corail_x000a_Lot peinture : RSOP par Marine Peinture_x000a_Soit 4 lots sur 15 lots = 26 %"/>
    <m/>
    <m/>
    <m/>
    <s v="ok"/>
    <m/>
    <s v=" "/>
    <d v="2014-11-26T00:00:00"/>
    <d v="2014-12-11T00:00:00"/>
    <d v="2015-11-16T00:00:00"/>
    <d v="2015-11-16T00:00:00"/>
    <m/>
    <d v="2016-02-26T00:00:00"/>
    <s v="_x000a_compléments envoyés 21/04/16"/>
    <m/>
    <d v="2016-02-26T00:00:00"/>
    <m/>
    <m/>
    <n v="2268881"/>
    <n v="2368881"/>
    <n v="100000"/>
    <n v="2135.9936160428483"/>
    <n v="169205.78571428571"/>
    <m/>
    <n v="2068826"/>
    <n v="2068826"/>
    <n v="0"/>
    <m/>
    <n v="745095"/>
    <n v="745095"/>
    <n v="53221.071428571428"/>
    <n v="0"/>
    <n v="1240121"/>
    <n v="1240121"/>
    <n v="347814"/>
    <n v="892307"/>
    <n v="0"/>
    <n v="88580.071428571435"/>
    <n v="100000"/>
    <n v="159905"/>
    <n v="89905"/>
    <n v="70000"/>
    <n v="3.7952518509794288E-2"/>
    <m/>
    <n v="0"/>
    <n v="-70000"/>
    <n v="6421.7857142857147"/>
    <m/>
    <n v="-5000"/>
    <m/>
    <m/>
    <n v="339632.49384750001"/>
    <n v="210000"/>
    <n v="74642.857142857145"/>
    <n v="0"/>
    <n v="74642.857142857145"/>
    <n v="0.40351792401683728"/>
    <n v="118789.62334999999"/>
    <m/>
    <n v="123760"/>
    <n v="2708513.4938475001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Max GOBETTI (AUBEPINES)"/>
    <x v="1"/>
    <x v="1"/>
    <x v="2"/>
    <s v="PRLC 0104"/>
    <s v="ADE"/>
    <s v="RTA"/>
    <s v="Tvx"/>
    <m/>
    <m/>
    <m/>
    <m/>
    <m/>
    <m/>
    <n v="2666"/>
    <n v="209000"/>
    <n v="154394"/>
    <n v="12294.117647058823"/>
    <n v="78.394598649662413"/>
    <n v="57.912228057014254"/>
    <n v="124.49121109498468"/>
    <n v="9082"/>
    <n v="156.8235294117647"/>
    <m/>
    <n v="0.46519129782445612"/>
    <s v="UB"/>
    <m/>
    <m/>
    <s v="LLTS"/>
    <n v="17"/>
    <m/>
    <n v="17"/>
    <n v="1240.2"/>
    <n v="1240.2"/>
    <n v="72.952941176470588"/>
    <m/>
    <m/>
    <m/>
    <m/>
    <m/>
    <n v="760"/>
    <n v="300"/>
    <n v="0.11252813203300825"/>
    <n v="3"/>
    <m/>
    <m/>
    <m/>
    <s v="non"/>
    <d v="2011-02-09T00:00:00"/>
    <m/>
    <d v="2012-02-24T00:00:00"/>
    <s v="SO"/>
    <m/>
    <m/>
    <m/>
    <m/>
    <m/>
    <m/>
    <m/>
    <m/>
    <d v="2012-12-10T00:00:00"/>
    <m/>
    <m/>
    <s v="ok"/>
    <m/>
    <s v="OFOI"/>
    <s v="ok"/>
    <m/>
    <m/>
    <m/>
    <s v="LOGIS 1"/>
    <m/>
    <d v="2012-09-18T00:00:00"/>
    <m/>
    <m/>
    <m/>
    <m/>
    <d v="2012-11-12T00:00:00"/>
    <m/>
    <m/>
    <m/>
    <m/>
    <m/>
    <d v="2013-02-14T00:00:00"/>
    <d v="2015-02-14T00:00:00"/>
    <d v="2016-02-14T00:00:00"/>
    <s v="oui"/>
    <m/>
    <m/>
    <m/>
    <m/>
    <m/>
    <m/>
    <m/>
    <m/>
    <m/>
    <m/>
    <m/>
    <m/>
    <m/>
    <m/>
    <m/>
    <m/>
    <m/>
    <m/>
    <s v="BARET/GILLOT"/>
    <n v="61319"/>
    <n v="36791.4"/>
    <m/>
    <m/>
    <m/>
    <m/>
    <m/>
    <m/>
    <m/>
    <m/>
    <m/>
    <m/>
    <m/>
    <m/>
    <d v="2012-12-12T00:00:00"/>
    <m/>
    <m/>
    <n v="2504271.14"/>
    <d v="2014-06-12T00:00:00"/>
    <d v="2014-04-15T00:00:00"/>
    <m/>
    <s v="ok"/>
    <d v="2013-04-19T00:00:00"/>
    <d v="2015-05-13T00:00:00"/>
    <d v="2013-02-04T00:00:00"/>
    <d v="2013-03-25T00:00:00"/>
    <n v="14"/>
    <n v="16"/>
    <n v="46"/>
    <n v="46"/>
    <n v="32"/>
    <n v="30"/>
    <n v="6627.916666666667"/>
    <n v="212093.33333333334"/>
    <s v="ok"/>
    <m/>
    <m/>
    <d v="2016-12-09T00:00:00"/>
    <d v="2016-04-15T00:00:00"/>
    <s v="à notifier aux entreprises"/>
    <m/>
    <m/>
    <d v="2017-02-22T00:00:00"/>
    <s v="OK sauf DAT"/>
    <s v="ok"/>
    <d v="2016-12-22T00:00:00"/>
    <s v="ok"/>
    <m/>
    <s v="Résiliation ABR 21/08/13 - attribution EKCB 04/02/14 / 4 mois_x000a_Résiliation SATP 20/03/14 - attribution TPL 19/09/14 / 6 mois_x000a_Résiliation CSMD 16/05/14 - attribution EKCB 20/07/14 / 2 mois_x000a_Résiliation IJAP 20/06/14 - attribution M Peinture 03/12/14 5,5 mois_x000a_Résiliation APOI 16/06/15 - attribution SOREMIR 04/09/15_x000a_Lot Elec : DTS par Idem_x000a_ soit 6 lots sur 15 soit 40%"/>
    <s v="3 réserves à lever"/>
    <s v="relance au MOE faite le 01/02"/>
    <s v="relance au MOE faite le 01/02"/>
    <s v="DAT pas déposée"/>
    <s v="à faire"/>
    <m/>
    <d v="2017-02-13T00:00:00"/>
    <d v="2017-02-13T00:00:00"/>
    <m/>
    <m/>
    <m/>
    <m/>
    <m/>
    <s v="dde GL 20/01/17"/>
    <m/>
    <m/>
    <m/>
    <n v="3231832.2199999997"/>
    <n v="3231832.2199999997"/>
    <n v="0"/>
    <n v="2605.896000645057"/>
    <n v="190107.7776470588"/>
    <n v="2379882"/>
    <m/>
    <n v="-2379882"/>
    <n v="0.75185200115369855"/>
    <m/>
    <n v="750247"/>
    <n v="750247"/>
    <n v="44132.176470588238"/>
    <n v="0"/>
    <n v="1395754"/>
    <n v="1395754"/>
    <n v="259962"/>
    <n v="1135792"/>
    <n v="0"/>
    <n v="82103.176470588238"/>
    <n v="0"/>
    <n v="339997"/>
    <n v="254997"/>
    <n v="85000"/>
    <n v="7.8901682587965538E-2"/>
    <m/>
    <n v="0"/>
    <n v="-85000"/>
    <n v="14999.823529411764"/>
    <m/>
    <n v="-5000"/>
    <m/>
    <m/>
    <n v="508572.84914999997"/>
    <n v="340000"/>
    <n v="79132"/>
    <n v="0"/>
    <n v="79132"/>
    <n v="0.37547612761546595"/>
    <n v="157636.68239999999"/>
    <m/>
    <n v="745834.22"/>
    <n v="3740405.0691499999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Harry PAYET (Les Mimosas)"/>
    <x v="1"/>
    <x v="1"/>
    <x v="2"/>
    <s v="PRLC 0114"/>
    <s v="FHO"/>
    <s v="KGI"/>
    <s v="clôture défisc"/>
    <s v="dossier transmis"/>
    <m/>
    <m/>
    <m/>
    <m/>
    <m/>
    <n v="8821"/>
    <n v="530000"/>
    <n v="289110"/>
    <n v="13250"/>
    <n v="60.083890715338399"/>
    <n v="32.775195556059401"/>
    <n v="111.55441514093337"/>
    <n v="7227.75"/>
    <n v="220.52500000000001"/>
    <m/>
    <n v="0.29380455730642785"/>
    <s v="UC"/>
    <m/>
    <m/>
    <s v="LLTS"/>
    <n v="40"/>
    <m/>
    <n v="40"/>
    <n v="2591.65"/>
    <n v="2591.65"/>
    <n v="64.791250000000005"/>
    <n v="0.1"/>
    <n v="0.3"/>
    <n v="0.32500000000000001"/>
    <n v="0.22500000000000001"/>
    <n v="0.05"/>
    <n v="1150"/>
    <m/>
    <n v="0"/>
    <n v="2.5"/>
    <m/>
    <m/>
    <m/>
    <s v="non"/>
    <d v="2011-03-08T00:00:00"/>
    <m/>
    <d v="2012-02-24T00:00:00"/>
    <s v="SO"/>
    <m/>
    <m/>
    <m/>
    <m/>
    <m/>
    <m/>
    <m/>
    <m/>
    <d v="2012-12-10T00:00:00"/>
    <m/>
    <s v="ok"/>
    <s v="ok"/>
    <m/>
    <s v="INGEPAR"/>
    <s v="ok"/>
    <m/>
    <m/>
    <m/>
    <s v="LS 19"/>
    <m/>
    <d v="2012-07-04T00:00:00"/>
    <m/>
    <m/>
    <m/>
    <m/>
    <d v="2012-08-13T00:00:00"/>
    <m/>
    <m/>
    <m/>
    <m/>
    <m/>
    <d v="2013-02-14T00:00:00"/>
    <d v="2015-02-14T00:00:00"/>
    <d v="2016-02-14T00:00:00"/>
    <s v="oui"/>
    <m/>
    <m/>
    <m/>
    <m/>
    <m/>
    <m/>
    <m/>
    <m/>
    <m/>
    <m/>
    <m/>
    <m/>
    <m/>
    <m/>
    <m/>
    <m/>
    <m/>
    <m/>
    <s v="MAREL"/>
    <n v="123221"/>
    <n v="73932.600000000006"/>
    <m/>
    <m/>
    <m/>
    <m/>
    <m/>
    <m/>
    <m/>
    <m/>
    <m/>
    <m/>
    <m/>
    <m/>
    <d v="2012-12-18T00:00:00"/>
    <m/>
    <m/>
    <m/>
    <d v="2014-06-18T00:00:00"/>
    <m/>
    <m/>
    <s v="ok"/>
    <d v="2013-05-17T00:00:00"/>
    <d v="2013-12-18T00:00:00"/>
    <d v="2013-02-04T00:00:00"/>
    <d v="2013-03-25T00:00:00"/>
    <n v="15"/>
    <n v="17"/>
    <n v="26"/>
    <n v="27"/>
    <n v="11"/>
    <n v="10"/>
    <n v="14363.68880697325"/>
    <n v="158000.57687670575"/>
    <s v="ok"/>
    <m/>
    <d v="2015-04-28T00:00:00"/>
    <d v="2015-04-17T00:00:00"/>
    <m/>
    <s v="ok"/>
    <m/>
    <m/>
    <d v="2015-07-17T00:00:00"/>
    <d v="2015-10-01T00:00:00"/>
    <d v="2015-05-27T00:00:00"/>
    <d v="2015-05-27T00:00:00"/>
    <m/>
    <m/>
    <s v="Lot VRD - SATP par Austral TP_x000a_Lot Cloisons - SPB par 3PPLUS_x000a_Lot Elec : DTS par EES_x000a_Soit 3 lots sur 14 = 21%"/>
    <s v="ok"/>
    <s v="ok"/>
    <s v="ok"/>
    <d v="2016-09-15T00:00:00"/>
    <s v="à faire"/>
    <d v="2016-04-17T00:00:00"/>
    <d v="2015-06-15T00:00:00"/>
    <s v="17/11/2015_x000a_27/01/16_x000a_15/03/16"/>
    <d v="2016-10-04T00:00:00"/>
    <m/>
    <m/>
    <d v="2016-02-26T00:00:00"/>
    <s v="dossier complet chez INGEPAR"/>
    <m/>
    <m/>
    <m/>
    <m/>
    <n v="5090209.92"/>
    <n v="5090210.4499999993"/>
    <n v="0.52999999932944775"/>
    <n v="1964.0809715818104"/>
    <n v="127255.26124999998"/>
    <n v="4689965"/>
    <m/>
    <n v="-4689965"/>
    <n v="0.94071842620588808"/>
    <m/>
    <n v="1480537"/>
    <n v="1480537"/>
    <n v="37013.425000000003"/>
    <n v="0"/>
    <n v="2895140"/>
    <n v="2895140.53"/>
    <n v="565518"/>
    <n v="2329622.5299999998"/>
    <n v="0.52999999979510903"/>
    <n v="72378.513249999989"/>
    <n v="0"/>
    <n v="663000"/>
    <n v="663000"/>
    <m/>
    <n v="0.13025001746244108"/>
    <m/>
    <n v="0"/>
    <n v="0"/>
    <n v="16575"/>
    <m/>
    <n v="0"/>
    <m/>
    <m/>
    <n v="1151902.8490725001"/>
    <n v="800000"/>
    <n v="73588.425000000003"/>
    <n v="0"/>
    <n v="73588.425000000003"/>
    <n v="0.4949673218743304"/>
    <n v="295181.31"/>
    <m/>
    <n v="51532.92"/>
    <n v="6242113.2990724994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Poker d'As LLS"/>
    <x v="1"/>
    <x v="1"/>
    <x v="2"/>
    <s v="PRLC 0090"/>
    <s v="FMA"/>
    <s v="NLE"/>
    <s v="clôture défisc"/>
    <m/>
    <m/>
    <m/>
    <m/>
    <m/>
    <m/>
    <n v="3735"/>
    <n v="860000"/>
    <n v="860000"/>
    <n v="29655.172413793105"/>
    <n v="230.25435073627844"/>
    <n v="230.25435073627844"/>
    <n v="359.81005376231616"/>
    <n v="29655.172413793105"/>
    <n v="128.79310344827587"/>
    <m/>
    <n v="0.63993306559571628"/>
    <s v="UA"/>
    <m/>
    <m/>
    <s v="LLS"/>
    <n v="29"/>
    <n v="29"/>
    <m/>
    <n v="2390.15"/>
    <n v="2390.15"/>
    <n v="82.418965517241389"/>
    <m/>
    <m/>
    <m/>
    <m/>
    <m/>
    <n v="1046"/>
    <n v="0"/>
    <n v="0"/>
    <n v="4"/>
    <m/>
    <m/>
    <m/>
    <s v="oui"/>
    <d v="2011-02-09T00:00:00"/>
    <m/>
    <d v="2012-02-24T00:00:00"/>
    <s v="SO"/>
    <m/>
    <m/>
    <m/>
    <m/>
    <m/>
    <m/>
    <m/>
    <m/>
    <d v="2012-12-10T00:00:00"/>
    <m/>
    <s v="ok"/>
    <s v="ok"/>
    <m/>
    <s v="INGEPAR"/>
    <s v="ok"/>
    <m/>
    <m/>
    <m/>
    <s v="LS 56"/>
    <m/>
    <d v="2012-05-24T00:00:00"/>
    <m/>
    <m/>
    <m/>
    <m/>
    <d v="2012-10-11T00:00:00"/>
    <m/>
    <m/>
    <m/>
    <m/>
    <m/>
    <d v="2013-02-14T00:00:00"/>
    <d v="2015-02-14T00:00:00"/>
    <d v="2016-02-14T00:00:00"/>
    <s v="oui"/>
    <m/>
    <m/>
    <m/>
    <m/>
    <m/>
    <m/>
    <m/>
    <m/>
    <m/>
    <m/>
    <m/>
    <m/>
    <m/>
    <m/>
    <m/>
    <m/>
    <m/>
    <m/>
    <s v="QUINOT"/>
    <n v="154616"/>
    <n v="92769.600000000006"/>
    <m/>
    <m/>
    <m/>
    <m/>
    <m/>
    <m/>
    <m/>
    <m/>
    <m/>
    <m/>
    <m/>
    <m/>
    <d v="2012-12-18T00:00:00"/>
    <m/>
    <m/>
    <n v="6314520.7599999998"/>
    <d v="2014-06-18T00:00:00"/>
    <m/>
    <m/>
    <s v="ok"/>
    <d v="2013-10-22T00:00:00"/>
    <d v="2013-12-18T00:00:00"/>
    <d v="2013-02-04T00:00:00"/>
    <d v="2013-03-25T00:00:00"/>
    <n v="15"/>
    <n v="17"/>
    <n v="27"/>
    <n v="27"/>
    <n v="12"/>
    <n v="10"/>
    <n v="15403.971887054833"/>
    <n v="184847.662644658"/>
    <s v="ok"/>
    <m/>
    <d v="2015-02-01T00:00:00"/>
    <d v="2015-06-03T00:00:00"/>
    <m/>
    <s v="manque RFCT vierge"/>
    <m/>
    <m/>
    <d v="2014-12-19T00:00:00"/>
    <m/>
    <d v="2015-06-03T00:00:00"/>
    <d v="2015-06-03T00:00:00"/>
    <m/>
    <m/>
    <s v="Lot Elec : DTS par Rayroux_x000a_Soit 1 lot sur 16"/>
    <m/>
    <m/>
    <m/>
    <m/>
    <s v="à faire"/>
    <d v="2016-06-03T00:00:00"/>
    <s v="7/9/15 - correctifs à apporter"/>
    <d v="2015-12-15T00:00:00"/>
    <m/>
    <m/>
    <m/>
    <m/>
    <s v="dossier  envoyé à INGEPAR"/>
    <m/>
    <m/>
    <m/>
    <m/>
    <n v="4807009"/>
    <n v="4807009.38"/>
    <n v="0.37999999988824129"/>
    <n v="2011.1747714578582"/>
    <n v="165758.94413793104"/>
    <m/>
    <m/>
    <n v="0"/>
    <n v="0"/>
    <m/>
    <n v="1474059"/>
    <n v="1473759.38"/>
    <n v="50819.28896551724"/>
    <n v="-299.62000000011176"/>
    <n v="3185790"/>
    <n v="3186090"/>
    <n v="549227"/>
    <n v="2636863"/>
    <n v="300"/>
    <n v="109865.1724137931"/>
    <n v="0"/>
    <n v="1111"/>
    <n v="1"/>
    <m/>
    <n v="2.0802955038128092E-7"/>
    <m/>
    <n v="1110"/>
    <n v="-1110"/>
    <n v="3.4482758620689655E-2"/>
    <m/>
    <n v="-38.275862068965516"/>
    <m/>
    <m/>
    <n v="0"/>
    <n v="0"/>
    <n v="50819.323448275856"/>
    <n v="0"/>
    <n v="50819.323448275856"/>
    <n v="0.3065857092211457"/>
    <m/>
    <m/>
    <n v="146049"/>
    <n v="4807009.38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Poker d'As LLTS"/>
    <x v="1"/>
    <x v="1"/>
    <x v="2"/>
    <s v="PRLC 0090"/>
    <s v="FMA"/>
    <s v="NLE"/>
    <s v="clôture défisc"/>
    <m/>
    <m/>
    <m/>
    <m/>
    <m/>
    <m/>
    <m/>
    <m/>
    <m/>
    <m/>
    <m/>
    <m/>
    <m/>
    <m/>
    <m/>
    <m/>
    <m/>
    <s v="UA"/>
    <m/>
    <m/>
    <s v="LLTS"/>
    <n v="13"/>
    <m/>
    <n v="13"/>
    <n v="927.22"/>
    <n v="927.22"/>
    <n v="71.324615384615385"/>
    <m/>
    <m/>
    <m/>
    <m/>
    <m/>
    <m/>
    <m/>
    <m/>
    <m/>
    <m/>
    <m/>
    <m/>
    <s v="oui"/>
    <d v="2011-02-09T00:00:00"/>
    <m/>
    <d v="2012-02-24T00:00:00"/>
    <s v="SO"/>
    <m/>
    <m/>
    <m/>
    <m/>
    <m/>
    <m/>
    <m/>
    <m/>
    <d v="2012-12-10T00:00:00"/>
    <m/>
    <s v="ok"/>
    <s v="ok"/>
    <m/>
    <s v="INGEPAR"/>
    <s v="ok"/>
    <m/>
    <m/>
    <m/>
    <s v="LS 56"/>
    <m/>
    <d v="2012-06-21T00:00:00"/>
    <m/>
    <m/>
    <m/>
    <m/>
    <d v="2012-10-11T00:00:00"/>
    <m/>
    <m/>
    <m/>
    <m/>
    <m/>
    <d v="2013-02-14T00:00:00"/>
    <d v="2015-02-14T00:00:00"/>
    <d v="2016-02-14T00:00:00"/>
    <s v="oui"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m/>
    <d v="2012-12-18T00:00:00"/>
    <m/>
    <m/>
    <n v="6314520.7599999998"/>
    <d v="2014-06-18T00:00:00"/>
    <m/>
    <m/>
    <s v="ok"/>
    <d v="2013-10-22T00:00:00"/>
    <d v="2013-12-18T00:00:00"/>
    <d v="2013-02-04T00:00:00"/>
    <d v="2013-03-25T00:00:00"/>
    <n v="15"/>
    <n v="17"/>
    <n v="27"/>
    <n v="27"/>
    <n v="12"/>
    <n v="10"/>
    <n v="4597.6309846555168"/>
    <n v="55171.571815866206"/>
    <s v="ok"/>
    <m/>
    <d v="2015-02-01T00:00:00"/>
    <d v="2015-06-03T00:00:00"/>
    <m/>
    <s v="manque RFCT vierge"/>
    <m/>
    <m/>
    <d v="2014-12-19T00:00:00"/>
    <m/>
    <d v="2015-06-03T00:00:00"/>
    <d v="2015-06-03T00:00:00"/>
    <m/>
    <m/>
    <s v="Lot Elec : DTS par Rayroux_x000a_Soit 1 lot sur 16"/>
    <m/>
    <m/>
    <m/>
    <m/>
    <s v="à faire"/>
    <d v="2016-06-03T00:00:00"/>
    <s v="7/9/15 - correctifs à apporter"/>
    <d v="2015-12-15T00:00:00"/>
    <m/>
    <m/>
    <m/>
    <m/>
    <s v="dossier  envoyé à INGEPAR"/>
    <m/>
    <m/>
    <m/>
    <m/>
    <n v="1878610"/>
    <n v="1878610.47"/>
    <n v="0.46999999997206032"/>
    <n v="2026.0676754168373"/>
    <n v="144508.49769230769"/>
    <m/>
    <m/>
    <n v="0"/>
    <n v="0"/>
    <m/>
    <n v="706622"/>
    <n v="706398.49"/>
    <n v="54338.345384615386"/>
    <n v="-223.51000000000931"/>
    <n v="1041124"/>
    <n v="1041347.98"/>
    <n v="179485"/>
    <n v="861862.98"/>
    <n v="223.97999999998137"/>
    <n v="80103.690769230772"/>
    <n v="0"/>
    <n v="60430"/>
    <n v="60000"/>
    <m/>
    <n v="3.1938499735924497E-2"/>
    <m/>
    <n v="430"/>
    <n v="-430"/>
    <n v="4615.3846153846152"/>
    <m/>
    <n v="-33.07692307692308"/>
    <m/>
    <m/>
    <n v="0"/>
    <n v="0"/>
    <n v="58953.729999999996"/>
    <n v="0"/>
    <n v="58953.729999999996"/>
    <n v="0.40796029950796558"/>
    <m/>
    <m/>
    <n v="70434"/>
    <n v="1878610.47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Bouton d'Or (Tampon 15e km)"/>
    <x v="1"/>
    <x v="1"/>
    <x v="2"/>
    <s v="PRLC 0117"/>
    <s v="FVA"/>
    <s v="SAR"/>
    <s v="Tvx"/>
    <m/>
    <m/>
    <s v="voie intérieure à rétrocéder_x000a_récupérer DOE_x000a_faire le DA"/>
    <m/>
    <m/>
    <m/>
    <n v="12495"/>
    <n v="825000"/>
    <n v="546365"/>
    <n v="12692.307692307691"/>
    <n v="66.026410564225685"/>
    <n v="43.726690676270508"/>
    <n v="102.74383478695837"/>
    <n v="8405.6153846153848"/>
    <n v="192.23076923076923"/>
    <m/>
    <n v="0.42558943577430969"/>
    <s v="UC"/>
    <n v="850"/>
    <m/>
    <s v="LLTS"/>
    <n v="65"/>
    <m/>
    <n v="65"/>
    <n v="5311.74"/>
    <n v="5317.74"/>
    <n v="81.811384615384611"/>
    <n v="0"/>
    <n v="0.29230769230769232"/>
    <n v="0.30769230769230771"/>
    <n v="0.35384615384615387"/>
    <n v="4.6153846153846156E-2"/>
    <s v="ANC"/>
    <n v="2000"/>
    <n v="0.1600640256102441"/>
    <n v="2.5"/>
    <m/>
    <m/>
    <m/>
    <m/>
    <d v="2011-02-09T00:00:00"/>
    <m/>
    <d v="2012-02-24T00:00:00"/>
    <s v="SO"/>
    <m/>
    <m/>
    <m/>
    <m/>
    <m/>
    <m/>
    <m/>
    <m/>
    <d v="2012-12-10T00:00:00"/>
    <m/>
    <s v="ok"/>
    <s v="ok"/>
    <m/>
    <s v="INGEPAR"/>
    <s v="ok"/>
    <m/>
    <m/>
    <m/>
    <s v="LS 20"/>
    <m/>
    <d v="2012-07-01T00:00:00"/>
    <m/>
    <m/>
    <m/>
    <m/>
    <d v="2012-08-13T00:00:00"/>
    <m/>
    <m/>
    <m/>
    <m/>
    <m/>
    <d v="2013-02-14T00:00:00"/>
    <d v="2015-02-14T00:00:00"/>
    <d v="2016-02-14T00:00:00"/>
    <s v="oui"/>
    <m/>
    <m/>
    <m/>
    <m/>
    <m/>
    <m/>
    <m/>
    <m/>
    <m/>
    <m/>
    <m/>
    <m/>
    <m/>
    <m/>
    <m/>
    <m/>
    <m/>
    <m/>
    <s v="BARET/GILLOT"/>
    <n v="241360"/>
    <n v="144816"/>
    <m/>
    <m/>
    <m/>
    <m/>
    <m/>
    <m/>
    <m/>
    <m/>
    <m/>
    <m/>
    <m/>
    <m/>
    <d v="2012-12-18T00:00:00"/>
    <m/>
    <m/>
    <n v="9857157.1899999995"/>
    <d v="2014-06-18T00:00:00"/>
    <d v="2014-05-26T00:00:00"/>
    <m/>
    <d v="2013-11-04T00:00:00"/>
    <d v="2013-11-05T00:00:00"/>
    <d v="2014-10-21T00:00:00"/>
    <d v="2013-02-15T00:00:00"/>
    <s v="ok"/>
    <n v="21"/>
    <n v="23"/>
    <n v="50"/>
    <n v="51"/>
    <n v="29"/>
    <n v="28"/>
    <n v="27488.225982313335"/>
    <n v="797158.55348708667"/>
    <d v="2016-06-14T00:00:00"/>
    <d v="2016-05-12T00:00:00"/>
    <s v="?"/>
    <d v="2017-05-01T00:00:00"/>
    <d v="2016-05-26T00:00:00"/>
    <m/>
    <m/>
    <m/>
    <m/>
    <m/>
    <d v="2017-06-01T00:00:00"/>
    <d v="2017-06-01T00:00:00"/>
    <s v="à faire"/>
    <s v="Concessionnaires OK"/>
    <s v="Lot Men Ext_x000a_Lot Cloisons_x000a_Lot Bardage_x000a_Lot Bardage_x000a_soit 4 lots sur 14 = 29%"/>
    <m/>
    <m/>
    <m/>
    <m/>
    <m/>
    <m/>
    <s v="pas livrée"/>
    <m/>
    <m/>
    <m/>
    <m/>
    <m/>
    <m/>
    <m/>
    <m/>
    <m/>
    <m/>
    <n v="10302884.478743382"/>
    <n v="10302885.028743383"/>
    <n v="0.55000000074505806"/>
    <n v="1939.6440768455125"/>
    <n v="158505.92351912896"/>
    <n v="9295451"/>
    <m/>
    <n v="-9295451"/>
    <n v="0.92116489227660947"/>
    <m/>
    <n v="3195831"/>
    <n v="3195831"/>
    <n v="49166.630769230767"/>
    <n v="0"/>
    <n v="6112292"/>
    <n v="6112292.5499999998"/>
    <n v="1264343"/>
    <n v="4847949.55"/>
    <n v="0.54999999981373549"/>
    <n v="94035.27"/>
    <n v="0"/>
    <n v="790394"/>
    <n v="790394"/>
    <m/>
    <n v="7.6715793469006852E-2"/>
    <m/>
    <n v="0"/>
    <n v="0"/>
    <n v="12159.907692307692"/>
    <m/>
    <n v="0"/>
    <m/>
    <m/>
    <n v="1951680.4950927752"/>
    <n v="1300000"/>
    <n v="81326.538461538468"/>
    <n v="0"/>
    <n v="81326.538461538468"/>
    <n v="0.4519405354846413"/>
    <n v="557838.66500000004"/>
    <m/>
    <n v="204367.47874338186"/>
    <n v="12254565.523836158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Desiré 2"/>
    <x v="0"/>
    <x v="0"/>
    <x v="2"/>
    <s v="PRLC 0133"/>
    <s v="YFR"/>
    <s v="RTA"/>
    <s v="clôture défisc"/>
    <m/>
    <m/>
    <m/>
    <m/>
    <m/>
    <m/>
    <n v="606"/>
    <n v="89040"/>
    <n v="51520"/>
    <n v="12720"/>
    <n v="146.93069306930693"/>
    <n v="85.016501650165011"/>
    <n v="96.464949071300168"/>
    <n v="7360"/>
    <n v="86.571428571428569"/>
    <n v="300"/>
    <n v="0.88132013201320136"/>
    <s v="UC"/>
    <m/>
    <m/>
    <s v="LLTS"/>
    <n v="7"/>
    <m/>
    <n v="7"/>
    <n v="534.08000000000004"/>
    <n v="534.08000000000004"/>
    <n v="76.297142857142859"/>
    <m/>
    <n v="0.28999999999999998"/>
    <n v="0.56999999999999995"/>
    <n v="0.14000000000000001"/>
    <m/>
    <n v="217.58"/>
    <n v="238"/>
    <n v="0.39273927392739272"/>
    <n v="2"/>
    <m/>
    <m/>
    <m/>
    <m/>
    <d v="2011-03-08T00:00:00"/>
    <m/>
    <d v="2012-02-24T00:00:00"/>
    <s v="SO"/>
    <m/>
    <m/>
    <m/>
    <m/>
    <m/>
    <m/>
    <m/>
    <m/>
    <d v="2012-12-14T00:00:00"/>
    <m/>
    <s v="ok"/>
    <s v="ok"/>
    <m/>
    <s v="OFOI"/>
    <s v="ok"/>
    <m/>
    <m/>
    <m/>
    <s v="LOGIS 3"/>
    <m/>
    <d v="2012-09-19T00:00:00"/>
    <m/>
    <m/>
    <m/>
    <m/>
    <d v="2012-11-12T00:00:00"/>
    <m/>
    <m/>
    <m/>
    <m/>
    <m/>
    <m/>
    <d v="1901-12-31T00:00:00"/>
    <d v="1902-12-31T00:00:00"/>
    <s v="oui"/>
    <m/>
    <m/>
    <m/>
    <m/>
    <m/>
    <m/>
    <m/>
    <m/>
    <m/>
    <m/>
    <m/>
    <m/>
    <m/>
    <m/>
    <m/>
    <m/>
    <m/>
    <m/>
    <s v="LE GOFF"/>
    <n v="25739"/>
    <n v="15443.4"/>
    <m/>
    <m/>
    <m/>
    <m/>
    <m/>
    <m/>
    <m/>
    <m/>
    <m/>
    <m/>
    <m/>
    <m/>
    <d v="2012-12-12T00:00:00"/>
    <m/>
    <m/>
    <n v="1051215.9099999999"/>
    <d v="2014-06-12T00:00:00"/>
    <m/>
    <m/>
    <s v="ok"/>
    <s v="ok"/>
    <d v="2014-06-10T00:00:00"/>
    <d v="2013-05-06T00:00:00"/>
    <s v="ok"/>
    <n v="10"/>
    <n v="11"/>
    <n v="14"/>
    <n v="16"/>
    <n v="4"/>
    <n v="5"/>
    <n v="2815.5833333333335"/>
    <n v="11262.333333333334"/>
    <s v="ok"/>
    <d v="2014-07-01T00:00:00"/>
    <d v="2014-07-21T00:00:00"/>
    <d v="2014-07-11T00:00:00"/>
    <m/>
    <s v="ok"/>
    <d v="2014-09-04T00:00:00"/>
    <m/>
    <d v="2014-09-01T00:00:00"/>
    <m/>
    <d v="2014-09-12T00:00:00"/>
    <d v="2014-09-12T00:00:00"/>
    <m/>
    <m/>
    <s v="RAS"/>
    <m/>
    <m/>
    <m/>
    <s v="ok"/>
    <d v="2015-03-19T00:00:00"/>
    <d v="2015-07-11T00:00:00"/>
    <d v="2014-10-03T00:00:00"/>
    <d v="2014-10-06T00:00:00"/>
    <s v="ok"/>
    <d v="2015-12-08T00:00:00"/>
    <m/>
    <s v="ok"/>
    <s v="dossier complet envoyé _x000a_"/>
    <m/>
    <s v="ok"/>
    <m/>
    <m/>
    <n v="1127562"/>
    <n v="1127563"/>
    <n v="1"/>
    <n v="2111.2249101258235"/>
    <n v="161080.42857142858"/>
    <n v="970725"/>
    <m/>
    <n v="-970725"/>
    <n v="0.87898512454304056"/>
    <m/>
    <n v="294296"/>
    <n v="294297"/>
    <n v="42042.428571428572"/>
    <n v="1"/>
    <n v="604971"/>
    <n v="604971"/>
    <n v="112853"/>
    <n v="492118"/>
    <n v="0"/>
    <n v="86424.428571428565"/>
    <n v="0"/>
    <n v="177688"/>
    <n v="177688"/>
    <m/>
    <n v="0.15758587325054121"/>
    <m/>
    <n v="0"/>
    <n v="0"/>
    <n v="25384"/>
    <m/>
    <n v="0"/>
    <m/>
    <m/>
    <n v="176884.08837750001"/>
    <n v="119543.69426743503"/>
    <n v="84504.099181062149"/>
    <n v="0"/>
    <n v="84504.099181062149"/>
    <n v="0.47252544420817433"/>
    <n v="52601.919999999998"/>
    <m/>
    <n v="50607"/>
    <n v="1304447.0883775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Jules Arlandas (Alamandas)"/>
    <x v="1"/>
    <x v="1"/>
    <x v="2"/>
    <s v="PRLC 0107"/>
    <s v="SGM"/>
    <s v="EGI"/>
    <s v="GPA"/>
    <m/>
    <m/>
    <m/>
    <m/>
    <m/>
    <m/>
    <n v="5530"/>
    <n v="1300000"/>
    <n v="1300000"/>
    <n v="17333.333333333332"/>
    <n v="235.08137432188065"/>
    <n v="235.08137432188065"/>
    <n v="198.20517589947033"/>
    <n v="17333.333333333332"/>
    <n v="73.733333333333334"/>
    <m/>
    <n v="1.1860506329113925"/>
    <s v="UAa"/>
    <m/>
    <m/>
    <s v="LLTS"/>
    <n v="75"/>
    <m/>
    <n v="75"/>
    <n v="6558.86"/>
    <n v="6558.86"/>
    <n v="87.451466666666661"/>
    <n v="6.6666666666666666E-2"/>
    <n v="0.13333333333333333"/>
    <n v="0.4"/>
    <n v="0.33333333333333331"/>
    <n v="6.6666666666666666E-2"/>
    <n v="697.88"/>
    <n v="0"/>
    <n v="0"/>
    <n v="7"/>
    <m/>
    <m/>
    <m/>
    <s v="oui"/>
    <d v="2012-02-06T00:00:00"/>
    <m/>
    <d v="2012-02-24T00:00:00"/>
    <s v="SO"/>
    <m/>
    <m/>
    <m/>
    <m/>
    <d v="2012-12-11T00:00:00"/>
    <m/>
    <m/>
    <m/>
    <d v="2012-12-28T00:00:00"/>
    <m/>
    <m/>
    <m/>
    <m/>
    <s v="INGEPAR"/>
    <s v="ok"/>
    <m/>
    <m/>
    <m/>
    <s v="LS 44"/>
    <m/>
    <d v="2012-07-04T00:00:00"/>
    <m/>
    <m/>
    <m/>
    <m/>
    <d v="2012-10-01T00:00:00"/>
    <m/>
    <m/>
    <m/>
    <m/>
    <m/>
    <d v="2013-02-14T00:00:00"/>
    <d v="2015-02-14T00:00:00"/>
    <d v="2016-02-14T00:00:00"/>
    <s v="oui"/>
    <m/>
    <m/>
    <m/>
    <m/>
    <m/>
    <m/>
    <m/>
    <m/>
    <m/>
    <m/>
    <m/>
    <m/>
    <m/>
    <m/>
    <m/>
    <m/>
    <m/>
    <m/>
    <s v="MAREL"/>
    <n v="295161"/>
    <n v="177096.6"/>
    <m/>
    <m/>
    <m/>
    <m/>
    <m/>
    <m/>
    <m/>
    <m/>
    <m/>
    <m/>
    <s v="ok"/>
    <m/>
    <d v="2012-12-27T00:00:00"/>
    <m/>
    <m/>
    <n v="12054387.02"/>
    <d v="2014-06-27T00:00:00"/>
    <d v="2013-12-09T00:00:00"/>
    <m/>
    <s v="ok"/>
    <s v="ok"/>
    <s v="ok"/>
    <d v="2013-06-03T00:00:00"/>
    <s v="ok"/>
    <n v="20"/>
    <n v="22"/>
    <n v="28"/>
    <n v="29"/>
    <n v="8"/>
    <n v="7"/>
    <n v="33302.91469613817"/>
    <n v="266423.31756910536"/>
    <s v="ok"/>
    <s v="ok"/>
    <s v="ok"/>
    <d v="2015-10-19T00:00:00"/>
    <d v="2015-12-09T00:00:00"/>
    <m/>
    <m/>
    <m/>
    <d v="2015-11-24T00:00:00"/>
    <m/>
    <d v="2015-11-24T00:00:00"/>
    <d v="2015-11-24T00:00:00"/>
    <m/>
    <m/>
    <s v="OPC :  L'hospitalier par Fromentin_x000a_Lot Etanchéité :_x000a_Lot Peinture :_x000a_Lot Cloison : Plaquiste réunion par Plaquiste.com_x000a_Menui Alu : FAOI par Technipose_x000a_Menui Alu : Technipose par Soremir_x000a_Lot Elect : I2E par Megawatt_x000a_Soit  6 lots sur 22 = 27 %"/>
    <d v="2016-11-05T00:00:00"/>
    <m/>
    <m/>
    <m/>
    <d v="2016-10-13T00:00:00"/>
    <m/>
    <s v="ok"/>
    <d v="2016-02-24T00:00:00"/>
    <m/>
    <m/>
    <m/>
    <m/>
    <s v="à faire avant 11/16"/>
    <s v="dde GL 03/02/17"/>
    <m/>
    <m/>
    <m/>
    <n v="12349548.800000001"/>
    <n v="12349548.309999999"/>
    <n v="-0.49000000208616257"/>
    <n v="1882.8803038942742"/>
    <n v="164660.64413333332"/>
    <m/>
    <m/>
    <n v="0"/>
    <n v="0"/>
    <m/>
    <n v="3816022.8"/>
    <n v="3816022.8"/>
    <n v="50880.303999999996"/>
    <n v="0"/>
    <n v="7538526"/>
    <n v="7538525.5099999998"/>
    <n v="1459253.6"/>
    <n v="6079271.9100000001"/>
    <n v="-0.49000000022351742"/>
    <n v="100513.67346666666"/>
    <n v="0"/>
    <n v="995000"/>
    <n v="995000"/>
    <m/>
    <n v="8.0569748384586873E-2"/>
    <m/>
    <n v="0"/>
    <n v="0"/>
    <n v="13266.666666666666"/>
    <m/>
    <n v="0"/>
    <m/>
    <m/>
    <n v="0"/>
    <n v="0"/>
    <n v="64146.970666666661"/>
    <n v="0"/>
    <n v="64146.970666666661"/>
    <n v="0.38957075021960869"/>
    <m/>
    <m/>
    <n v="0"/>
    <n v="12349548.309999999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Paille en Queue"/>
    <x v="3"/>
    <x v="2"/>
    <x v="2"/>
    <s v="PRLC 0138"/>
    <s v="YFR"/>
    <s v="RTA"/>
    <s v="clôture défisc"/>
    <m/>
    <m/>
    <s v="servitude EP à faire : délib CM transmise au notaire qui doit faire un projet de servitude_x000a_rétrocéder voirie : BJE doit faire DA / manque plan DOE de YFR"/>
    <m/>
    <m/>
    <m/>
    <n v="3000"/>
    <n v="200500"/>
    <n v="112930"/>
    <n v="20050"/>
    <n v="66.833333333333329"/>
    <n v="37.643333333333331"/>
    <n v="120.70587229312298"/>
    <n v="11293"/>
    <n v="300"/>
    <n v="691.97"/>
    <n v="0.31186000000000003"/>
    <s v="UD"/>
    <n v="850"/>
    <n v="0.3"/>
    <s v="LLTS"/>
    <n v="10"/>
    <m/>
    <n v="10"/>
    <n v="935.58"/>
    <n v="935.58"/>
    <n v="93.558000000000007"/>
    <m/>
    <m/>
    <n v="0.3"/>
    <n v="0.5"/>
    <n v="0.2"/>
    <n v="884"/>
    <n v="91"/>
    <n v="3.0333333333333334E-2"/>
    <n v="1.5"/>
    <m/>
    <m/>
    <m/>
    <m/>
    <d v="2012-02-06T00:00:00"/>
    <m/>
    <d v="2012-02-24T00:00:00"/>
    <s v="SO"/>
    <m/>
    <m/>
    <m/>
    <m/>
    <d v="2012-05-03T00:00:00"/>
    <m/>
    <m/>
    <m/>
    <d v="2012-12-10T00:00:00"/>
    <m/>
    <s v="ok"/>
    <s v="ok"/>
    <s v="ok"/>
    <s v="OFOI"/>
    <s v="ok"/>
    <m/>
    <m/>
    <m/>
    <s v="LOGIS 2"/>
    <m/>
    <d v="2012-09-27T00:00:00"/>
    <m/>
    <m/>
    <m/>
    <m/>
    <d v="2012-10-08T00:00:00"/>
    <m/>
    <m/>
    <m/>
    <m/>
    <m/>
    <d v="2013-02-14T00:00:00"/>
    <d v="2015-02-14T00:00:00"/>
    <d v="2016-02-14T00:00:00"/>
    <s v="oui"/>
    <m/>
    <m/>
    <m/>
    <m/>
    <m/>
    <m/>
    <m/>
    <m/>
    <m/>
    <m/>
    <m/>
    <m/>
    <m/>
    <m/>
    <m/>
    <m/>
    <m/>
    <m/>
    <s v="BARET/GILLOT"/>
    <n v="43706"/>
    <n v="26223.599999999999"/>
    <m/>
    <m/>
    <m/>
    <m/>
    <m/>
    <m/>
    <m/>
    <m/>
    <m/>
    <m/>
    <m/>
    <m/>
    <d v="2012-12-12T00:00:00"/>
    <m/>
    <m/>
    <n v="1784992.95"/>
    <d v="2014-06-12T00:00:00"/>
    <m/>
    <m/>
    <d v="2014-02-11T00:00:00"/>
    <d v="2013-10-07T00:00:00"/>
    <d v="2014-04-14T00:00:00"/>
    <d v="2013-06-26T00:00:00"/>
    <d v="2013-10-01T00:00:00"/>
    <n v="14"/>
    <n v="16"/>
    <n v="26"/>
    <n v="27"/>
    <n v="12"/>
    <n v="11"/>
    <n v="4669.3061346209588"/>
    <n v="56031.673615451509"/>
    <s v="ok"/>
    <s v="ok"/>
    <d v="2015-07-06T00:00:00"/>
    <d v="2015-09-18T00:00:00"/>
    <m/>
    <d v="2015-09-18T00:00:00"/>
    <s v="ok"/>
    <s v="manque GAIA/cheminée/epurfix"/>
    <d v="2015-10-08T00:00:00"/>
    <m/>
    <d v="2015-09-30T00:00:00"/>
    <d v="2015-10-09T00:00:00"/>
    <m/>
    <m/>
    <s v="Lot Peinture : LSR par Marine Peinture_x000a_Lot ECS : Ersec par Gaia_x000a_Lot Plomb : Ersec par PSVR_x000a_Lot Cloison : CIOI par Austral Placo_x000a_Lot Charpente : CSMD par HJP_x000a_Lot Metallerie : CSMD par HJP_x000a_Lot Revetement Dur : PSOI par TPMIB_x000a_Soit 7 lots sur 15 soit 45 %"/>
    <s v="ok"/>
    <s v="ok"/>
    <s v="ok"/>
    <s v="ok"/>
    <s v="demande ok"/>
    <m/>
    <d v="2015-11-03T00:00:00"/>
    <s v="07/12/2015_x000a_15/03/16"/>
    <s v="ok"/>
    <d v="2017-02-16T00:00:00"/>
    <m/>
    <s v="24/02/2016_x000a_06/09/2016"/>
    <s v="1 partie du dossier déposé à OFOI"/>
    <s v="liste locataires OK_x000a_dde baux 17/02/17"/>
    <m/>
    <m/>
    <m/>
    <n v="2008084.62"/>
    <n v="2008085.62"/>
    <n v="1"/>
    <n v="2146.3537270997672"/>
    <n v="200808.56200000001"/>
    <n v="1672116"/>
    <m/>
    <n v="-1672116"/>
    <n v="0.85017853281501632"/>
    <m/>
    <n v="553441"/>
    <n v="553441"/>
    <n v="55344.1"/>
    <n v="0"/>
    <n v="1110258"/>
    <n v="1110259"/>
    <n v="257996"/>
    <n v="852263"/>
    <n v="1"/>
    <n v="111025.9"/>
    <n v="17431"/>
    <n v="165000"/>
    <n v="165000"/>
    <m/>
    <n v="8.2167811151399012E-2"/>
    <m/>
    <n v="0"/>
    <n v="0"/>
    <n v="16500"/>
    <m/>
    <n v="0"/>
    <m/>
    <m/>
    <n v="666201.89926500001"/>
    <n v="200000"/>
    <n v="91844.1"/>
    <n v="206916.91"/>
    <n v="112535.791"/>
    <n v="0.43976712444730054"/>
    <n v="115301.53"/>
    <m/>
    <n v="179385.62"/>
    <n v="2674287.5192650002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Le Cap (BH 228)"/>
    <x v="3"/>
    <x v="2"/>
    <x v="2"/>
    <s v="PRLC 0135"/>
    <s v="YFR"/>
    <s v="RTA"/>
    <s v="GPA"/>
    <m/>
    <s v="BH 228"/>
    <s v="abandon servitude EP - si débordement on avisera"/>
    <m/>
    <m/>
    <m/>
    <n v="7382"/>
    <n v="243429"/>
    <n v="239545"/>
    <n v="10142.875"/>
    <n v="32.976022758060147"/>
    <n v="32.449878081820643"/>
    <n v="118.47636852830038"/>
    <n v="9981.0416666666661"/>
    <n v="307.58333333333331"/>
    <m/>
    <n v="0.27389325386074237"/>
    <s v="UD"/>
    <n v="750"/>
    <n v="0.3"/>
    <s v="LLTS"/>
    <n v="24"/>
    <m/>
    <n v="24"/>
    <n v="2021.88"/>
    <n v="2021.88"/>
    <n v="84.245000000000005"/>
    <m/>
    <m/>
    <m/>
    <m/>
    <m/>
    <n v="1700"/>
    <n v="486"/>
    <n v="6.5835816851801676E-2"/>
    <n v="1.5"/>
    <m/>
    <m/>
    <m/>
    <m/>
    <d v="2012-02-06T00:00:00"/>
    <m/>
    <d v="2012-02-24T00:00:00"/>
    <s v="SO"/>
    <m/>
    <m/>
    <m/>
    <m/>
    <d v="2012-05-04T00:00:00"/>
    <m/>
    <m/>
    <m/>
    <d v="2012-12-10T00:00:00"/>
    <m/>
    <s v="ok"/>
    <s v="ok"/>
    <s v="ok"/>
    <s v="OFOI"/>
    <s v="Oui"/>
    <m/>
    <s v="Oui"/>
    <s v="Oui"/>
    <s v="LOGIS 2"/>
    <m/>
    <d v="2012-09-18T00:00:00"/>
    <m/>
    <m/>
    <m/>
    <m/>
    <d v="2012-11-19T00:00:00"/>
    <m/>
    <m/>
    <m/>
    <m/>
    <m/>
    <d v="2013-02-14T00:00:00"/>
    <d v="2015-02-14T00:00:00"/>
    <d v="2016-02-14T00:00:00"/>
    <s v="oui"/>
    <m/>
    <m/>
    <m/>
    <m/>
    <m/>
    <m/>
    <m/>
    <m/>
    <m/>
    <m/>
    <m/>
    <m/>
    <m/>
    <m/>
    <m/>
    <m/>
    <m/>
    <m/>
    <s v="LE GOFF"/>
    <n v="94248"/>
    <n v="56548.800000000003"/>
    <m/>
    <m/>
    <m/>
    <m/>
    <m/>
    <m/>
    <m/>
    <m/>
    <m/>
    <m/>
    <m/>
    <m/>
    <d v="2012-12-13T00:00:00"/>
    <m/>
    <m/>
    <n v="3849124.53"/>
    <d v="2014-06-13T00:00:00"/>
    <d v="2014-07-30T00:00:00"/>
    <m/>
    <d v="2014-01-16T00:00:00"/>
    <d v="2014-01-27T00:00:00"/>
    <s v="ok"/>
    <d v="2013-10-25T00:00:00"/>
    <s v="ok"/>
    <n v="17"/>
    <n v="19"/>
    <n v="34"/>
    <n v="34"/>
    <n v="17"/>
    <n v="15"/>
    <n v="8408.8783613612504"/>
    <n v="142950.93214314125"/>
    <d v="2015-12-04T00:00:00"/>
    <d v="2016-06-21T00:00:00"/>
    <s v="ok"/>
    <d v="2016-09-06T00:00:00"/>
    <d v="2016-07-30T00:00:00"/>
    <d v="2016-10-26T00:00:00"/>
    <s v="ok"/>
    <s v="ascenseur 19/08/16"/>
    <d v="2016-09-20T00:00:00"/>
    <s v="01/09/2016 + 14/09"/>
    <s v="ok"/>
    <d v="2016-09-14T00:00:00"/>
    <s v="ok"/>
    <m/>
    <s v="Lot Bardage : EEC par MJF_x000a_Lot Charpente : EEC par MJF_x000a_Lot Elect : I2E par IEB_x000a_Lot Plomb : Sarhane par Ersec_x000a_Lot Plomb : Ersec par CSO_x000a_Soit 4 lot sur 14 = 28%"/>
    <d v="2016-11-28T00:00:00"/>
    <s v="en cours"/>
    <s v="manque GAIA"/>
    <d v="2017-01-31T00:00:00"/>
    <d v="2016-09-23T00:00:00"/>
    <d v="2017-10-26T00:00:00"/>
    <d v="2016-12-12T00:00:00"/>
    <d v="2017-01-20T00:00:00"/>
    <m/>
    <m/>
    <m/>
    <d v="2017-02-28T00:00:00"/>
    <m/>
    <s v="dde GL 20/01/17"/>
    <m/>
    <m/>
    <m/>
    <n v="4128660.85"/>
    <n v="4128660.85"/>
    <n v="0"/>
    <n v="2041.9910429896927"/>
    <n v="172027.53541666668"/>
    <n v="3645377"/>
    <m/>
    <n v="-3645377"/>
    <n v="0.90148599079045189"/>
    <m/>
    <n v="1196851"/>
    <n v="1196851"/>
    <n v="49868.791666666664"/>
    <n v="0"/>
    <n v="2362522"/>
    <n v="2362522"/>
    <n v="585357"/>
    <n v="1777165"/>
    <n v="0"/>
    <n v="98438.416666666672"/>
    <n v="0"/>
    <n v="384000"/>
    <n v="384000"/>
    <m/>
    <n v="9.3008366138865581E-2"/>
    <m/>
    <n v="0"/>
    <n v="0"/>
    <n v="16000"/>
    <m/>
    <n v="0"/>
    <m/>
    <m/>
    <n v="913316.69861249998"/>
    <n v="480000"/>
    <n v="85868.791666666672"/>
    <n v="148968.80577250005"/>
    <n v="92075.825240520833"/>
    <n v="0.46089221153691351"/>
    <n v="247321.11820000003"/>
    <m/>
    <n v="185287.85"/>
    <n v="5041977.5486124996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Coco Huet (Parc à Moutons)"/>
    <x v="5"/>
    <x v="1"/>
    <x v="3"/>
    <s v="PRLC 0121"/>
    <s v="YFR"/>
    <s v="KGI"/>
    <s v="Tvx"/>
    <m/>
    <m/>
    <s v="tableau de vente des lots OK - RDV RO 09/12/16_x000a_courrier fait à la commune sur la mise en vente des parcelles"/>
    <s v="Commune"/>
    <s v="BARET"/>
    <d v="2013-12-19T00:00:00"/>
    <n v="11354"/>
    <n v="444858"/>
    <n v="247250"/>
    <n v="13084.058823529413"/>
    <n v="39.180729258411134"/>
    <n v="21.776466443544127"/>
    <n v="93.413630644960193"/>
    <n v="7272.0588235294117"/>
    <n v="333.94117647058823"/>
    <m/>
    <n v="0.23311872467852737"/>
    <s v="NAUD"/>
    <m/>
    <m/>
    <s v="LLTS"/>
    <n v="34"/>
    <m/>
    <n v="34"/>
    <n v="2592.75"/>
    <n v="2646.83"/>
    <n v="77.847941176470584"/>
    <m/>
    <m/>
    <m/>
    <m/>
    <m/>
    <n v="1035"/>
    <s v="x"/>
    <e v="#VALUE!"/>
    <n v="2"/>
    <n v="4"/>
    <s v="B"/>
    <s v="ok"/>
    <s v="non"/>
    <d v="2012-10-18T00:00:00"/>
    <d v="2012-09-21T00:00:00"/>
    <m/>
    <s v="SO"/>
    <m/>
    <m/>
    <m/>
    <m/>
    <d v="2013-07-08T00:00:00"/>
    <d v="2013-07-22T00:00:00"/>
    <d v="2013-08-22T00:00:00"/>
    <d v="2013-09-23T00:00:00"/>
    <d v="2013-12-13T00:00:00"/>
    <m/>
    <s v="ok"/>
    <s v="ok"/>
    <m/>
    <s v="INGEPAR"/>
    <s v="Oui"/>
    <m/>
    <s v="Oui"/>
    <s v="Oui"/>
    <s v="LS 77"/>
    <m/>
    <d v="2013-07-29T00:00:00"/>
    <m/>
    <m/>
    <s v="oui"/>
    <d v="2013-08-12T00:00:00"/>
    <d v="2013-08-23T00:00:00"/>
    <m/>
    <d v="2013-10-02T00:00:00"/>
    <d v="2013-10-29T00:00:00"/>
    <d v="2014-01-29T00:00:00"/>
    <m/>
    <d v="2014-01-20T00:00:00"/>
    <d v="2016-01-20T00:00:00"/>
    <d v="2017-01-20T00:00:00"/>
    <s v="oui"/>
    <m/>
    <s v="CR + CASUD = 19/12/13_x000a_CG = 15/01/14_x000a_Commune = 15/01/14"/>
    <d v="2013-11-05T00:00:00"/>
    <d v="2013-12-11T00:00:00"/>
    <d v="2014-01-14T00:00:00"/>
    <m/>
    <d v="2013-11-06T00:00:00"/>
    <d v="2013-12-17T00:00:00"/>
    <d v="2014-01-06T00:00:00"/>
    <m/>
    <s v="25/10/13 + 05/11/13"/>
    <d v="2013-12-06T00:00:00"/>
    <d v="2013-12-16T00:00:00"/>
    <m/>
    <d v="2013-11-05T00:00:00"/>
    <d v="2013-11-26T00:00:00"/>
    <d v="2013-12-18T00:00:00"/>
    <m/>
    <s v="MAREL"/>
    <n v="120582"/>
    <n v="72349.2"/>
    <s v="CR ok"/>
    <s v="14/11/2013_x000a_retour notaire 06/12/13"/>
    <s v="14/11/2013_x000a_retour DS 04/12/13"/>
    <m/>
    <s v="transmission modif DS 05/12/13_x000a_retour INGEPAR 05/12/13"/>
    <d v="2013-12-06T00:00:00"/>
    <s v="ok"/>
    <m/>
    <m/>
    <d v="2013-12-16T00:00:00"/>
    <s v="ok"/>
    <m/>
    <d v="2013-12-19T00:00:00"/>
    <m/>
    <m/>
    <n v="5177307.8499999996"/>
    <d v="2015-06-19T00:00:00"/>
    <d v="2014-12-15T00:00:00"/>
    <m/>
    <s v="ok"/>
    <d v="2014-07-23T00:00:00"/>
    <d v="2015-07-13T00:00:00"/>
    <d v="2014-03-31T00:00:00"/>
    <m/>
    <n v="18"/>
    <n v="20"/>
    <n v="37"/>
    <n v="38"/>
    <n v="19"/>
    <n v="18"/>
    <n v="14196.666666666666"/>
    <n v="269736.66666666663"/>
    <d v="2015-12-04T00:00:00"/>
    <m/>
    <m/>
    <d v="2017-05-01T00:00:00"/>
    <d v="2016-12-15T00:00:00"/>
    <m/>
    <m/>
    <m/>
    <m/>
    <m/>
    <d v="2017-06-01T00:00:00"/>
    <d v="2017-06-01T00:00:00"/>
    <s v="à faire"/>
    <s v="1. Planning : prévoir une réception en 12/16 / notifier le planning par OS car entreprises ne veulent pas le signer_x000a_2. lancer consultation espaces verts_x000a_3. Concessionnaires : poste transfo OK_x000a_4. voir avec BOISSEAU si possible de signer baux avant dépôt DAT_x000a_5. Charpentier n'avance pas : intempéries - suivre l'avis de l'OPC_x000a_"/>
    <s v="Lot Charpente Couverture : Trait Carré par HJP_x000a_Lot Gros-œuvre : Robert Construction par CH2D_x000a_Lot Men Ext :APOI par Espace Alu_x000a_Lot électricité : Electric Services par_x000a_Lot Gros-Œuvre : CH2D par_x000a_Soit 5 lots sur 14 = 34%"/>
    <m/>
    <m/>
    <m/>
    <m/>
    <m/>
    <m/>
    <m/>
    <m/>
    <m/>
    <m/>
    <m/>
    <m/>
    <m/>
    <m/>
    <m/>
    <m/>
    <s v="oui"/>
    <n v="5410286"/>
    <n v="5669177.5800000001"/>
    <n v="258891.58000000007"/>
    <n v="2186.5500260341337"/>
    <n v="166740.51705882352"/>
    <n v="4467345"/>
    <n v="4848194"/>
    <n v="380849"/>
    <n v="0.84305325910681972"/>
    <m/>
    <n v="1408892"/>
    <n v="1600171.58"/>
    <n v="47063.87"/>
    <n v="191279.58000000007"/>
    <n v="2956295"/>
    <n v="3023907"/>
    <n v="650910"/>
    <n v="2372997"/>
    <n v="67612"/>
    <n v="88938.441176470587"/>
    <m/>
    <n v="680000"/>
    <n v="680000"/>
    <m/>
    <n v="0.11994685126797527"/>
    <m/>
    <n v="0"/>
    <n v="0"/>
    <n v="20000"/>
    <m/>
    <n v="0"/>
    <m/>
    <m/>
    <n v="1298644.9078014998"/>
    <n v="680000"/>
    <n v="87063.87"/>
    <n v="0"/>
    <n v="87063.87"/>
    <n v="0.44080476088858217"/>
    <n v="252442.25"/>
    <m/>
    <n v="365099"/>
    <n v="6967822.4878014997"/>
    <n v="258409"/>
    <m/>
    <d v="2011-08-24T00:00:00"/>
    <n v="210013"/>
    <d v="2011-08-29T00:00:00"/>
    <d v="2011-09-19T00:00:00"/>
    <d v="2011-11-17T00:00:00"/>
    <n v="59"/>
    <d v="2012-07-05T00:00:00"/>
    <n v="231"/>
    <n v="201"/>
    <n v="311"/>
    <d v="2011-11-23T00:00:00"/>
    <n v="-225"/>
    <d v="2011-12-14T00:00:00"/>
    <d v="2012-07-06T00:00:00"/>
    <n v="205"/>
    <d v="2013-02-20T00:00:00"/>
    <n v="229"/>
    <n v="199"/>
    <n v="455"/>
    <m/>
    <m/>
    <d v="2012-11-23T00:00:00"/>
    <d v="2013-02-27T00:00:00"/>
    <d v="2013-02-27T00:00:00"/>
    <n v="39806"/>
    <d v="2013-03-27T00:00:00"/>
    <n v="35"/>
    <d v="2013-04-26T00:00:00"/>
    <d v="2013-05-24T00:00:00"/>
    <n v="28"/>
    <d v="2013-07-08T00:00:00"/>
    <n v="45"/>
    <n v="15"/>
    <n v="103"/>
    <d v="2013-07-30T00:00:00"/>
    <n v="24327"/>
    <d v="2013-07-08T00:00:00"/>
    <n v="0"/>
    <d v="2013-08-07T00:00:00"/>
    <d v="2013-08-26T00:00:00"/>
    <n v="19"/>
    <d v="2013-09-26T00:00:00"/>
    <n v="31"/>
    <n v="1"/>
    <n v="80"/>
    <d v="2013-10-23T00:00:00"/>
    <n v="36491"/>
    <d v="2013-07-08T00:00:00"/>
    <n v="-80"/>
    <d v="2013-07-23T00:00:00"/>
    <d v="2013-08-26T00:00:00"/>
    <n v="34"/>
    <d v="2013-09-10T00:00:00"/>
    <d v="2013-09-26T00:00:00"/>
    <n v="16"/>
    <n v="80"/>
    <d v="2013-11-22T00:00:00"/>
    <n v="57"/>
    <n v="-3"/>
    <n v="9.6999999999999993"/>
    <n v="14.066666666666666"/>
    <s v="ok"/>
    <m/>
    <d v="2016-12-15T00:00:00"/>
    <n v="39100"/>
    <m/>
    <m/>
    <m/>
    <m/>
  </r>
  <r>
    <s v="Rue de l'Eglise"/>
    <x v="6"/>
    <x v="1"/>
    <x v="3"/>
    <s v="PRLC 0148"/>
    <s v="AGA"/>
    <s v="SAR"/>
    <s v="Tvx"/>
    <m/>
    <m/>
    <m/>
    <s v="EPFR"/>
    <s v="BARET"/>
    <d v="2013-11-13T00:00:00"/>
    <n v="1547"/>
    <n v="259906"/>
    <n v="259906"/>
    <n v="14439.222222222223"/>
    <n v="168.00646412411118"/>
    <n v="168.00646412411118"/>
    <n v="196.37036757205999"/>
    <n v="14439.222222222223"/>
    <n v="85.944444444444443"/>
    <n v="836"/>
    <n v="0.85555914673561728"/>
    <s v="UA"/>
    <n v="383"/>
    <n v="0"/>
    <s v="LLTS"/>
    <n v="18"/>
    <m/>
    <n v="18"/>
    <n v="1340.98"/>
    <n v="1323.55"/>
    <n v="73.530555555555551"/>
    <m/>
    <m/>
    <m/>
    <m/>
    <m/>
    <m/>
    <n v="0"/>
    <n v="0"/>
    <n v="3.5"/>
    <m/>
    <s v="B"/>
    <s v="ok"/>
    <s v="oui"/>
    <d v="2013-01-31T00:00:00"/>
    <d v="2013-02-08T00:00:00"/>
    <m/>
    <s v="SO"/>
    <m/>
    <m/>
    <m/>
    <m/>
    <d v="2013-05-03T00:00:00"/>
    <d v="2013-07-19T00:00:00"/>
    <d v="2013-08-19T00:00:00"/>
    <d v="2013-09-19T00:00:00"/>
    <d v="2013-12-04T00:00:00"/>
    <m/>
    <s v="ok"/>
    <s v="ok"/>
    <s v="SO"/>
    <s v="OFOI"/>
    <s v="Oui"/>
    <m/>
    <s v="Oui"/>
    <s v="Oui"/>
    <s v="LOGIS 5"/>
    <m/>
    <d v="2013-07-08T00:00:00"/>
    <m/>
    <m/>
    <s v="oui"/>
    <d v="2013-08-28T00:00:00"/>
    <d v="2013-08-29T00:00:00"/>
    <m/>
    <d v="2013-10-02T00:00:00"/>
    <d v="2013-10-29T00:00:00"/>
    <d v="2014-01-29T00:00:00"/>
    <m/>
    <d v="2014-01-20T00:00:00"/>
    <d v="2016-01-20T00:00:00"/>
    <d v="2017-01-20T00:00:00"/>
    <s v="oui"/>
    <m/>
    <s v="CR + CASUD = 19/12/13_x000a_CG = 15/01/14_x000a_Commune = 15/01/14"/>
    <d v="2013-11-05T00:00:00"/>
    <d v="2013-12-11T00:00:00"/>
    <d v="2014-01-14T00:00:00"/>
    <m/>
    <d v="2013-11-06T00:00:00"/>
    <d v="2013-11-28T00:00:00"/>
    <m/>
    <m/>
    <s v="25/10/13 + 05/11/13"/>
    <d v="2013-12-06T00:00:00"/>
    <d v="2013-12-16T00:00:00"/>
    <m/>
    <d v="2013-11-05T00:00:00"/>
    <d v="2013-11-26T00:00:00"/>
    <d v="2013-12-18T00:00:00"/>
    <m/>
    <s v="BARET/GILLOT"/>
    <n v="63511"/>
    <n v="38106.6"/>
    <s v="CR ok"/>
    <s v="22/10/2013_x000a_transmiss° modif 04/12/13_x000a_retour 09/12/13"/>
    <s v="31/10/2013_x000a_relance 15/11/13_x000a_retour DS 18/11/13_x000a_transmission modif 04/12/13_x000a_2e 10/12/13"/>
    <m/>
    <s v="19/11/2013 retour 04/12/13 _x000a_2e 10/12/13"/>
    <m/>
    <m/>
    <m/>
    <m/>
    <d v="2013-12-04T00:00:00"/>
    <s v="ok"/>
    <m/>
    <d v="2013-12-17T00:00:00"/>
    <m/>
    <m/>
    <n v="2595669.38"/>
    <d v="2015-06-17T00:00:00"/>
    <d v="2015-05-29T00:00:00"/>
    <m/>
    <s v="ok"/>
    <d v="2014-06-18T00:00:00"/>
    <d v="2016-06-01T00:00:00"/>
    <d v="2014-04-22T00:00:00"/>
    <m/>
    <n v="15"/>
    <n v="17"/>
    <n v="37"/>
    <n v="38"/>
    <n v="22"/>
    <n v="21"/>
    <n v="7190.7782225148085"/>
    <n v="158197.12089532579"/>
    <d v="2016-01-13T00:00:00"/>
    <m/>
    <m/>
    <d v="2017-06-01T00:00:00"/>
    <d v="2017-05-29T00:00:00"/>
    <m/>
    <m/>
    <m/>
    <m/>
    <m/>
    <d v="2017-07-01T00:00:00"/>
    <d v="2017-07-01T00:00:00"/>
    <s v="à faire"/>
    <s v="1. Reprise Charpente :_x000a_- JPH refuse le marché_x000a_- prendre le 2e si possible_x000a_2. Concessionnaires :_x000a_- EDF : payer le reliquat / pré-réception mi-oct_x000a_- AEP : compteurs payés_x000a_- FT"/>
    <s v="Lot carrelage : EEPC par _x000a_Lot plomberie : Attitude Plomb par _x000a_Lot ECS : DYELL par _x000a_Lot Charpente : Sorlier par JP Hoarau_x000a_Lot Charpente : JP Hoarau par CMOI_x000a_Soit 5 sur 15 lots  = 33 %"/>
    <m/>
    <m/>
    <m/>
    <m/>
    <m/>
    <m/>
    <m/>
    <m/>
    <m/>
    <m/>
    <m/>
    <m/>
    <m/>
    <m/>
    <m/>
    <m/>
    <s v="oui"/>
    <n v="3342473.3883068468"/>
    <n v="3285776.3883068468"/>
    <n v="-56697"/>
    <n v="2450.2799357983317"/>
    <n v="182543.13268371372"/>
    <n v="2383274"/>
    <n v="2329832"/>
    <n v="-53442"/>
    <n v="0.72800063644863189"/>
    <m/>
    <n v="717900"/>
    <n v="736924"/>
    <n v="40940.222222222219"/>
    <n v="19024"/>
    <n v="1504024"/>
    <n v="1490303"/>
    <n v="341701"/>
    <n v="1148602"/>
    <n v="-13721"/>
    <n v="82794.611111111109"/>
    <m/>
    <n v="494000"/>
    <n v="432000"/>
    <m/>
    <n v="0.13147577587366152"/>
    <m/>
    <n v="0"/>
    <n v="-62000"/>
    <n v="24000"/>
    <m/>
    <n v="-3444.4444444444443"/>
    <m/>
    <m/>
    <n v="0"/>
    <n v="0"/>
    <n v="64940.222222222219"/>
    <n v="0"/>
    <n v="64940.222222222219"/>
    <n v="0.35575275425311093"/>
    <m/>
    <m/>
    <n v="626549.38830684684"/>
    <n v="3285776.3883068468"/>
    <n v="149910"/>
    <m/>
    <d v="2012-12-14T00:00:00"/>
    <n v="14755"/>
    <d v="2012-10-03T00:00:00"/>
    <d v="2012-10-24T00:00:00"/>
    <d v="2012-11-06T00:00:00"/>
    <n v="13"/>
    <d v="2012-11-29T00:00:00"/>
    <n v="23"/>
    <n v="-7"/>
    <n v="57"/>
    <d v="2012-11-29T00:00:00"/>
    <n v="0"/>
    <d v="2012-12-20T00:00:00"/>
    <d v="2012-12-19T00:00:00"/>
    <n v="-1"/>
    <d v="2013-04-09T00:00:00"/>
    <n v="111"/>
    <n v="81"/>
    <n v="131"/>
    <d v="2013-04-09T00:00:00"/>
    <n v="4453"/>
    <d v="2013-01-22T00:00:00"/>
    <d v="2013-02-06T00:00:00"/>
    <d v="2013-02-06T00:00:00"/>
    <n v="14755"/>
    <d v="2013-04-11T00:00:00"/>
    <n v="2"/>
    <d v="2013-05-11T00:00:00"/>
    <d v="2013-05-07T00:00:00"/>
    <n v="-4"/>
    <d v="2013-06-12T00:00:00"/>
    <n v="36"/>
    <n v="6"/>
    <n v="62"/>
    <d v="2013-06-28T00:00:00"/>
    <n v="12951"/>
    <d v="2013-06-12T00:00:00"/>
    <n v="0"/>
    <d v="2013-07-12T00:00:00"/>
    <d v="2013-08-05T00:00:00"/>
    <n v="24"/>
    <d v="2013-09-12T00:00:00"/>
    <n v="38"/>
    <n v="8"/>
    <n v="92"/>
    <d v="2013-08-28T00:00:00"/>
    <n v="19295"/>
    <d v="2013-09-12T00:00:00"/>
    <n v="0"/>
    <d v="2013-09-27T00:00:00"/>
    <d v="2013-10-11T00:00:00"/>
    <n v="14"/>
    <d v="2013-10-26T00:00:00"/>
    <d v="2013-11-13T00:00:00"/>
    <n v="18"/>
    <n v="62"/>
    <d v="2014-02-14T00:00:00"/>
    <n v="93"/>
    <n v="33"/>
    <n v="9.6999999999999993"/>
    <n v="2.2333333333333343"/>
    <m/>
    <m/>
    <m/>
    <m/>
    <m/>
    <m/>
    <m/>
    <m/>
  </r>
  <r>
    <s v="Lié ETHEVE (Poker As 2)"/>
    <x v="1"/>
    <x v="1"/>
    <x v="3"/>
    <s v="PRLC 0139"/>
    <s v="APU"/>
    <s v="NLE"/>
    <s v="GPA"/>
    <m/>
    <m/>
    <m/>
    <s v="SODEGIS"/>
    <m/>
    <s v="ok"/>
    <n v="2330"/>
    <n v="800000"/>
    <n v="800000"/>
    <n v="18181.81818181818"/>
    <n v="343.34763948497852"/>
    <n v="343.34763948497852"/>
    <n v="218.75076904567243"/>
    <n v="18181.81818181818"/>
    <n v="52.954545454545453"/>
    <m/>
    <n v="1.5695836909871246"/>
    <s v="UA"/>
    <m/>
    <m/>
    <s v="LLS"/>
    <n v="44"/>
    <n v="44"/>
    <m/>
    <n v="3666.81"/>
    <n v="3657.13"/>
    <n v="83.116590909090917"/>
    <m/>
    <m/>
    <m/>
    <m/>
    <m/>
    <n v="1428"/>
    <n v="0"/>
    <n v="0"/>
    <n v="4"/>
    <m/>
    <s v="A"/>
    <s v="ok"/>
    <s v="oui"/>
    <d v="2012-07-31T00:00:00"/>
    <m/>
    <m/>
    <s v="SO"/>
    <m/>
    <m/>
    <m/>
    <m/>
    <d v="2013-05-06T00:00:00"/>
    <d v="2013-07-12T00:00:00"/>
    <d v="2013-08-12T00:00:00"/>
    <d v="2013-09-12T00:00:00"/>
    <d v="2013-12-13T00:00:00"/>
    <m/>
    <s v="à signer"/>
    <s v="ok"/>
    <m/>
    <s v="INGEPAR"/>
    <s v="Oui"/>
    <m/>
    <s v="Oui"/>
    <s v="Oui"/>
    <s v="LS 75"/>
    <m/>
    <d v="2013-06-21T00:00:00"/>
    <m/>
    <m/>
    <s v="oui"/>
    <d v="2013-07-12T00:00:00"/>
    <d v="2013-08-14T00:00:00"/>
    <m/>
    <d v="2013-10-03T00:00:00"/>
    <d v="2013-10-29T00:00:00"/>
    <d v="2014-01-29T00:00:00"/>
    <m/>
    <d v="2014-01-20T00:00:00"/>
    <d v="2016-01-20T00:00:00"/>
    <d v="2017-01-20T00:00:00"/>
    <s v="oui"/>
    <m/>
    <s v="CR + CASUD = 19/12/13_x000a_CG = 15/01/14_x000a_Commune = 15/01/14"/>
    <d v="2013-11-05T00:00:00"/>
    <d v="2013-12-11T00:00:00"/>
    <d v="2014-01-14T00:00:00"/>
    <m/>
    <d v="2013-11-06T00:00:00"/>
    <d v="2013-12-10T00:00:00"/>
    <d v="2014-01-09T00:00:00"/>
    <m/>
    <s v="25/10/13 + 05/11/13"/>
    <d v="2013-12-06T00:00:00"/>
    <d v="2013-12-16T00:00:00"/>
    <m/>
    <d v="2013-11-05T00:00:00"/>
    <d v="2013-11-26T00:00:00"/>
    <d v="2013-12-18T00:00:00"/>
    <m/>
    <s v="QUINOT"/>
    <n v="170905"/>
    <n v="102543"/>
    <s v="CR ok"/>
    <s v="24/10/2013_x000a_transmission modif 28/11/13_x000a_2e retour 05/12/13"/>
    <s v="14/11/2013_x000a_retour DS 21/11/13_x000a_2e 10/12/13"/>
    <m/>
    <s v="25/11/2013_x000a_2e 10/12/13"/>
    <m/>
    <m/>
    <m/>
    <m/>
    <d v="2013-12-13T00:00:00"/>
    <s v="ok"/>
    <m/>
    <d v="2013-12-18T00:00:00"/>
    <m/>
    <m/>
    <m/>
    <d v="2015-06-18T00:00:00"/>
    <d v="2014-12-15T00:00:00"/>
    <m/>
    <s v="ok"/>
    <d v="2015-03-03T00:00:00"/>
    <d v="2015-05-12T00:00:00"/>
    <d v="2014-04-28T00:00:00"/>
    <m/>
    <n v="15"/>
    <n v="17"/>
    <n v="28"/>
    <n v="30"/>
    <n v="13"/>
    <n v="13"/>
    <n v="24057.196991944918"/>
    <n v="312743.56089528394"/>
    <d v="2016-06-02T00:00:00"/>
    <m/>
    <s v="16/02 G_x000a_23/02 H_x000a_01/03 F"/>
    <d v="2016-09-27T00:00:00"/>
    <d v="2016-12-15T00:00:00"/>
    <s v="à recevoir le 17/02/17"/>
    <s v="ok"/>
    <m/>
    <d v="2016-10-28T00:00:00"/>
    <d v="2017-01-10T00:00:00"/>
    <d v="2016-10-27T00:00:00"/>
    <d v="2016-10-28T00:00:00"/>
    <s v="ok"/>
    <s v="1. Réception 27/09/16_x000a_2. Concessionnaires :_x000a_- FT : ok_x000a_- AEP : attente compteurs_x000a_- EDF : compteurs OK_x000a_- SDIS : aire retournement 15/10 au plus tard_x000a_3. SOCOTEC : 20 pages de réserves / pas de nouvelles de CATAN_x000a_4. Réserves CERQUAL à lever : 15 j_x000a_5. 110 000 € de travaux à faire pour récupérer la Base Eligible_x000a_6. Essais JFG ok_x000a_Canons définitifs posés après levée réserves"/>
    <m/>
    <s v="reçu 23/12/16 avec beaucoup de réserves_x000a_réunions programmées entre / MOE pour suite à donner"/>
    <s v="prévu pour le 03/03/17"/>
    <s v="prévu pour le 17/02/17"/>
    <s v="relance Mairie le 16/01/17"/>
    <s v="à faire après purge réserves RFCT"/>
    <d v="2017-09-27T00:00:00"/>
    <d v="2016-12-01T00:00:00"/>
    <m/>
    <m/>
    <m/>
    <m/>
    <m/>
    <m/>
    <s v="dde GL 20/01/17"/>
    <m/>
    <m/>
    <s v="oui"/>
    <n v="7235711.5552148521"/>
    <n v="7217191.5552148521"/>
    <n v="-18520"/>
    <n v="1968.2480289992807"/>
    <n v="164027.08080033754"/>
    <n v="6405313"/>
    <n v="6413222"/>
    <n v="7909"/>
    <n v="0.90382604711304182"/>
    <m/>
    <n v="2389181"/>
    <n v="2438948"/>
    <n v="55430.63636363636"/>
    <n v="49767"/>
    <n v="4761510"/>
    <n v="4693223"/>
    <n v="982573"/>
    <n v="3710650"/>
    <n v="-68287"/>
    <n v="106664.15909090909"/>
    <m/>
    <n v="1"/>
    <n v="1"/>
    <m/>
    <n v="1.3855805161184066E-7"/>
    <m/>
    <n v="0"/>
    <n v="0"/>
    <n v="2.2727272727272728E-2"/>
    <m/>
    <n v="0"/>
    <m/>
    <m/>
    <m/>
    <m/>
    <n v="55430.659090909088"/>
    <m/>
    <n v="55430.659090909088"/>
    <n v="0.33793602142064716"/>
    <m/>
    <m/>
    <n v="85019.555214851862"/>
    <n v="7217191.5552148521"/>
    <n v="343148"/>
    <m/>
    <d v="2012-05-31T00:00:00"/>
    <n v="37298"/>
    <d v="2012-05-23T00:00:00"/>
    <d v="2012-05-23T00:00:00"/>
    <d v="2012-05-23T00:00:00"/>
    <n v="0"/>
    <d v="2012-05-23T00:00:00"/>
    <n v="0"/>
    <n v="-30"/>
    <n v="0"/>
    <d v="2012-05-23T00:00:00"/>
    <n v="0"/>
    <d v="2012-06-13T00:00:00"/>
    <d v="2012-09-03T00:00:00"/>
    <n v="82"/>
    <d v="2013-02-19T00:00:00"/>
    <n v="169"/>
    <n v="139"/>
    <n v="272"/>
    <d v="2013-02-19T00:00:00"/>
    <n v="18649"/>
    <m/>
    <d v="2012-12-19T00:00:00"/>
    <d v="2012-12-19T00:00:00"/>
    <n v="37298"/>
    <d v="2013-02-19T00:00:00"/>
    <n v="0"/>
    <d v="2013-03-21T00:00:00"/>
    <d v="2013-03-21T00:00:00"/>
    <n v="0"/>
    <d v="2013-05-02T00:00:00"/>
    <n v="42"/>
    <n v="12"/>
    <n v="72"/>
    <d v="2013-05-02T00:00:00"/>
    <n v="37298"/>
    <d v="2013-05-02T00:00:00"/>
    <n v="0"/>
    <d v="2013-06-01T00:00:00"/>
    <d v="2013-07-03T00:00:00"/>
    <n v="32"/>
    <d v="2013-08-28T00:00:00"/>
    <n v="56"/>
    <n v="26"/>
    <n v="118"/>
    <d v="2013-09-30T00:00:00"/>
    <n v="55946"/>
    <d v="2013-09-02T00:00:00"/>
    <n v="5"/>
    <d v="2013-09-17T00:00:00"/>
    <d v="2013-10-09T00:00:00"/>
    <n v="22"/>
    <d v="2013-10-24T00:00:00"/>
    <d v="2013-10-14T00:00:00"/>
    <n v="-10"/>
    <n v="42"/>
    <d v="2014-02-14T00:00:00"/>
    <n v="123"/>
    <n v="63"/>
    <n v="9.6999999999999993"/>
    <n v="6.6000000000000014"/>
    <m/>
    <m/>
    <m/>
    <m/>
    <m/>
    <m/>
    <m/>
    <m/>
  </r>
  <r>
    <s v="PIVET-VELIN"/>
    <x v="1"/>
    <x v="1"/>
    <x v="3"/>
    <s v="PRLC 0147"/>
    <s v="YFR"/>
    <s v="SAR"/>
    <s v="Tvx"/>
    <m/>
    <m/>
    <m/>
    <s v="Pivet-Velin"/>
    <s v="AUBERT"/>
    <d v="2013-12-11T00:00:00"/>
    <n v="5146"/>
    <n v="1069200"/>
    <n v="1069200"/>
    <n v="19800"/>
    <n v="207.77302759424796"/>
    <n v="207.77302759424796"/>
    <n v="226.47840067104713"/>
    <n v="19800"/>
    <n v="95.296296296296291"/>
    <n v="2205.9499999999998"/>
    <n v="0.91740769529731825"/>
    <s v="UA"/>
    <n v="570"/>
    <n v="0.15"/>
    <s v="LLS"/>
    <n v="54"/>
    <n v="54"/>
    <m/>
    <n v="4668.4799999999996"/>
    <n v="4720.9799999999996"/>
    <n v="87.425555555555547"/>
    <m/>
    <m/>
    <m/>
    <m/>
    <m/>
    <m/>
    <n v="0"/>
    <n v="0"/>
    <s v="4/5"/>
    <m/>
    <s v="A"/>
    <s v="ok"/>
    <s v="oui"/>
    <d v="2012-10-18T00:00:00"/>
    <d v="2012-11-20T00:00:00"/>
    <m/>
    <s v="SO"/>
    <m/>
    <m/>
    <m/>
    <m/>
    <d v="2013-07-02T00:00:00"/>
    <d v="2013-08-12T00:00:00"/>
    <d v="2013-09-12T00:00:00"/>
    <d v="2013-10-14T00:00:00"/>
    <d v="2013-12-13T00:00:00"/>
    <m/>
    <s v="ok"/>
    <m/>
    <m/>
    <s v="INGEPAR"/>
    <s v="Oui"/>
    <m/>
    <s v="Oui"/>
    <s v="Oui"/>
    <s v="LS 74"/>
    <m/>
    <d v="2013-07-11T00:00:00"/>
    <m/>
    <m/>
    <s v="ok"/>
    <d v="2013-08-12T00:00:00"/>
    <d v="2013-08-22T00:00:00"/>
    <m/>
    <d v="2013-10-03T00:00:00"/>
    <d v="2013-10-29T00:00:00"/>
    <d v="2014-01-29T00:00:00"/>
    <m/>
    <d v="2014-01-20T00:00:00"/>
    <d v="2016-01-20T00:00:00"/>
    <d v="2017-01-20T00:00:00"/>
    <s v="oui"/>
    <m/>
    <s v="CR + CASUD = 19/12/13_x000a_CG = 15/01/14_x000a_Commune = 15/01/14"/>
    <d v="2013-11-05T00:00:00"/>
    <d v="2013-12-11T00:00:00"/>
    <d v="2014-01-14T00:00:00"/>
    <m/>
    <d v="2013-11-06T00:00:00"/>
    <d v="2013-12-10T00:00:00"/>
    <d v="2014-01-09T00:00:00"/>
    <m/>
    <s v="25/10/13 + 05/11/13"/>
    <d v="2013-12-06T00:00:00"/>
    <d v="2013-12-16T00:00:00"/>
    <m/>
    <d v="2013-11-05T00:00:00"/>
    <d v="2013-11-26T00:00:00"/>
    <d v="2013-12-18T00:00:00"/>
    <m/>
    <s v="QUINOT"/>
    <n v="217473"/>
    <n v="130483.8"/>
    <s v="CR ok"/>
    <s v="31/10/2013_x000a_transmission modif 28/11/13_x000a_retour 04/12/13"/>
    <s v="14/11/2013_x000a_retour DS 21/11/13_x000a_2e 10/12/13_x000a__x000a_"/>
    <m/>
    <s v="25/11/2013_x000a_retour INGEPAR 28/11/13_x000a_2e 10/12/13"/>
    <m/>
    <s v="ok"/>
    <m/>
    <m/>
    <d v="2013-12-13T00:00:00"/>
    <s v="ok"/>
    <m/>
    <d v="2013-12-18T00:00:00"/>
    <m/>
    <m/>
    <n v="9174750.6199999992"/>
    <d v="2015-06-18T00:00:00"/>
    <s v="10/06/2015_x000a_reste bât A"/>
    <m/>
    <m/>
    <s v="ok"/>
    <d v="2015-08-20T00:00:00"/>
    <d v="2014-05-05T00:00:00"/>
    <d v="2014-09-05T00:00:00"/>
    <n v="15"/>
    <n v="17"/>
    <n v="38"/>
    <n v="40"/>
    <n v="23"/>
    <n v="23"/>
    <n v="30520.815629938501"/>
    <n v="701978.75948858552"/>
    <d v="2016-06-06T00:00:00"/>
    <d v="2016-09-05T00:00:00"/>
    <m/>
    <d v="2017-07-28T00:00:00"/>
    <e v="#VALUE!"/>
    <m/>
    <m/>
    <m/>
    <m/>
    <m/>
    <d v="2017-08-28T00:00:00"/>
    <d v="2017-09-28T00:00:00"/>
    <s v="à faire"/>
    <s v="Attention à DYELL_x000a__x000a_"/>
    <s v="lot menuiseries extérieures : APOI par Sorémir_x000a_lot charpente : Sorlier par (en cours)_x000a_soit 2 sur 17 lots = 12 %"/>
    <m/>
    <m/>
    <m/>
    <m/>
    <m/>
    <m/>
    <m/>
    <m/>
    <m/>
    <m/>
    <m/>
    <m/>
    <m/>
    <m/>
    <m/>
    <m/>
    <s v="oui"/>
    <n v="9674796"/>
    <n v="9781798"/>
    <n v="107002"/>
    <n v="2095.2854033861131"/>
    <n v="181144.40740740742"/>
    <n v="8367242"/>
    <n v="8644229"/>
    <n v="276987"/>
    <n v="0.88301128850675492"/>
    <m/>
    <n v="3120981"/>
    <n v="3287400"/>
    <n v="60877.777777777781"/>
    <n v="166419"/>
    <n v="5978090"/>
    <n v="5918673"/>
    <n v="1256197"/>
    <n v="4662476"/>
    <n v="-59417"/>
    <n v="109605.05555555556"/>
    <m/>
    <n v="1"/>
    <n v="1"/>
    <m/>
    <n v="1.0223069419343969E-7"/>
    <m/>
    <n v="0"/>
    <n v="0"/>
    <n v="1.8518518518518517E-2"/>
    <m/>
    <n v="0"/>
    <m/>
    <m/>
    <m/>
    <m/>
    <n v="60877.796296296299"/>
    <n v="0"/>
    <n v="60877.796296296299"/>
    <n v="0.33607328632220784"/>
    <m/>
    <m/>
    <n v="575724"/>
    <n v="9781798"/>
    <n v="455729"/>
    <m/>
    <d v="2012-10-25T00:00:00"/>
    <n v="42868"/>
    <m/>
    <d v="1900-01-20T00:00:00"/>
    <d v="2012-10-15T00:00:00"/>
    <n v="41176"/>
    <m/>
    <s v="0"/>
    <n v="-30"/>
    <s v="0"/>
    <m/>
    <s v="0"/>
    <m/>
    <m/>
    <s v="0"/>
    <m/>
    <s v="0"/>
    <n v="-30"/>
    <s v="0"/>
    <m/>
    <m/>
    <d v="2013-02-08T00:00:00"/>
    <d v="2013-02-27T00:00:00"/>
    <d v="2013-02-27T00:00:00"/>
    <n v="44712"/>
    <d v="2013-03-18T00:00:00"/>
    <s v="0"/>
    <d v="2013-04-17T00:00:00"/>
    <d v="2013-04-03T00:00:00"/>
    <n v="-14"/>
    <d v="2013-05-02T00:00:00"/>
    <n v="29"/>
    <n v="-1"/>
    <n v="45"/>
    <d v="2013-05-02T00:00:00"/>
    <n v="65685"/>
    <d v="2013-05-02T00:00:00"/>
    <n v="0"/>
    <d v="2013-06-01T00:00:00"/>
    <d v="2013-06-01T00:00:00"/>
    <n v="0"/>
    <d v="2013-09-02T00:00:00"/>
    <n v="93"/>
    <n v="63"/>
    <n v="123"/>
    <d v="2013-09-30T00:00:00"/>
    <n v="65685"/>
    <d v="2013-09-02T00:00:00"/>
    <n v="0"/>
    <d v="2013-09-17T00:00:00"/>
    <d v="2013-09-27T00:00:00"/>
    <n v="10"/>
    <d v="2013-10-12T00:00:00"/>
    <d v="2013-10-04T00:00:00"/>
    <n v="-8"/>
    <n v="32"/>
    <d v="2013-12-12T00:00:00"/>
    <n v="69"/>
    <n v="9"/>
    <n v="9.6999999999999993"/>
    <n v="-3.7666666666666657"/>
    <m/>
    <m/>
    <m/>
    <m/>
    <m/>
    <m/>
    <m/>
    <m/>
  </r>
  <r>
    <s v="Tamariniers LLS"/>
    <x v="3"/>
    <x v="2"/>
    <x v="3"/>
    <s v="PRLC 0113"/>
    <s v="FBR"/>
    <s v="RTA"/>
    <s v="Tvx"/>
    <m/>
    <s v="CX 671 / 1141"/>
    <s v="DA finalisé pour CY 1351_x000a_DA en cours pour détachement des 5 lots_x000a_attente tableau des ventes de FBR_x000a_Commune a proposé SICA_x000a_Rétrocession du chemin de l'amitié à faire_x000a_transmettre plan des EV à la Commune_x000a_==&gt; relancer RO"/>
    <s v="EPFR"/>
    <s v="POPINEAU"/>
    <m/>
    <n v="18523"/>
    <n v="492000"/>
    <n v="699015"/>
    <n v="13297.297297297297"/>
    <n v="26.56157209955191"/>
    <n v="37.737677482049342"/>
    <n v="189.87388190043652"/>
    <n v="11459.262295081968"/>
    <n v="303.65573770491801"/>
    <m/>
    <n v="0.19875128218971008"/>
    <s v="Aub"/>
    <m/>
    <m/>
    <s v="LLS"/>
    <n v="37"/>
    <n v="37"/>
    <m/>
    <n v="3305.14"/>
    <n v="3681.47"/>
    <n v="99.499189189189181"/>
    <m/>
    <m/>
    <m/>
    <m/>
    <m/>
    <n v="3236"/>
    <m/>
    <n v="0"/>
    <n v="3.5"/>
    <n v="6"/>
    <s v="B"/>
    <s v="ok"/>
    <s v="oui"/>
    <d v="2013-01-31T00:00:00"/>
    <d v="2012-09-18T00:00:00"/>
    <d v="2012-02-24T00:00:00"/>
    <s v="SO"/>
    <m/>
    <m/>
    <m/>
    <m/>
    <d v="2013-04-26T00:00:00"/>
    <d v="2014-04-01T00:00:00"/>
    <d v="2014-05-05T00:00:00"/>
    <m/>
    <d v="2013-12-13T00:00:00"/>
    <m/>
    <d v="2013-10-22T00:00:00"/>
    <s v="ok"/>
    <s v="ok"/>
    <s v="OFOI"/>
    <s v="Oui"/>
    <m/>
    <s v="Oui"/>
    <s v="Oui"/>
    <s v="DOMBEYA 3"/>
    <m/>
    <d v="2013-08-07T00:00:00"/>
    <m/>
    <m/>
    <s v="oui"/>
    <d v="2013-09-20T00:00:00"/>
    <d v="2013-09-26T00:00:00"/>
    <m/>
    <d v="2013-10-02T00:00:00"/>
    <d v="2013-10-29T00:00:00"/>
    <d v="2014-01-29T00:00:00"/>
    <m/>
    <d v="2014-01-20T00:00:00"/>
    <d v="2016-01-20T00:00:00"/>
    <d v="2017-01-20T00:00:00"/>
    <s v="oui"/>
    <m/>
    <d v="2014-01-13T00:00:00"/>
    <s v="SO"/>
    <s v="SO"/>
    <s v="SO"/>
    <m/>
    <d v="2013-11-06T00:00:00"/>
    <d v="2013-12-16T00:00:00"/>
    <d v="2013-12-23T00:00:00"/>
    <m/>
    <s v="SO"/>
    <s v="SO"/>
    <s v="SO"/>
    <m/>
    <s v="SO"/>
    <s v="SO"/>
    <s v="SO"/>
    <m/>
    <s v="MAREL"/>
    <n v="307120"/>
    <n v="184272"/>
    <s v="CR ok"/>
    <d v="2013-11-15T00:00:00"/>
    <s v="18/11/2013_x000a_retour DS 19/11/13"/>
    <m/>
    <m/>
    <d v="2013-12-04T00:00:00"/>
    <s v="ok"/>
    <m/>
    <m/>
    <d v="2013-12-13T00:00:00"/>
    <s v="ok"/>
    <m/>
    <d v="2013-12-27T00:00:00"/>
    <m/>
    <m/>
    <n v="13276941.869999999"/>
    <d v="2015-06-27T00:00:00"/>
    <d v="2015-06-04T00:00:00"/>
    <m/>
    <s v="ok"/>
    <s v="ok"/>
    <d v="2015-06-23T00:00:00"/>
    <d v="2014-06-11T00:00:00"/>
    <d v="2014-09-16T00:00:00"/>
    <n v="24"/>
    <n v="26"/>
    <n v="27"/>
    <n v="29"/>
    <n v="3"/>
    <n v="3"/>
    <n v="23136.729423819084"/>
    <n v="69410.188271457257"/>
    <d v="2016-06-17T00:00:00"/>
    <m/>
    <m/>
    <d v="2016-10-01T00:00:00"/>
    <d v="2016-12-31T00:00:00"/>
    <s v="reçu 15/12/16"/>
    <m/>
    <m/>
    <d v="2016-12-22T00:00:00"/>
    <d v="2017-01-09T00:00:00"/>
    <d v="2016-11-18T00:00:00"/>
    <d v="2016-11-30T00:00:00"/>
    <d v="2016-10-27T00:00:00"/>
    <s v="état des lieux avant le 21/11/16"/>
    <s v="Lot élec : Eneris par Espace Soleil_x000a_Soit 1 sur 15"/>
    <s v="réserves à lever"/>
    <s v="à notifier semaine du 20/02/17"/>
    <s v="en cours"/>
    <s v="non conformités à lever"/>
    <s v="à faire"/>
    <m/>
    <d v="2017-03-01T00:00:00"/>
    <m/>
    <m/>
    <m/>
    <m/>
    <d v="2017-03-01T00:00:00"/>
    <m/>
    <s v="dde GL 20/01/17"/>
    <m/>
    <m/>
    <s v="oui"/>
    <n v="6473750"/>
    <n v="7164331"/>
    <n v="690581"/>
    <n v="2167.6331411074871"/>
    <n v="193630.56756756757"/>
    <n v="5795250"/>
    <n v="6458898"/>
    <n v="663648"/>
    <n v="0.91399115659393693"/>
    <m/>
    <n v="2155832"/>
    <n v="2453735"/>
    <n v="66317.16216216216"/>
    <n v="297903"/>
    <n v="4291546"/>
    <n v="4684224"/>
    <n v="641413"/>
    <n v="4042811"/>
    <n v="392678"/>
    <n v="126600.64864864865"/>
    <m/>
    <n v="1"/>
    <n v="1"/>
    <m/>
    <n v="1.3958037393861339E-7"/>
    <m/>
    <n v="0"/>
    <n v="0"/>
    <n v="2.7027027027027029E-2"/>
    <m/>
    <n v="0"/>
    <m/>
    <m/>
    <n v="2196102.662575"/>
    <n v="1303101.6922500001"/>
    <n v="101536.15384459461"/>
    <n v="0"/>
    <n v="101536.15384459461"/>
    <n v="0.41871366900662704"/>
    <n v="388102.52"/>
    <m/>
    <n v="26371"/>
    <n v="9360433.662574999"/>
    <n v="657747"/>
    <m/>
    <d v="2012-02-06T00:00:00"/>
    <n v="42492"/>
    <m/>
    <m/>
    <m/>
    <s v="0"/>
    <m/>
    <s v="0"/>
    <n v="-30"/>
    <s v="0"/>
    <m/>
    <s v="0"/>
    <m/>
    <d v="2012-11-27T00:00:00"/>
    <s v="0"/>
    <d v="2012-12-24T00:00:00"/>
    <n v="27"/>
    <n v="-3"/>
    <s v="0"/>
    <m/>
    <m/>
    <m/>
    <d v="2012-12-24T00:00:00"/>
    <d v="2013-05-13T00:00:00"/>
    <n v="121749"/>
    <d v="2013-02-19T00:00:00"/>
    <n v="57"/>
    <d v="2013-03-21T00:00:00"/>
    <d v="2013-05-14T00:00:00"/>
    <n v="54"/>
    <d v="2013-07-04T00:00:00"/>
    <n v="51"/>
    <n v="21"/>
    <n v="135"/>
    <d v="2013-07-30T00:00:00"/>
    <n v="65696"/>
    <d v="2013-07-04T00:00:00"/>
    <n v="0"/>
    <d v="2013-08-03T00:00:00"/>
    <d v="2013-08-22T00:00:00"/>
    <n v="19"/>
    <d v="2013-09-24T00:00:00"/>
    <n v="33"/>
    <n v="3"/>
    <n v="82"/>
    <d v="2013-10-23T00:00:00"/>
    <n v="98544"/>
    <d v="2013-07-04T00:00:00"/>
    <n v="-82"/>
    <d v="2013-07-19T00:00:00"/>
    <d v="2013-08-22T00:00:00"/>
    <n v="34"/>
    <d v="2013-09-06T00:00:00"/>
    <d v="2013-09-24T00:00:00"/>
    <n v="18"/>
    <n v="82"/>
    <d v="2013-11-22T00:00:00"/>
    <n v="59"/>
    <n v="-1"/>
    <n v="9.6999999999999993"/>
    <n v="-2.1666666666666661"/>
    <m/>
    <m/>
    <m/>
    <m/>
    <m/>
    <m/>
    <m/>
    <m/>
  </r>
  <r>
    <s v="Tamariniers LLTS"/>
    <x v="3"/>
    <x v="2"/>
    <x v="3"/>
    <s v="PRLC 0113"/>
    <s v="FBR"/>
    <s v="RTA"/>
    <s v="Tvx"/>
    <m/>
    <s v="CX 671 / 1141"/>
    <s v="DA finalisé pour CY 1351_x000a_DA en cours pour détachement des 5 lots_x000a_attente tableau des ventes de FBR_x000a_Commune a proposé SICA_x000a_Rétrocession du chemin de l'amitié à faire"/>
    <s v="EPFR"/>
    <s v="POPINEAU"/>
    <m/>
    <m/>
    <m/>
    <m/>
    <m/>
    <m/>
    <m/>
    <m/>
    <m/>
    <m/>
    <m/>
    <m/>
    <m/>
    <m/>
    <m/>
    <s v="LLTS"/>
    <n v="44"/>
    <m/>
    <n v="44"/>
    <n v="3272.11"/>
    <n v="3318.11"/>
    <n v="75.411590909090918"/>
    <m/>
    <m/>
    <m/>
    <m/>
    <m/>
    <m/>
    <m/>
    <e v="#DIV/0!"/>
    <n v="3.5"/>
    <n v="6"/>
    <s v="B"/>
    <s v="ok"/>
    <s v="oui"/>
    <d v="2013-01-31T00:00:00"/>
    <d v="2012-09-18T00:00:00"/>
    <d v="2012-02-24T00:00:00"/>
    <s v="SO"/>
    <m/>
    <m/>
    <m/>
    <m/>
    <d v="2013-04-26T00:00:00"/>
    <d v="2014-04-01T00:00:00"/>
    <d v="2014-05-05T00:00:00"/>
    <m/>
    <d v="2013-12-13T00:00:00"/>
    <m/>
    <d v="2013-10-22T00:00:00"/>
    <s v="ok"/>
    <s v="ok"/>
    <s v="OFOI"/>
    <s v="Oui"/>
    <m/>
    <s v="Oui"/>
    <s v="Oui"/>
    <s v="DOMBEYA 3"/>
    <n v="220000"/>
    <d v="2013-07-10T00:00:00"/>
    <m/>
    <m/>
    <s v="oui"/>
    <d v="2013-09-20T00:00:00"/>
    <d v="2013-09-26T00:00:00"/>
    <m/>
    <d v="2013-10-02T00:00:00"/>
    <d v="2013-11-05T00:00:00"/>
    <d v="2014-02-05T00:00:00"/>
    <m/>
    <d v="2014-01-20T00:00:00"/>
    <d v="2016-01-20T00:00:00"/>
    <d v="2017-01-20T00:00:00"/>
    <s v="oui"/>
    <m/>
    <d v="2014-01-20T00:00:00"/>
    <s v="SO"/>
    <s v="SO"/>
    <s v="SO"/>
    <m/>
    <s v="SO"/>
    <s v="SO"/>
    <s v="SO"/>
    <m/>
    <s v="04/11/13 + 06/11/13"/>
    <d v="2013-12-16T00:00:00"/>
    <d v="2014-01-15T00:00:00"/>
    <m/>
    <s v="SO"/>
    <s v="SO"/>
    <s v="SO"/>
    <m/>
    <m/>
    <m/>
    <n v="0"/>
    <s v="CR ok"/>
    <d v="2013-11-15T00:00:00"/>
    <s v="18/11/2013_x000a_retour DS 19/11/13"/>
    <m/>
    <m/>
    <d v="2013-12-04T00:00:00"/>
    <s v="ok"/>
    <m/>
    <m/>
    <d v="2013-12-13T00:00:00"/>
    <s v="ok"/>
    <m/>
    <d v="2013-12-27T00:00:00"/>
    <m/>
    <m/>
    <n v="13276941.869999999"/>
    <d v="2015-06-27T00:00:00"/>
    <d v="2015-06-04T00:00:00"/>
    <m/>
    <s v="ok"/>
    <s v="ok"/>
    <d v="2015-06-23T00:00:00"/>
    <d v="2014-06-11T00:00:00"/>
    <d v="2014-09-16T00:00:00"/>
    <n v="24"/>
    <n v="26"/>
    <n v="27"/>
    <n v="29"/>
    <n v="3"/>
    <n v="3"/>
    <n v="17948.329338702748"/>
    <n v="53844.98801610824"/>
    <d v="2016-06-17T00:00:00"/>
    <m/>
    <m/>
    <d v="2016-10-01T00:00:00"/>
    <d v="2016-12-31T00:00:00"/>
    <s v="reçu 15/12/16"/>
    <m/>
    <m/>
    <d v="2016-12-22T00:00:00"/>
    <d v="2017-01-09T00:00:00"/>
    <d v="2016-11-18T00:00:00"/>
    <d v="2016-11-30T00:00:00"/>
    <d v="2016-10-27T00:00:00"/>
    <s v="état des lieux avant le 21/11/16"/>
    <s v="Lot élec : Eneris par Espace Soleil_x000a_Soit 1 sur 15"/>
    <s v="réserves à lever"/>
    <s v="à notifier semaine du 20/02/17"/>
    <s v="en cours"/>
    <s v="non conformités à lever"/>
    <s v="à faire"/>
    <m/>
    <d v="2017-03-01T00:00:00"/>
    <m/>
    <m/>
    <m/>
    <m/>
    <d v="2017-03-01T00:00:00"/>
    <m/>
    <s v="dde GL 20/01/17"/>
    <m/>
    <m/>
    <s v="oui"/>
    <n v="6402537"/>
    <n v="6464079"/>
    <n v="61542"/>
    <n v="1975.5078527311123"/>
    <n v="146910.88636363635"/>
    <n v="5737343"/>
    <n v="5833192"/>
    <n v="95849"/>
    <n v="0.91492281934489406"/>
    <m/>
    <n v="1799492"/>
    <n v="1905132"/>
    <n v="43298.454545454544"/>
    <n v="105640"/>
    <n v="3703045"/>
    <n v="3678947"/>
    <n v="473086"/>
    <n v="3205861"/>
    <n v="-24098"/>
    <n v="83612.431818181823"/>
    <m/>
    <n v="900000"/>
    <n v="880000"/>
    <m/>
    <n v="0.13613695005893336"/>
    <m/>
    <n v="0"/>
    <n v="-20000"/>
    <n v="20000"/>
    <m/>
    <n v="-454.54545454545456"/>
    <m/>
    <m/>
    <n v="0"/>
    <n v="0"/>
    <n v="63298.454545454544"/>
    <n v="0"/>
    <n v="63298.454545454544"/>
    <n v="0.45371634850544579"/>
    <n v="325591.79499999998"/>
    <m/>
    <n v="0"/>
    <n v="6464079"/>
    <m/>
    <m/>
    <m/>
    <m/>
    <m/>
    <d v="1900-01-20T00:00:00"/>
    <m/>
    <s v="0"/>
    <m/>
    <s v="0"/>
    <m/>
    <s v="0"/>
    <m/>
    <s v="0"/>
    <m/>
    <m/>
    <s v="0"/>
    <m/>
    <s v="0"/>
    <m/>
    <s v="0"/>
    <m/>
    <m/>
    <m/>
    <m/>
    <m/>
    <m/>
    <m/>
    <s v="0"/>
    <m/>
    <m/>
    <s v="0"/>
    <m/>
    <s v="0"/>
    <n v="-30"/>
    <s v="0"/>
    <m/>
    <m/>
    <m/>
    <s v="0"/>
    <m/>
    <m/>
    <s v="0"/>
    <m/>
    <s v="0"/>
    <m/>
    <s v="0"/>
    <m/>
    <m/>
    <m/>
    <s v="0"/>
    <m/>
    <m/>
    <s v="0"/>
    <m/>
    <m/>
    <s v="0"/>
    <s v="0"/>
    <m/>
    <s v="0"/>
    <m/>
    <n v="9.6999999999999993"/>
    <n v="-9.6999999999999993"/>
    <m/>
    <m/>
    <m/>
    <m/>
    <m/>
    <m/>
    <m/>
    <m/>
  </r>
  <r>
    <s v="Takamaka"/>
    <x v="7"/>
    <x v="1"/>
    <x v="3"/>
    <s v="PRLC 0093"/>
    <s v="FHO"/>
    <s v="RTA"/>
    <s v="clôture défisc"/>
    <m/>
    <m/>
    <s v="lots à vendre : CA EPFR début 2017_x000a_LES : mise en demeure adressée à l'acquéreur faute de quoi classement du dossier"/>
    <s v="SODEGIS"/>
    <s v="Dubois"/>
    <s v="ok"/>
    <n v="4625"/>
    <n v="215000"/>
    <n v="104244"/>
    <n v="15357.142857142857"/>
    <n v="46.486486486486484"/>
    <n v="22.539243243243245"/>
    <n v="91.472596128534079"/>
    <n v="7446"/>
    <n v="330.35714285714283"/>
    <n v="1148.97"/>
    <n v="0.2464043243243243"/>
    <s v="UCa"/>
    <m/>
    <m/>
    <s v="LLTS"/>
    <n v="14"/>
    <m/>
    <n v="14"/>
    <n v="1044.56"/>
    <n v="1139.6199999999999"/>
    <n v="81.401428571428568"/>
    <m/>
    <m/>
    <m/>
    <m/>
    <m/>
    <m/>
    <n v="551.16"/>
    <n v="0.11916972972972972"/>
    <n v="1.5"/>
    <n v="2"/>
    <s v="B"/>
    <s v="ok"/>
    <s v="non"/>
    <d v="2012-10-18T00:00:00"/>
    <d v="2012-11-20T00:00:00"/>
    <d v="2012-02-24T00:00:00"/>
    <m/>
    <m/>
    <m/>
    <m/>
    <m/>
    <d v="2013-09-06T00:00:00"/>
    <d v="2013-10-11T00:00:00"/>
    <d v="2013-11-12T00:00:00"/>
    <d v="2013-12-11T00:00:00"/>
    <d v="2013-12-13T00:00:00"/>
    <m/>
    <s v="ok"/>
    <s v="ok"/>
    <m/>
    <s v="OFOI"/>
    <s v="Oui"/>
    <m/>
    <s v="Oui"/>
    <s v="Oui"/>
    <s v="LOGIS 4"/>
    <m/>
    <d v="2013-08-29T00:00:00"/>
    <m/>
    <m/>
    <s v="oui"/>
    <d v="2013-09-18T00:00:00"/>
    <d v="2013-09-27T00:00:00"/>
    <m/>
    <d v="2013-10-02T00:00:00"/>
    <d v="2013-10-28T00:00:00"/>
    <d v="2014-01-28T00:00:00"/>
    <m/>
    <d v="2014-01-20T00:00:00"/>
    <d v="2016-01-20T00:00:00"/>
    <d v="2017-01-20T00:00:00"/>
    <s v="non"/>
    <m/>
    <s v="CR + CASUD = 19/12/13_x000a_CG = 15/01/14_x000a_CM = OK - mank attest° affichage_x000a_"/>
    <d v="2013-11-05T00:00:00"/>
    <d v="2013-12-11T00:00:00"/>
    <d v="2014-01-14T00:00:00"/>
    <m/>
    <d v="2013-11-06T00:00:00"/>
    <d v="2013-12-19T00:00:00"/>
    <s v="ok_x000a_manque attestation affichage en Mairie"/>
    <m/>
    <s v="25/10/13 + 05/11/13"/>
    <d v="2013-12-06T00:00:00"/>
    <d v="2013-12-16T00:00:00"/>
    <m/>
    <d v="2013-11-05T00:00:00"/>
    <d v="2013-11-26T00:00:00"/>
    <d v="2013-12-18T00:00:00"/>
    <m/>
    <s v="BARET/GILLOT"/>
    <n v="67368"/>
    <n v="40420.800000000003"/>
    <d v="2013-11-25T00:00:00"/>
    <s v="06/12/2013_x000a_retour 11/12/13"/>
    <s v="09/12/2013_x000a_transmiss° modif 11/12/13"/>
    <m/>
    <s v="09/12/2013_x000a_transmiss° modif 11/12/13"/>
    <d v="2013-12-05T00:00:00"/>
    <s v="ok"/>
    <m/>
    <m/>
    <d v="2013-12-13T00:00:00"/>
    <s v="ok"/>
    <m/>
    <d v="2013-12-17T00:00:00"/>
    <m/>
    <m/>
    <n v="2345333.9"/>
    <d v="2015-06-17T00:00:00"/>
    <m/>
    <m/>
    <s v="ok"/>
    <d v="2014-10-07T00:00:00"/>
    <d v="2015-04-21T00:00:00"/>
    <d v="2014-07-28T00:00:00"/>
    <m/>
    <n v="14"/>
    <n v="16"/>
    <n v="14"/>
    <n v="15"/>
    <n v="0"/>
    <n v="-1"/>
    <n v="6119.4046697304175"/>
    <n v="0"/>
    <s v="ok"/>
    <s v="ok"/>
    <d v="2015-09-08T00:00:00"/>
    <d v="2015-09-29T00:00:00"/>
    <m/>
    <d v="2016-01-11T00:00:00"/>
    <d v="2015-10-16T00:00:00"/>
    <m/>
    <d v="2015-11-25T00:00:00"/>
    <d v="2016-06-09T00:00:00"/>
    <d v="2015-10-26T00:00:00"/>
    <d v="2015-11-05T00:00:00"/>
    <m/>
    <m/>
    <s v="Lot Cloison : PRE par DROZ_x000a_ soit 1 sur 15"/>
    <d v="2016-12-21T00:00:00"/>
    <s v="en cours"/>
    <s v="ok"/>
    <d v="2016-07-04T00:00:00"/>
    <s v="à faire"/>
    <d v="2016-10-17T00:00:00"/>
    <d v="2015-11-16T00:00:00"/>
    <d v="2016-02-02T00:00:00"/>
    <m/>
    <m/>
    <m/>
    <s v="05/10/2016_x000a_28/02/17"/>
    <s v="1e envoi 05/09/16_x000a_"/>
    <m/>
    <m/>
    <m/>
    <s v="oui"/>
    <n v="2396286"/>
    <n v="2426620.5"/>
    <n v="30334.5"/>
    <n v="2323.1030290265758"/>
    <n v="173330.03571428571"/>
    <n v="2112298"/>
    <n v="2153147"/>
    <n v="40849"/>
    <n v="0.89999952342917333"/>
    <m/>
    <n v="601367"/>
    <n v="642565"/>
    <n v="45897.5"/>
    <n v="41198"/>
    <n v="1294919"/>
    <n v="1260196"/>
    <n v="284216"/>
    <n v="975980"/>
    <n v="-34723"/>
    <n v="90014"/>
    <m/>
    <n v="500000"/>
    <n v="500000"/>
    <m/>
    <n v="0.2060478760481913"/>
    <m/>
    <n v="0"/>
    <n v="0"/>
    <n v="35714.285714285717"/>
    <m/>
    <n v="0"/>
    <m/>
    <m/>
    <n v="461213.14905750001"/>
    <n v="238500"/>
    <n v="98647.5"/>
    <n v="0"/>
    <n v="98647.5"/>
    <n v="0.49653583254414735"/>
    <n v="106433.17505000001"/>
    <m/>
    <n v="23859.5"/>
    <n v="2887833.6490575001"/>
    <n v="118584"/>
    <m/>
    <d v="2009-12-14T00:00:00"/>
    <n v="7820"/>
    <d v="2012-08-27T00:00:00"/>
    <d v="2012-09-17T00:00:00"/>
    <d v="2012-09-17T00:00:00"/>
    <n v="0"/>
    <d v="2012-12-03T00:00:00"/>
    <n v="77"/>
    <n v="47"/>
    <n v="98"/>
    <d v="2012-12-03T00:00:00"/>
    <n v="0"/>
    <d v="2012-12-24T00:00:00"/>
    <d v="2013-02-08T00:00:00"/>
    <n v="46"/>
    <d v="2013-02-11T00:00:00"/>
    <n v="3"/>
    <n v="-27"/>
    <n v="70"/>
    <d v="2012-12-24T00:00:00"/>
    <n v="3939"/>
    <d v="2013-05-07T00:00:00"/>
    <m/>
    <d v="2013-02-08T00:00:00"/>
    <n v="17030"/>
    <d v="2013-02-11T00:00:00"/>
    <n v="0"/>
    <d v="2013-03-13T00:00:00"/>
    <d v="2013-03-21T00:00:00"/>
    <n v="8"/>
    <d v="2013-04-30T00:00:00"/>
    <n v="40"/>
    <n v="10"/>
    <n v="78"/>
    <d v="1932-06-11T00:00:00"/>
    <n v="11851"/>
    <d v="2013-06-13T00:00:00"/>
    <n v="44"/>
    <d v="2013-07-13T00:00:00"/>
    <d v="2013-08-05T00:00:00"/>
    <n v="23"/>
    <d v="2013-09-02T00:00:00"/>
    <n v="28"/>
    <n v="-2"/>
    <n v="81"/>
    <d v="2013-09-30T00:00:00"/>
    <n v="17729"/>
    <d v="2013-09-02T00:00:00"/>
    <n v="0"/>
    <d v="2013-09-17T00:00:00"/>
    <d v="2013-09-19T00:00:00"/>
    <n v="2"/>
    <d v="2013-10-04T00:00:00"/>
    <d v="2013-09-25T00:00:00"/>
    <n v="-9"/>
    <n v="23"/>
    <d v="2013-11-22T00:00:00"/>
    <n v="58"/>
    <n v="-2"/>
    <n v="9.6999999999999993"/>
    <n v="2.7333333333333343"/>
    <m/>
    <m/>
    <m/>
    <m/>
    <m/>
    <m/>
    <m/>
    <m/>
  </r>
  <r>
    <s v="FANFAN"/>
    <x v="8"/>
    <x v="2"/>
    <x v="3"/>
    <s v="PRLC 0149"/>
    <s v="FVA"/>
    <s v="DBE"/>
    <s v="Tvx"/>
    <m/>
    <m/>
    <s v=" servitude EP OK / échange de lot à faire_x000a_DA  en cours pour les lots_x000a_manque les pièces PA"/>
    <s v="EPFR"/>
    <s v="Dubois"/>
    <d v="2013-12-11T00:00:00"/>
    <n v="15520"/>
    <n v="130195"/>
    <n v="184575"/>
    <n v="5424.791666666667"/>
    <n v="8.3888530927835046"/>
    <n v="11.892719072164949"/>
    <n v="100.20684712857096"/>
    <n v="7690.625"/>
    <n v="646.66666666666663"/>
    <m/>
    <n v="0.11868170103092784"/>
    <s v="NAU"/>
    <n v="790"/>
    <m/>
    <s v="LLTS"/>
    <n v="24"/>
    <m/>
    <n v="24"/>
    <n v="1833.06"/>
    <n v="1841.94"/>
    <n v="76.747500000000002"/>
    <m/>
    <m/>
    <m/>
    <m/>
    <m/>
    <m/>
    <m/>
    <n v="0"/>
    <n v="1.5"/>
    <n v="5"/>
    <s v="B"/>
    <s v="ok"/>
    <s v="non"/>
    <d v="2013-01-31T00:00:00"/>
    <m/>
    <m/>
    <s v="SO"/>
    <m/>
    <m/>
    <m/>
    <m/>
    <d v="2013-03-20T00:00:00"/>
    <d v="2013-07-15T00:00:00"/>
    <d v="2013-08-16T00:00:00"/>
    <d v="2013-09-16T00:00:00"/>
    <d v="2013-12-11T00:00:00"/>
    <m/>
    <s v="ok"/>
    <d v="2015-11-10T00:00:00"/>
    <m/>
    <s v="INGEPAR"/>
    <s v="Oui"/>
    <m/>
    <s v="Oui"/>
    <s v="Oui"/>
    <s v="LS 76"/>
    <n v="120000"/>
    <d v="2013-09-19T00:00:00"/>
    <m/>
    <m/>
    <s v="oui"/>
    <d v="2013-10-17T00:00:00"/>
    <d v="2013-10-21T00:00:00"/>
    <m/>
    <d v="2013-10-03T00:00:00"/>
    <d v="2013-11-05T00:00:00"/>
    <d v="2014-02-05T00:00:00"/>
    <m/>
    <d v="2014-01-20T00:00:00"/>
    <d v="2016-01-20T00:00:00"/>
    <d v="2017-01-20T00:00:00"/>
    <s v="oui"/>
    <m/>
    <d v="2014-01-20T00:00:00"/>
    <s v="SO"/>
    <s v="SO"/>
    <s v="SO"/>
    <m/>
    <s v="SO"/>
    <s v="SO"/>
    <s v="SO"/>
    <m/>
    <s v="04/11/13 + 06/11/13"/>
    <d v="2013-12-16T00:00:00"/>
    <d v="2014-01-15T00:00:00"/>
    <m/>
    <s v="SO"/>
    <s v="SO"/>
    <s v="SO"/>
    <m/>
    <s v="BARET/GILLOT"/>
    <n v="85429"/>
    <n v="51257.4"/>
    <s v="29/10/2013 / manque des pièces"/>
    <s v="04/12/2013_x000a_retour 10/12/13"/>
    <s v="05/12/2013_x000a_retour DS 06/12/13"/>
    <m/>
    <s v="05/12/2013_x000a_retour INGEPAR 09/12/13"/>
    <m/>
    <m/>
    <m/>
    <m/>
    <d v="2013-12-11T00:00:00"/>
    <s v="ok"/>
    <m/>
    <d v="2013-12-18T00:00:00"/>
    <m/>
    <m/>
    <n v="3488955.1556799999"/>
    <d v="2015-06-18T00:00:00"/>
    <d v="2015-04-20T00:00:00"/>
    <m/>
    <d v="2014-12-16T00:00:00"/>
    <d v="2014-02-18T00:00:00"/>
    <d v="2015-08-26T00:00:00"/>
    <d v="2014-08-25T00:00:00"/>
    <d v="2014-12-01T00:00:00"/>
    <n v="14"/>
    <n v="16"/>
    <n v="27"/>
    <n v="29"/>
    <n v="13"/>
    <n v="13"/>
    <n v="9655.5641448000006"/>
    <n v="125522.33388240001"/>
    <s v="ok"/>
    <m/>
    <m/>
    <d v="2016-11-30T00:00:00"/>
    <d v="2017-04-20T00:00:00"/>
    <s v="ok"/>
    <m/>
    <m/>
    <d v="2017-02-08T00:00:00"/>
    <m/>
    <s v="ok"/>
    <d v="2017-02-08T00:00:00"/>
    <s v="à relancer"/>
    <m/>
    <s v="Lot VRD_x000a_Lot Men Ext_x000a_Soit 2 lots sur 15 soit 13%"/>
    <s v="réserves à lever"/>
    <s v="attente notification de la réception"/>
    <s v="manque 4 entreprises"/>
    <m/>
    <s v="à faire"/>
    <m/>
    <m/>
    <m/>
    <m/>
    <m/>
    <m/>
    <m/>
    <m/>
    <m/>
    <m/>
    <m/>
    <s v="oui"/>
    <n v="3953193.4015262127"/>
    <n v="3953193.4015262127"/>
    <n v="0"/>
    <n v="2156.6088406960016"/>
    <n v="164716.39173025885"/>
    <n v="3273574"/>
    <n v="3268014"/>
    <n v="-5560"/>
    <n v="0.8454731945848204"/>
    <m/>
    <n v="1046714"/>
    <n v="1042673"/>
    <n v="43444.708333333336"/>
    <n v="-4041"/>
    <n v="2047671"/>
    <n v="2051712"/>
    <n v="255345"/>
    <n v="1796367"/>
    <n v="4041"/>
    <n v="85488"/>
    <m/>
    <n v="480000"/>
    <n v="360000"/>
    <n v="120000"/>
    <n v="9.1065617953580133E-2"/>
    <m/>
    <n v="0"/>
    <n v="-120000"/>
    <n v="15000"/>
    <m/>
    <n v="-5000"/>
    <m/>
    <m/>
    <n v="1244630.4489499999"/>
    <n v="480000"/>
    <n v="78444.708333333328"/>
    <n v="0"/>
    <n v="78444.708333333328"/>
    <n v="0.37583008579772242"/>
    <n v="188451.07500000001"/>
    <m/>
    <n v="378808.40152621281"/>
    <n v="5197823.8504762128"/>
    <n v="172483"/>
    <m/>
    <d v="2012-12-03T00:00:00"/>
    <n v="16144"/>
    <d v="2012-10-18T00:00:00"/>
    <d v="2012-11-08T00:00:00"/>
    <d v="2012-11-29T00:00:00"/>
    <n v="21"/>
    <d v="2012-11-29T00:00:00"/>
    <n v="0"/>
    <n v="-30"/>
    <n v="42"/>
    <d v="2012-10-18T00:00:00"/>
    <n v="-42"/>
    <d v="2012-11-08T00:00:00"/>
    <d v="2012-11-29T00:00:00"/>
    <n v="21"/>
    <d v="2013-01-17T00:00:00"/>
    <n v="49"/>
    <n v="19"/>
    <n v="91"/>
    <d v="2013-01-17T00:00:00"/>
    <m/>
    <d v="2012-12-18T00:00:00"/>
    <d v="2012-12-19T00:00:00"/>
    <d v="2013-01-01T00:00:00"/>
    <n v="24216"/>
    <d v="2013-02-04T00:00:00"/>
    <n v="18"/>
    <d v="2013-03-06T00:00:00"/>
    <d v="2013-03-11T00:00:00"/>
    <n v="5"/>
    <d v="2013-07-29T00:00:00"/>
    <n v="140"/>
    <n v="110"/>
    <n v="175"/>
    <d v="2013-07-29T00:00:00"/>
    <n v="20008"/>
    <d v="2013-08-28T00:00:00"/>
    <n v="30"/>
    <d v="2013-09-27T00:00:00"/>
    <d v="2013-10-14T00:00:00"/>
    <n v="17"/>
    <d v="2013-10-18T00:00:00"/>
    <n v="4"/>
    <n v="-26"/>
    <n v="51"/>
    <d v="2013-11-05T00:00:00"/>
    <n v="25872"/>
    <d v="2013-08-28T00:00:00"/>
    <n v="-51"/>
    <d v="2013-09-27T00:00:00"/>
    <d v="2013-10-14T00:00:00"/>
    <n v="17"/>
    <d v="2013-10-29T00:00:00"/>
    <d v="2013-10-18T00:00:00"/>
    <n v="-11"/>
    <n v="51"/>
    <d v="2014-03-25T00:00:00"/>
    <n v="158"/>
    <n v="98"/>
    <n v="9.6999999999999993"/>
    <n v="1.3333333333333339"/>
    <m/>
    <m/>
    <m/>
    <m/>
    <m/>
    <m/>
    <m/>
    <m/>
  </r>
  <r>
    <s v="Jean MOREL (Amaryllis)"/>
    <x v="1"/>
    <x v="1"/>
    <x v="3"/>
    <s v="PRLC 0109"/>
    <s v="OET"/>
    <s v="VAF"/>
    <s v="GPA"/>
    <m/>
    <m/>
    <m/>
    <s v="Commune"/>
    <s v="LE GOFF"/>
    <m/>
    <n v="2250"/>
    <n v="102507"/>
    <n v="68451"/>
    <n v="11389.666666666666"/>
    <n v="45.558666666666667"/>
    <n v="30.422666666666668"/>
    <n v="96.496842223976543"/>
    <n v="7605.666666666667"/>
    <n v="250"/>
    <m/>
    <n v="0.31527111111111111"/>
    <s v="UC"/>
    <m/>
    <m/>
    <s v="LLTS"/>
    <n v="9"/>
    <m/>
    <n v="9"/>
    <n v="709.36"/>
    <n v="709.36"/>
    <n v="78.817777777777778"/>
    <n v="0"/>
    <n v="0"/>
    <n v="0.44444444444444442"/>
    <n v="0.44444444444444442"/>
    <n v="0.1111111111111111"/>
    <m/>
    <s v="x"/>
    <e v="#VALUE!"/>
    <n v="2"/>
    <n v="1"/>
    <s v="B"/>
    <s v="ok"/>
    <m/>
    <d v="2012-02-06T00:00:00"/>
    <m/>
    <d v="2012-02-24T00:00:00"/>
    <s v="SO"/>
    <m/>
    <m/>
    <m/>
    <m/>
    <d v="2012-05-04T00:00:00"/>
    <m/>
    <m/>
    <m/>
    <d v="2013-12-13T00:00:00"/>
    <s v="ok"/>
    <s v="ok"/>
    <s v="ok"/>
    <s v="SO"/>
    <s v="OFOI"/>
    <s v="Oui"/>
    <m/>
    <s v="Oui"/>
    <s v="Oui"/>
    <s v="LOGIS 4"/>
    <m/>
    <d v="2013-07-31T00:00:00"/>
    <m/>
    <m/>
    <s v="oui"/>
    <d v="2013-08-30T00:00:00"/>
    <d v="2013-09-02T00:00:00"/>
    <m/>
    <d v="2013-10-02T00:00:00"/>
    <d v="2013-10-29T00:00:00"/>
    <d v="2014-01-29T00:00:00"/>
    <m/>
    <d v="2014-01-20T00:00:00"/>
    <d v="2016-01-20T00:00:00"/>
    <d v="2017-01-20T00:00:00"/>
    <s v="oui"/>
    <m/>
    <s v="CR + CASUD = 19/12/13_x000a_CG = 15/01/14_x000a_Commune = 15/01/14"/>
    <d v="2013-11-05T00:00:00"/>
    <d v="2013-12-11T00:00:00"/>
    <d v="2014-01-14T00:00:00"/>
    <m/>
    <d v="2013-11-06T00:00:00"/>
    <d v="2013-12-10T00:00:00"/>
    <d v="2014-01-09T00:00:00"/>
    <m/>
    <s v="25/10/13 + 05/11/13"/>
    <d v="2013-12-06T00:00:00"/>
    <d v="2013-12-16T00:00:00"/>
    <m/>
    <d v="2013-11-05T00:00:00"/>
    <d v="2013-11-26T00:00:00"/>
    <d v="2013-12-18T00:00:00"/>
    <m/>
    <s v="LE GOFF"/>
    <n v="36984"/>
    <n v="22190.400000000001"/>
    <s v="Résa 09/08/13"/>
    <d v="2013-12-09T00:00:00"/>
    <d v="2013-12-10T00:00:00"/>
    <m/>
    <d v="2013-12-10T00:00:00"/>
    <d v="2013-12-03T00:00:00"/>
    <m/>
    <m/>
    <m/>
    <d v="2013-12-13T00:00:00"/>
    <s v="ok"/>
    <m/>
    <d v="2013-12-17T00:00:00"/>
    <m/>
    <m/>
    <n v="1479199.4"/>
    <d v="2015-06-17T00:00:00"/>
    <d v="2015-03-03T00:00:00"/>
    <m/>
    <s v="ok"/>
    <d v="2014-12-04T00:00:00"/>
    <d v="2015-09-23T00:00:00"/>
    <d v="2014-09-18T00:00:00"/>
    <m/>
    <n v="13"/>
    <n v="15"/>
    <n v="17"/>
    <n v="22"/>
    <n v="4"/>
    <n v="7"/>
    <n v="3767.5464229397749"/>
    <n v="15070.185691759099"/>
    <s v="ok"/>
    <s v="18/11/2015_x000a_CR OK"/>
    <s v="ok"/>
    <d v="2016-02-24T00:00:00"/>
    <d v="2017-03-03T00:00:00"/>
    <s v="ok / manque SOREMIR"/>
    <s v="ok"/>
    <s v="ECS 03/03/16_x000a_Fosse 18/03/16_x000a_Inserts 15/04/16"/>
    <d v="2016-07-15T00:00:00"/>
    <d v="2016-08-31T00:00:00"/>
    <d v="2016-07-26T00:00:00"/>
    <d v="2016-07-26T00:00:00"/>
    <m/>
    <m/>
    <s v="Lot Men Ext : APOI_x000a_Lot Metallerie : CSMD par M Metallerie_x000a_Lot Elec : Filea Elec par Mon ti caze Eclaire_x000a_Soit 3 lots sur 14 = 21%_x000a_"/>
    <s v="ok"/>
    <s v="ok"/>
    <s v="ok"/>
    <d v="2017-02-02T00:00:00"/>
    <s v="Envoi papier : 23/12/16 (pièces complémentaires envoyées entre le 30/01 et le 09/02)"/>
    <d v="2017-02-24T00:00:00"/>
    <d v="2016-09-08T00:00:00"/>
    <d v="2016-11-14T00:00:00"/>
    <m/>
    <m/>
    <m/>
    <s v="ok"/>
    <s v="1e partie envoyée à OFOI le 08/02/17"/>
    <s v="dde GL 20/01/17"/>
    <m/>
    <m/>
    <s v="oui"/>
    <n v="1710336.8171843851"/>
    <n v="1708390.8171843851"/>
    <n v="-1946"/>
    <n v="2408.3551612501201"/>
    <n v="189821.20190937613"/>
    <n v="1337540"/>
    <n v="1322857"/>
    <n v="-14683"/>
    <n v="0.79845579319759008"/>
    <m/>
    <n v="424314"/>
    <n v="426409"/>
    <n v="47378.777777777781"/>
    <n v="2095"/>
    <n v="868051"/>
    <n v="864010"/>
    <n v="176535"/>
    <n v="687475"/>
    <n v="-4041"/>
    <n v="96001.111111111109"/>
    <m/>
    <n v="225000"/>
    <n v="225000"/>
    <m/>
    <n v="0.13170288539177738"/>
    <m/>
    <n v="0"/>
    <n v="0"/>
    <n v="25000"/>
    <m/>
    <n v="0"/>
    <m/>
    <m/>
    <n v="270120.19565000001"/>
    <n v="180000"/>
    <n v="92378.777777777781"/>
    <n v="0"/>
    <n v="92378.777777777781"/>
    <n v="0.43533295832276264"/>
    <n v="68687.774999999994"/>
    <m/>
    <n v="192971.81718438509"/>
    <n v="1978511.012834385"/>
    <n v="79167"/>
    <m/>
    <m/>
    <m/>
    <m/>
    <m/>
    <m/>
    <s v="0"/>
    <m/>
    <s v="0"/>
    <n v="-30"/>
    <s v="0"/>
    <m/>
    <s v="0"/>
    <m/>
    <d v="2011-09-27T00:00:00"/>
    <s v="0"/>
    <d v="2012-01-12T00:00:00"/>
    <n v="107"/>
    <n v="77"/>
    <s v="0"/>
    <m/>
    <m/>
    <d v="2012-01-12T00:00:00"/>
    <d v="2012-02-02T00:00:00"/>
    <d v="2012-02-02T00:00:00"/>
    <n v="16481"/>
    <d v="2012-10-01T00:00:00"/>
    <n v="263"/>
    <d v="2012-10-31T00:00:00"/>
    <d v="2012-11-15T00:00:00"/>
    <n v="15"/>
    <d v="2013-04-22T00:00:00"/>
    <n v="158"/>
    <n v="128"/>
    <n v="203"/>
    <d v="2012-12-11T00:00:00"/>
    <n v="10844"/>
    <d v="2013-04-22T00:00:00"/>
    <n v="0"/>
    <d v="2013-05-22T00:00:00"/>
    <d v="2013-06-05T00:00:00"/>
    <n v="14"/>
    <d v="2013-08-28T00:00:00"/>
    <n v="84"/>
    <n v="54"/>
    <n v="128"/>
    <d v="2013-08-22T00:00:00"/>
    <n v="11711"/>
    <d v="2013-08-28T00:00:00"/>
    <n v="0"/>
    <d v="2013-09-12T00:00:00"/>
    <d v="2013-10-01T00:00:00"/>
    <n v="19"/>
    <d v="2013-10-16T00:00:00"/>
    <d v="2013-10-10T00:00:00"/>
    <n v="-6"/>
    <n v="43"/>
    <d v="2014-03-10T00:00:00"/>
    <n v="151"/>
    <n v="91"/>
    <n v="9.6999999999999993"/>
    <n v="10.733333333333334"/>
    <m/>
    <m/>
    <m/>
    <m/>
    <m/>
    <m/>
    <m/>
    <m/>
  </r>
  <r>
    <s v="VEFA LOULOU PITOU (LA SAFRANIERE)"/>
    <x v="1"/>
    <x v="1"/>
    <x v="4"/>
    <s v="PRLC 0161"/>
    <s v="ADE"/>
    <s v="RTA"/>
    <s v="Tvx"/>
    <m/>
    <m/>
    <m/>
    <m/>
    <m/>
    <m/>
    <n v="2671"/>
    <n v="637295"/>
    <n v="637295"/>
    <n v="13559.468085106382"/>
    <n v="238.5979034069637"/>
    <n v="238.5979034069637"/>
    <n v="167.06075103217773"/>
    <n v="13559.468085106382"/>
    <n v="56.829787234042556"/>
    <m/>
    <n v="1.428210408086859"/>
    <s v="UB"/>
    <n v="512"/>
    <m/>
    <s v="LLTS"/>
    <n v="47"/>
    <m/>
    <n v="47"/>
    <n v="4397.1499999999996"/>
    <n v="3814.75"/>
    <n v="81.164893617021278"/>
    <m/>
    <m/>
    <m/>
    <m/>
    <m/>
    <m/>
    <n v="0"/>
    <n v="0"/>
    <n v="4.5"/>
    <m/>
    <s v="B"/>
    <s v="ok"/>
    <s v="oui"/>
    <d v="2013-11-26T00:00:00"/>
    <d v="2013-11-13T00:00:00"/>
    <d v="2014-05-12T00:00:00"/>
    <m/>
    <m/>
    <m/>
    <m/>
    <m/>
    <m/>
    <m/>
    <m/>
    <m/>
    <m/>
    <m/>
    <m/>
    <m/>
    <m/>
    <s v="INGEPAR"/>
    <s v="Oui"/>
    <m/>
    <s v="Oui"/>
    <s v="Oui"/>
    <s v="LS 101"/>
    <s v="SO"/>
    <d v="2014-06-10T00:00:00"/>
    <m/>
    <m/>
    <s v="oui"/>
    <d v="2014-10-23T00:00:00"/>
    <d v="2014-11-14T00:00:00"/>
    <m/>
    <d v="2014-12-16T00:00:00"/>
    <d v="2014-12-17T00:00:00"/>
    <m/>
    <s v="ok"/>
    <d v="2015-03-17T00:00:00"/>
    <d v="2017-03-17T00:00:00"/>
    <d v="2018-03-17T00:00:00"/>
    <s v="non"/>
    <s v="22/10/2014_x000a_cr 24/11/14 - modif à faire"/>
    <s v="Ville 18/03/15_x000a_Région 17/06/15_x000a_CG 30/06/15_x000a_CASUD 29/09/15"/>
    <d v="2014-12-18T00:00:00"/>
    <d v="2015-05-27T00:00:00"/>
    <d v="2015-06-25T00:00:00"/>
    <s v="conv° réserv° 17/09/15_x000a_G 09/11/15"/>
    <d v="2014-12-18T00:00:00"/>
    <d v="2015-03-07T00:00:00"/>
    <d v="2015-03-18T00:00:00"/>
    <m/>
    <d v="2014-12-18T00:00:00"/>
    <d v="2015-02-25T00:00:00"/>
    <d v="2015-09-29T00:00:00"/>
    <d v="2015-09-29T00:00:00"/>
    <d v="2014-12-18T00:00:00"/>
    <d v="2015-05-12T00:00:00"/>
    <d v="2015-06-11T00:00:00"/>
    <m/>
    <s v="BARET/GILLOT"/>
    <m/>
    <n v="0"/>
    <m/>
    <m/>
    <m/>
    <s v="DS AVOCATS"/>
    <m/>
    <m/>
    <m/>
    <m/>
    <m/>
    <m/>
    <m/>
    <m/>
    <d v="2014-12-19T00:00:00"/>
    <m/>
    <m/>
    <m/>
    <d v="2016-06-19T00:00:00"/>
    <m/>
    <m/>
    <m/>
    <d v="2015-05-26T00:00:00"/>
    <d v="2016-05-09T00:00:00"/>
    <d v="2015-02-02T00:00:00"/>
    <m/>
    <n v="18"/>
    <n v="20"/>
    <n v="19"/>
    <n v="21"/>
    <n v="1"/>
    <n v="1"/>
    <n v="20446.745282444248"/>
    <n v="61340.235847332748"/>
    <d v="2016-08-09T00:00:00"/>
    <m/>
    <m/>
    <d v="2016-09-02T00:00:00"/>
    <d v="1901-12-31T00:00:00"/>
    <m/>
    <m/>
    <m/>
    <d v="2016-10-14T00:00:00"/>
    <s v="envoi élements à Lydie 18/11/16"/>
    <m/>
    <d v="2016-11-08T00:00:00"/>
    <s v="à faire"/>
    <s v="1. Remise clés 10/10/16_x000a_2. Traiter appel de fonds achèvement _x000a_"/>
    <m/>
    <m/>
    <m/>
    <m/>
    <m/>
    <m/>
    <m/>
    <d v="2016-12-06T00:00:00"/>
    <d v="2017-02-13T00:00:00"/>
    <m/>
    <m/>
    <m/>
    <m/>
    <m/>
    <s v="dde GL 20/01/17"/>
    <m/>
    <m/>
    <m/>
    <n v="9070838.1099999994"/>
    <n v="7893608.4299999997"/>
    <n v="-1177229.6799999997"/>
    <n v="1795.1646930398099"/>
    <n v="167949.1155319149"/>
    <n v="7995841"/>
    <n v="6785519"/>
    <n v="-1210322"/>
    <n v="0.87767400174928611"/>
    <m/>
    <n v="2612892.11"/>
    <n v="2234701"/>
    <n v="47546.829787234041"/>
    <n v="-378191.10999999987"/>
    <n v="5339946"/>
    <n v="4540907.43"/>
    <n v="1362272"/>
    <n v="3178635.43"/>
    <n v="-799038.5700000003"/>
    <n v="96615.051702127646"/>
    <n v="0"/>
    <n v="1118000"/>
    <n v="1118000"/>
    <n v="0"/>
    <n v="0.1416335773321353"/>
    <m/>
    <n v="0"/>
    <n v="0"/>
    <n v="23787.234042553191"/>
    <n v="71334.063829787236"/>
    <n v="0"/>
    <n v="5.07"/>
    <n v="4.96"/>
    <n v="0"/>
    <n v="0"/>
    <n v="71334.063829787236"/>
    <n v="0"/>
    <n v="71334.063829787236"/>
    <n v="0.42473616847497969"/>
    <n v="0"/>
    <m/>
    <n v="0"/>
    <n v="7893608.4299999997"/>
    <m/>
    <m/>
    <m/>
    <m/>
    <m/>
    <m/>
    <m/>
    <s v="0"/>
    <m/>
    <s v="0"/>
    <m/>
    <s v="0"/>
    <m/>
    <s v="0"/>
    <m/>
    <m/>
    <s v="0"/>
    <m/>
    <s v="0"/>
    <n v="0"/>
    <s v="0"/>
    <m/>
    <m/>
    <m/>
    <m/>
    <m/>
    <m/>
    <m/>
    <m/>
    <m/>
    <m/>
    <m/>
    <m/>
    <s v="0"/>
    <m/>
    <s v="0"/>
    <m/>
    <m/>
    <m/>
    <m/>
    <m/>
    <m/>
    <m/>
    <m/>
    <s v="0"/>
    <m/>
    <s v="0"/>
    <m/>
    <m/>
    <m/>
    <s v="0"/>
    <m/>
    <m/>
    <s v="0"/>
    <m/>
    <m/>
    <s v="0"/>
    <s v="0"/>
    <m/>
    <s v="0"/>
    <n v="-60"/>
    <n v="9.6999999999999993"/>
    <n v="-9.6999999999999993"/>
    <m/>
    <m/>
    <m/>
    <m/>
    <m/>
    <m/>
    <m/>
    <m/>
  </r>
  <r>
    <s v="Barrage LLTS"/>
    <x v="9"/>
    <x v="2"/>
    <x v="3"/>
    <s v="PRLC 0140"/>
    <s v="FBR"/>
    <s v="SRI"/>
    <s v="Tvx"/>
    <m/>
    <m/>
    <m/>
    <s v="SODEGIS"/>
    <m/>
    <m/>
    <m/>
    <m/>
    <m/>
    <m/>
    <m/>
    <m/>
    <m/>
    <m/>
    <m/>
    <m/>
    <m/>
    <m/>
    <m/>
    <m/>
    <s v="LLTS"/>
    <n v="83"/>
    <m/>
    <n v="83"/>
    <n v="7367.96"/>
    <n v="7367.66"/>
    <n v="88.766987951807224"/>
    <n v="0"/>
    <n v="0.12048192771084337"/>
    <n v="0.50602409638554213"/>
    <n v="0.33734939759036142"/>
    <n v="3.614457831325301E-2"/>
    <m/>
    <m/>
    <e v="#DIV/0!"/>
    <n v="3.5"/>
    <n v="4"/>
    <s v="B"/>
    <s v="ok"/>
    <s v="oui"/>
    <d v="2012-10-18T00:00:00"/>
    <d v="2012-09-18T00:00:00"/>
    <m/>
    <s v="SO"/>
    <s v="SEGC"/>
    <s v="L'Hospitalier"/>
    <s v="VERITAS"/>
    <s v="CHADRIN"/>
    <d v="2013-05-06T00:00:00"/>
    <d v="2013-07-15T00:00:00"/>
    <d v="2013-08-15T00:00:00"/>
    <d v="2013-09-16T00:00:00"/>
    <m/>
    <m/>
    <d v="2013-11-04T00:00:00"/>
    <m/>
    <s v="ok"/>
    <s v="OFOI"/>
    <s v="Oui"/>
    <m/>
    <s v="Oui"/>
    <s v="Oui"/>
    <s v="SNC DORIQUE"/>
    <n v="415000"/>
    <d v="2013-07-08T00:00:00"/>
    <m/>
    <d v="2015-04-22T00:00:00"/>
    <s v="oui"/>
    <d v="2014-04-18T00:00:00"/>
    <d v="2015-06-05T00:00:00"/>
    <m/>
    <d v="2015-06-08T00:00:00"/>
    <d v="2015-06-16T00:00:00"/>
    <d v="2015-09-16T00:00:00"/>
    <d v="2015-07-07T00:00:00"/>
    <d v="2015-09-08T00:00:00"/>
    <d v="2017-09-08T00:00:00"/>
    <d v="2018-09-08T00:00:00"/>
    <s v="oui"/>
    <s v="ok"/>
    <s v="TCO 08/01/2016"/>
    <s v="SO"/>
    <s v="SO"/>
    <s v="SO"/>
    <s v="SO"/>
    <s v="SO"/>
    <s v="SO"/>
    <s v="SO"/>
    <s v="SO"/>
    <d v="2015-08-07T00:00:00"/>
    <d v="2015-12-21T00:00:00"/>
    <s v="ok"/>
    <d v="2016-01-29T00:00:00"/>
    <s v="SO"/>
    <s v="SO"/>
    <s v="SO"/>
    <s v="SO"/>
    <m/>
    <m/>
    <n v="0"/>
    <s v="CR ok"/>
    <m/>
    <m/>
    <m/>
    <m/>
    <m/>
    <s v="ok"/>
    <m/>
    <m/>
    <m/>
    <m/>
    <m/>
    <d v="2015-12-22T00:00:00"/>
    <m/>
    <m/>
    <n v="18979814"/>
    <d v="2017-06-22T00:00:00"/>
    <d v="2015-12-22T00:00:00"/>
    <m/>
    <d v="2016-02-12T00:00:00"/>
    <d v="2015-11-02T00:00:00"/>
    <d v="2016-09-09T00:00:00"/>
    <d v="2015-05-15T00:00:00"/>
    <m/>
    <n v="24"/>
    <n v="26"/>
    <n v="28"/>
    <n v="32"/>
    <n v="4"/>
    <m/>
    <n v="38106.375015552585"/>
    <n v="152425.50006221034"/>
    <d v="2016-12-08T00:00:00"/>
    <m/>
    <m/>
    <d v="2017-09-15T00:00:00"/>
    <d v="2017-12-22T00:00:00"/>
    <m/>
    <m/>
    <m/>
    <m/>
    <m/>
    <d v="2017-10-15T00:00:00"/>
    <d v="2018-01-15T00:00:00"/>
    <m/>
    <m/>
    <s v="RAS"/>
    <m/>
    <m/>
    <m/>
    <m/>
    <m/>
    <m/>
    <m/>
    <m/>
    <m/>
    <m/>
    <m/>
    <m/>
    <m/>
    <m/>
    <m/>
    <m/>
    <s v="oui"/>
    <n v="14323814"/>
    <n v="14364754"/>
    <n v="40940"/>
    <n v="1949.6243193502678"/>
    <n v="173069.32530120481"/>
    <n v="13043765"/>
    <n v="12989943"/>
    <n v="-53822"/>
    <n v="0.92975823792461976"/>
    <m/>
    <n v="4234760"/>
    <n v="4422509"/>
    <n v="53283.240963855424"/>
    <n v="187749"/>
    <n v="8429054"/>
    <n v="8282245"/>
    <n v="1278025"/>
    <n v="7004220"/>
    <n v="-146809"/>
    <n v="99786.084337349399"/>
    <m/>
    <n v="1660000"/>
    <n v="1660000"/>
    <m/>
    <n v="0.11556062846603568"/>
    <m/>
    <n v="0"/>
    <n v="0"/>
    <n v="20000"/>
    <m/>
    <n v="0"/>
    <m/>
    <m/>
    <n v="2467086.73961312"/>
    <n v="1660000"/>
    <n v="93283.240963855424"/>
    <n v="0"/>
    <n v="93283.240963855424"/>
    <n v="0.48204765382887399"/>
    <n v="770132.02990000008"/>
    <m/>
    <n v="0"/>
    <n v="16831840.73961312"/>
    <n v="965006"/>
    <m/>
    <m/>
    <m/>
    <d v="2012-07-11T00:00:00"/>
    <d v="2012-08-01T00:00:00"/>
    <d v="2012-08-01T00:00:00"/>
    <n v="0"/>
    <d v="2012-08-13T00:00:00"/>
    <n v="12"/>
    <n v="-18"/>
    <n v="33"/>
    <d v="2012-10-02T00:00:00"/>
    <n v="50"/>
    <d v="2012-10-23T00:00:00"/>
    <d v="2012-12-18T00:00:00"/>
    <n v="56"/>
    <d v="2013-05-07T00:00:00"/>
    <n v="140"/>
    <n v="110"/>
    <n v="217"/>
    <m/>
    <m/>
    <d v="2012-12-18T00:00:00"/>
    <d v="2012-12-19T00:00:00"/>
    <m/>
    <m/>
    <d v="2013-05-13T00:00:00"/>
    <n v="6"/>
    <d v="2013-06-12T00:00:00"/>
    <d v="2013-06-14T00:00:00"/>
    <n v="2"/>
    <d v="2013-07-08T00:00:00"/>
    <n v="24"/>
    <n v="-6"/>
    <n v="56"/>
    <m/>
    <m/>
    <d v="2013-07-08T00:00:00"/>
    <n v="0"/>
    <d v="2013-08-07T00:00:00"/>
    <d v="2013-08-22T00:00:00"/>
    <n v="15"/>
    <d v="2013-09-19T00:00:00"/>
    <n v="28"/>
    <n v="-2"/>
    <n v="73"/>
    <m/>
    <m/>
    <d v="2013-09-19T00:00:00"/>
    <n v="0"/>
    <d v="2013-09-19T00:00:00"/>
    <d v="2013-09-19T00:00:00"/>
    <n v="0"/>
    <d v="2013-10-04T00:00:00"/>
    <d v="2013-09-19T00:00:00"/>
    <n v="-15"/>
    <n v="0"/>
    <d v="2013-11-15T00:00:00"/>
    <n v="57"/>
    <n v="-3"/>
    <n v="9.6999999999999993"/>
    <n v="4.8000000000000007"/>
    <m/>
    <m/>
    <m/>
    <m/>
    <m/>
    <m/>
    <m/>
    <m/>
  </r>
  <r>
    <s v="Barrage LLS"/>
    <x v="9"/>
    <x v="2"/>
    <x v="3"/>
    <s v="PRLC 0140"/>
    <s v="FBR"/>
    <s v="SRI"/>
    <s v="Tvx"/>
    <m/>
    <m/>
    <m/>
    <s v="SODEGIS"/>
    <m/>
    <m/>
    <n v="20161"/>
    <n v="1550000"/>
    <n v="1105335"/>
    <n v="14090.90909090909"/>
    <n v="76.88110708794207"/>
    <n v="54.825405485838999"/>
    <n v="392.66733926833251"/>
    <n v="10048.5"/>
    <n v="746.7037037037037"/>
    <m/>
    <n v="0.13962303457169783"/>
    <s v="AU5b"/>
    <n v="460"/>
    <m/>
    <s v="LLS"/>
    <n v="27"/>
    <n v="27"/>
    <m/>
    <n v="2870.27"/>
    <n v="2814.94"/>
    <n v="104.25703703703704"/>
    <n v="0"/>
    <n v="0"/>
    <n v="0"/>
    <n v="0.70370370370370372"/>
    <n v="0.29629629629629628"/>
    <n v="12480"/>
    <m/>
    <n v="0"/>
    <n v="3.5"/>
    <m/>
    <s v="B"/>
    <s v="ok"/>
    <s v="oui"/>
    <d v="2012-10-18T00:00:00"/>
    <d v="2012-09-18T00:00:00"/>
    <m/>
    <s v="SO"/>
    <s v="SEGC"/>
    <s v="L'Hospitalier"/>
    <s v="VERITAS"/>
    <s v="CHADRIN"/>
    <d v="2013-05-06T00:00:00"/>
    <d v="2013-07-15T00:00:00"/>
    <d v="2013-08-15T00:00:00"/>
    <d v="2013-09-16T00:00:00"/>
    <m/>
    <m/>
    <d v="2013-11-04T00:00:00"/>
    <m/>
    <s v="ok"/>
    <s v="OFOI"/>
    <s v="Oui"/>
    <m/>
    <s v="Oui"/>
    <s v="Oui"/>
    <s v="SNC DORIQUE"/>
    <m/>
    <d v="2013-08-07T00:00:00"/>
    <m/>
    <d v="2015-04-22T00:00:00"/>
    <s v="oui"/>
    <d v="2014-04-18T00:00:00"/>
    <d v="2015-06-05T00:00:00"/>
    <m/>
    <d v="2015-06-08T00:00:00"/>
    <d v="2015-06-16T00:00:00"/>
    <d v="2015-09-16T00:00:00"/>
    <d v="2015-07-07T00:00:00"/>
    <d v="2015-09-08T00:00:00"/>
    <d v="2017-09-08T00:00:00"/>
    <d v="2018-09-08T00:00:00"/>
    <s v="oui"/>
    <s v="ok"/>
    <s v="Mairie 02/11/15"/>
    <s v="SO"/>
    <s v="SO"/>
    <s v="SO"/>
    <s v="SO"/>
    <d v="2015-08-07T00:00:00"/>
    <d v="2015-10-01T00:00:00"/>
    <d v="2015-10-29T00:00:00"/>
    <m/>
    <s v="SO"/>
    <s v="SO"/>
    <s v="SO"/>
    <s v="SO"/>
    <s v="SO"/>
    <s v="SO"/>
    <s v="SO"/>
    <s v="SO"/>
    <s v="MAREL"/>
    <n v="474895"/>
    <n v="284937"/>
    <s v="CR ok"/>
    <m/>
    <m/>
    <m/>
    <m/>
    <m/>
    <s v="ok"/>
    <m/>
    <m/>
    <m/>
    <m/>
    <m/>
    <d v="2015-12-22T00:00:00"/>
    <m/>
    <m/>
    <n v="18979814"/>
    <d v="2017-06-22T00:00:00"/>
    <d v="2015-12-22T00:00:00"/>
    <m/>
    <d v="2016-02-12T00:00:00"/>
    <d v="2015-11-02T00:00:00"/>
    <d v="2016-09-09T00:00:00"/>
    <d v="2015-05-15T00:00:00"/>
    <m/>
    <n v="24"/>
    <n v="26"/>
    <n v="28"/>
    <n v="32"/>
    <n v="4"/>
    <m/>
    <n v="17499.114140094502"/>
    <n v="69996.456560378007"/>
    <d v="2016-12-08T00:00:00"/>
    <m/>
    <m/>
    <d v="2017-09-15T00:00:00"/>
    <d v="2017-12-22T00:00:00"/>
    <m/>
    <m/>
    <m/>
    <m/>
    <m/>
    <d v="2017-10-15T00:00:00"/>
    <d v="2018-01-15T00:00:00"/>
    <s v="à faire"/>
    <m/>
    <s v="RAS"/>
    <m/>
    <m/>
    <m/>
    <m/>
    <m/>
    <m/>
    <m/>
    <m/>
    <m/>
    <m/>
    <m/>
    <m/>
    <m/>
    <m/>
    <m/>
    <m/>
    <s v="oui"/>
    <n v="5546805"/>
    <n v="5488129.9500000002"/>
    <n v="-58675.049999999814"/>
    <n v="1912.0605204388437"/>
    <n v="203264.07222222222"/>
    <n v="5057320"/>
    <n v="4965430"/>
    <n v="-91890"/>
    <n v="0.93090053102641968"/>
    <m/>
    <n v="1882322"/>
    <n v="1916369"/>
    <n v="70976.629629629635"/>
    <n v="34047"/>
    <n v="3664482"/>
    <n v="3571759.95"/>
    <n v="595108"/>
    <n v="2976651.95"/>
    <n v="-92722.049999999814"/>
    <n v="132287.40555555557"/>
    <m/>
    <n v="1"/>
    <n v="1"/>
    <m/>
    <n v="1.8221142886749611E-7"/>
    <m/>
    <n v="0"/>
    <n v="0"/>
    <n v="3.7037037037037035E-2"/>
    <m/>
    <n v="0"/>
    <m/>
    <m/>
    <n v="1015690.2065916295"/>
    <n v="540000"/>
    <n v="90976.666666666672"/>
    <n v="0"/>
    <n v="90976.666666666672"/>
    <n v="0.39970846321114534"/>
    <n v="358416.12820000004"/>
    <m/>
    <n v="0"/>
    <n v="6503820.1565916296"/>
    <n v="965006"/>
    <m/>
    <d v="2012-06-30T00:00:00"/>
    <n v="96501"/>
    <d v="2012-07-11T00:00:00"/>
    <d v="2012-08-01T00:00:00"/>
    <d v="2012-08-01T00:00:00"/>
    <n v="0"/>
    <d v="2012-08-13T00:00:00"/>
    <n v="12"/>
    <n v="-18"/>
    <n v="33"/>
    <d v="2012-10-02T00:00:00"/>
    <n v="50"/>
    <d v="2012-10-23T00:00:00"/>
    <d v="2012-12-18T00:00:00"/>
    <n v="56"/>
    <d v="2013-05-07T00:00:00"/>
    <n v="140"/>
    <n v="110"/>
    <n v="217"/>
    <d v="2013-05-07T00:00:00"/>
    <n v="48250"/>
    <d v="2012-12-18T00:00:00"/>
    <d v="2012-12-19T00:00:00"/>
    <d v="2012-12-19T00:00:00"/>
    <n v="96501"/>
    <d v="2013-05-13T00:00:00"/>
    <n v="6"/>
    <d v="2013-06-12T00:00:00"/>
    <d v="2013-06-14T00:00:00"/>
    <n v="2"/>
    <d v="2013-07-08T00:00:00"/>
    <n v="24"/>
    <n v="-6"/>
    <n v="56"/>
    <d v="2013-07-30T00:00:00"/>
    <n v="96501"/>
    <d v="2013-07-08T00:00:00"/>
    <n v="0"/>
    <d v="2013-08-07T00:00:00"/>
    <d v="2013-08-22T00:00:00"/>
    <n v="15"/>
    <d v="2013-09-19T00:00:00"/>
    <n v="28"/>
    <n v="-2"/>
    <n v="73"/>
    <d v="2013-10-23T00:00:00"/>
    <n v="144751"/>
    <d v="2013-09-19T00:00:00"/>
    <n v="0"/>
    <d v="2013-09-19T00:00:00"/>
    <d v="2013-09-19T00:00:00"/>
    <n v="0"/>
    <d v="2013-10-04T00:00:00"/>
    <d v="2013-09-19T00:00:00"/>
    <n v="-15"/>
    <n v="0"/>
    <d v="2013-11-15T00:00:00"/>
    <n v="57"/>
    <n v="-3"/>
    <n v="9.6999999999999993"/>
    <n v="4.8000000000000007"/>
    <m/>
    <m/>
    <m/>
    <m/>
    <m/>
    <m/>
    <m/>
    <m/>
  </r>
  <r>
    <s v="Josepha Fontaine"/>
    <x v="5"/>
    <x v="1"/>
    <x v="3"/>
    <s v="PRLC 0122"/>
    <s v="FHO"/>
    <s v="SAR"/>
    <s v="Tvx"/>
    <m/>
    <m/>
    <m/>
    <s v="EPFR / RUET"/>
    <s v="BARET"/>
    <m/>
    <n v="4550"/>
    <n v="298500"/>
    <n v="122015"/>
    <n v="19900"/>
    <n v="65.604395604395606"/>
    <n v="26.816483516483515"/>
    <n v="103.92126802429075"/>
    <n v="8134.333333333333"/>
    <n v="303.33333333333331"/>
    <m/>
    <n v="0.25804615384615381"/>
    <s v="UD"/>
    <m/>
    <m/>
    <s v="LLTS"/>
    <n v="15"/>
    <m/>
    <n v="15"/>
    <n v="1160.5899999999999"/>
    <n v="1174.1099999999999"/>
    <n v="78.273999999999987"/>
    <m/>
    <m/>
    <m/>
    <m/>
    <m/>
    <m/>
    <m/>
    <n v="0"/>
    <n v="1.5"/>
    <m/>
    <m/>
    <s v="ok"/>
    <m/>
    <d v="2011-11-08T00:00:00"/>
    <m/>
    <d v="2012-02-24T00:00:00"/>
    <s v="SO"/>
    <m/>
    <m/>
    <m/>
    <m/>
    <d v="2013-12-27T00:00:00"/>
    <d v="2015-07-09T00:00:00"/>
    <d v="2015-08-25T00:00:00"/>
    <d v="2015-09-09T00:00:00"/>
    <m/>
    <m/>
    <m/>
    <s v="ok"/>
    <s v="ok"/>
    <s v="OFOI"/>
    <s v="Oui"/>
    <m/>
    <s v="Oui"/>
    <s v="Oui"/>
    <s v="LOGIS 5"/>
    <m/>
    <d v="2013-11-18T00:00:00"/>
    <m/>
    <d v="2015-10-21T00:00:00"/>
    <s v="oui"/>
    <s v="05/03/2014_x000a_07/10/14"/>
    <s v="20/03/2014 &amp; 06/11/14_x000a_13/10/15"/>
    <d v="2015-10-14T00:00:00"/>
    <d v="2013-10-03T00:00:00"/>
    <s v="ok"/>
    <d v="2014-01-03T00:00:00"/>
    <s v="ok"/>
    <d v="2014-06-28T00:00:00"/>
    <d v="2016-06-28T00:00:00"/>
    <d v="2017-06-28T00:00:00"/>
    <s v="oui"/>
    <m/>
    <s v="CASUD = 02/07/14_x000a_CG : OK_x000a_Région : OK_x000a_Mairie : OK"/>
    <d v="2014-05-14T00:00:00"/>
    <d v="2014-07-22T00:00:00"/>
    <d v="2014-08-19T00:00:00"/>
    <m/>
    <d v="2014-05-14T00:00:00"/>
    <d v="2014-06-23T00:00:00"/>
    <d v="2014-09-11T00:00:00"/>
    <m/>
    <d v="2014-05-14T00:00:00"/>
    <d v="2014-06-04T00:00:00"/>
    <d v="2014-07-02T00:00:00"/>
    <m/>
    <d v="2014-05-14T00:00:00"/>
    <d v="2014-06-24T00:00:00"/>
    <d v="2014-07-09T00:00:00"/>
    <m/>
    <s v="LE GOFF"/>
    <n v="56629"/>
    <n v="33977.4"/>
    <s v="Résa 09/08/13"/>
    <s v="projet reçu 17/09/13"/>
    <s v="ok"/>
    <m/>
    <s v="ok"/>
    <s v="ok"/>
    <m/>
    <m/>
    <m/>
    <m/>
    <s v="ok"/>
    <m/>
    <d v="2015-12-02T00:00:00"/>
    <m/>
    <m/>
    <m/>
    <d v="2017-06-02T00:00:00"/>
    <d v="2016-06-14T00:00:00"/>
    <m/>
    <s v="ok"/>
    <d v="2016-04-14T00:00:00"/>
    <d v="2016-09-28T00:00:00"/>
    <d v="2015-12-03T00:00:00"/>
    <s v="SO"/>
    <n v="13"/>
    <n v="15"/>
    <n v="14"/>
    <n v="15"/>
    <n v="1"/>
    <m/>
    <n v="4738.044454527967"/>
    <n v="4738.044454527967"/>
    <s v="20/10/2016 y/c certif adressage + plans"/>
    <m/>
    <m/>
    <d v="2017-03-01T00:00:00"/>
    <d v="2018-06-14T00:00:00"/>
    <m/>
    <m/>
    <m/>
    <m/>
    <m/>
    <d v="2017-04-01T00:00:00"/>
    <d v="2017-04-01T00:00:00"/>
    <d v="2017-01-30T00:00:00"/>
    <s v="branchement SIDELEC 21/02/17"/>
    <s v="Lot 4 Menuiserie - PVC 400 par Sofaal_x000a_Lot Metallerie : Technipose par Pumalu_x000a_soit 2 lots sur 16 = 12%"/>
    <m/>
    <m/>
    <m/>
    <m/>
    <m/>
    <m/>
    <m/>
    <m/>
    <m/>
    <m/>
    <m/>
    <m/>
    <m/>
    <m/>
    <m/>
    <m/>
    <m/>
    <n v="2776975.73"/>
    <n v="2890980.73"/>
    <n v="114005"/>
    <n v="2490.9578145598362"/>
    <n v="192732.04866666667"/>
    <n v="2132208"/>
    <n v="2403709.4727445007"/>
    <n v="271501.47274450073"/>
    <n v="0.7839407253299977"/>
    <m/>
    <n v="646677"/>
    <n v="775066"/>
    <n v="51671.066666666666"/>
    <n v="128389"/>
    <n v="1328613"/>
    <n v="1314229"/>
    <n v="212380"/>
    <n v="1101849"/>
    <n v="-14384"/>
    <n v="87615.266666666663"/>
    <m/>
    <n v="393831"/>
    <n v="393831"/>
    <m/>
    <n v="0.13622747322843623"/>
    <m/>
    <n v="0"/>
    <n v="0"/>
    <n v="26255.4"/>
    <m/>
    <n v="0"/>
    <m/>
    <m/>
    <n v="753806.75427749997"/>
    <n v="300000"/>
    <n v="97926.46666666666"/>
    <n v="162750"/>
    <n v="108776.46666666666"/>
    <n v="0.46350836328893125"/>
    <n v="124577"/>
    <m/>
    <n v="407854.73"/>
    <n v="3644787.4842774998"/>
    <n v="142778"/>
    <m/>
    <d v="2011-09-28T00:00:00"/>
    <n v="10799"/>
    <m/>
    <m/>
    <m/>
    <s v="0"/>
    <m/>
    <s v="0"/>
    <n v="-30"/>
    <s v="0"/>
    <m/>
    <s v="0"/>
    <m/>
    <m/>
    <s v="0"/>
    <m/>
    <s v="0"/>
    <n v="-30"/>
    <s v="0"/>
    <m/>
    <m/>
    <d v="2011-12-15T00:00:00"/>
    <d v="2012-01-24T00:00:00"/>
    <m/>
    <m/>
    <d v="2012-02-16T00:00:00"/>
    <s v="0"/>
    <d v="2012-03-17T00:00:00"/>
    <d v="2012-05-10T00:00:00"/>
    <n v="54"/>
    <d v="2012-05-21T00:00:00"/>
    <n v="11"/>
    <n v="-19"/>
    <n v="95"/>
    <d v="2012-05-21T00:00:00"/>
    <n v="29206"/>
    <d v="2013-06-13T00:00:00"/>
    <n v="388"/>
    <d v="2013-07-13T00:00:00"/>
    <d v="2013-09-19T00:00:00"/>
    <n v="68"/>
    <d v="2013-12-19T00:00:00"/>
    <n v="91"/>
    <n v="61"/>
    <n v="189"/>
    <d v="2013-12-19T00:00:00"/>
    <n v="17151"/>
    <d v="2013-09-02T00:00:00"/>
    <n v="-108"/>
    <d v="2013-09-17T00:00:00"/>
    <d v="2013-09-19T00:00:00"/>
    <n v="2"/>
    <d v="2013-10-04T00:00:00"/>
    <d v="2014-02-25T00:00:00"/>
    <n v="144"/>
    <n v="176"/>
    <d v="2014-04-02T00:00:00"/>
    <n v="36"/>
    <n v="-24"/>
    <n v="9.6999999999999993"/>
    <n v="9.1666666666666679"/>
    <m/>
    <m/>
    <m/>
    <m/>
    <m/>
    <m/>
    <m/>
    <m/>
  </r>
  <r>
    <s v="VEFA Petunias"/>
    <x v="1"/>
    <x v="1"/>
    <x v="4"/>
    <s v="PRLC 0165"/>
    <s v="YFR"/>
    <s v="SAR"/>
    <s v="Tvx"/>
    <m/>
    <m/>
    <m/>
    <m/>
    <m/>
    <m/>
    <n v="3512"/>
    <n v="977347"/>
    <n v="977347"/>
    <n v="19546.939999999999"/>
    <n v="278.28787015945329"/>
    <n v="278.28787015945329"/>
    <n v="219.24031153821994"/>
    <n v="19546.939999999999"/>
    <n v="70.239999999999995"/>
    <m/>
    <n v="1.2693280182232347"/>
    <s v="UA"/>
    <m/>
    <m/>
    <s v="LLTS"/>
    <n v="50"/>
    <m/>
    <n v="50"/>
    <n v="4457.7700000000004"/>
    <n v="4457.88"/>
    <n v="89.157600000000002"/>
    <m/>
    <m/>
    <m/>
    <m/>
    <m/>
    <m/>
    <n v="0"/>
    <n v="0"/>
    <n v="4"/>
    <n v="1"/>
    <s v="B"/>
    <s v="ok"/>
    <s v="oui"/>
    <d v="2013-11-26T00:00:00"/>
    <d v="2013-11-13T00:00:00"/>
    <m/>
    <m/>
    <m/>
    <m/>
    <m/>
    <m/>
    <m/>
    <m/>
    <m/>
    <m/>
    <m/>
    <m/>
    <m/>
    <m/>
    <m/>
    <s v="INGEPAR"/>
    <s v="scanné 07/05/14"/>
    <m/>
    <s v="Oui"/>
    <s v="Oui"/>
    <s v="LS 79"/>
    <s v="SO"/>
    <d v="2014-07-28T00:00:00"/>
    <m/>
    <d v="2015-09-22T00:00:00"/>
    <s v="oui"/>
    <d v="2014-11-19T00:00:00"/>
    <d v="2015-07-10T00:00:00"/>
    <m/>
    <d v="2015-08-12T00:00:00"/>
    <d v="2015-09-03T00:00:00"/>
    <d v="2015-11-20T00:00:00"/>
    <d v="2015-09-17T00:00:00"/>
    <d v="2015-11-17T00:00:00"/>
    <d v="2017-11-17T00:00:00"/>
    <d v="2018-11-17T00:00:00"/>
    <s v="oui"/>
    <s v="ok"/>
    <s v="16/12/15 Région_x000a_20/01/16 CG_x000a_25/01/16 Mairie_x000a_10/02/16 CASUD"/>
    <d v="2015-09-15T00:00:00"/>
    <d v="2015-12-16T00:00:00"/>
    <s v="Convention 18/01/16_x000a_Délib 18/01/16"/>
    <m/>
    <d v="2015-09-15T00:00:00"/>
    <d v="2015-12-21T00:00:00"/>
    <d v="2016-01-25T00:00:00"/>
    <d v="2016-02-01T00:00:00"/>
    <d v="2015-09-15T00:00:00"/>
    <d v="2015-11-27T00:00:00"/>
    <d v="2016-02-10T00:00:00"/>
    <d v="2016-02-10T00:00:00"/>
    <d v="2015-09-15T00:00:00"/>
    <d v="2015-11-03T00:00:00"/>
    <d v="2015-12-16T00:00:00"/>
    <d v="2015-12-22T00:00:00"/>
    <s v="LE GOFF"/>
    <m/>
    <n v="0"/>
    <m/>
    <m/>
    <m/>
    <s v="DS AVOCATS"/>
    <m/>
    <m/>
    <m/>
    <m/>
    <m/>
    <m/>
    <m/>
    <m/>
    <d v="2015-11-25T00:00:00"/>
    <s v="ok"/>
    <s v="doc jur 30/11/15"/>
    <m/>
    <d v="2017-05-25T00:00:00"/>
    <m/>
    <m/>
    <m/>
    <m/>
    <m/>
    <d v="2015-12-10T00:00:00"/>
    <m/>
    <n v="24"/>
    <n v="24"/>
    <n v="24"/>
    <n v="25"/>
    <n v="0"/>
    <m/>
    <n v="23301.842806234083"/>
    <m/>
    <m/>
    <m/>
    <m/>
    <d v="2017-12-10T00:00:00"/>
    <d v="1901-12-31T00:00:00"/>
    <m/>
    <m/>
    <m/>
    <m/>
    <m/>
    <d v="2018-01-10T00:00:00"/>
    <d v="2018-01-10T00:00:00"/>
    <m/>
    <s v="pas de difficultés pour le moment / Appel de fonds achèvement à recevoir prochainement"/>
    <m/>
    <m/>
    <m/>
    <m/>
    <m/>
    <m/>
    <m/>
    <m/>
    <m/>
    <m/>
    <m/>
    <m/>
    <m/>
    <m/>
    <m/>
    <m/>
    <m/>
    <m/>
    <n v="8981140.3249999993"/>
    <n v="8889946.3649999984"/>
    <n v="-91193.960000000894"/>
    <n v="1994.2586461392125"/>
    <n v="177798.92729999998"/>
    <n v="8046979"/>
    <n v="7435240.3190134894"/>
    <n v="-611738.68098651059"/>
    <n v="0.85392870260728215"/>
    <m/>
    <n v="2663620"/>
    <n v="2572426.04"/>
    <n v="51448.520799999998"/>
    <n v="-91193.959999999963"/>
    <n v="5272823.875"/>
    <n v="5272823.875"/>
    <n v="1076863.6000000001"/>
    <n v="4195960.2750000004"/>
    <n v="0"/>
    <n v="105456.47749999999"/>
    <m/>
    <n v="925000"/>
    <n v="925000"/>
    <n v="0"/>
    <n v="0.10405012156673459"/>
    <m/>
    <n v="0"/>
    <n v="0"/>
    <n v="18500"/>
    <n v="69948.520799999998"/>
    <n v="0"/>
    <n v="4.9400000000000004"/>
    <n v="4.93"/>
    <m/>
    <n v="0"/>
    <n v="69948.520799999998"/>
    <m/>
    <n v="69948.520799999998"/>
    <n v="0.39341362662990609"/>
    <m/>
    <m/>
    <n v="119696.45"/>
    <n v="8889946.3649999984"/>
    <m/>
    <m/>
    <m/>
    <m/>
    <m/>
    <m/>
    <m/>
    <s v="0"/>
    <m/>
    <s v="0"/>
    <m/>
    <s v="0"/>
    <m/>
    <s v="0"/>
    <m/>
    <m/>
    <s v="0"/>
    <m/>
    <s v="0"/>
    <n v="0"/>
    <s v="0"/>
    <m/>
    <m/>
    <m/>
    <m/>
    <m/>
    <m/>
    <m/>
    <m/>
    <m/>
    <m/>
    <m/>
    <m/>
    <s v="0"/>
    <m/>
    <s v="0"/>
    <m/>
    <m/>
    <m/>
    <m/>
    <m/>
    <m/>
    <m/>
    <m/>
    <s v="0"/>
    <m/>
    <s v="0"/>
    <m/>
    <m/>
    <m/>
    <s v="0"/>
    <m/>
    <m/>
    <s v="0"/>
    <m/>
    <m/>
    <s v="0"/>
    <s v="0"/>
    <m/>
    <s v="0"/>
    <n v="-60"/>
    <n v="9.6999999999999993"/>
    <n v="-9.6999999999999993"/>
    <m/>
    <m/>
    <m/>
    <m/>
    <m/>
    <m/>
    <m/>
    <m/>
  </r>
  <r>
    <s v="Verveine des Indes (Ilôt 5.1)"/>
    <x v="4"/>
    <x v="0"/>
    <x v="4"/>
    <s v="PRLC 0155"/>
    <s v="YFR"/>
    <s v="SAR"/>
    <s v="Tvx"/>
    <s v="oui"/>
    <m/>
    <m/>
    <s v="SODEGIS"/>
    <s v="QUINOT"/>
    <m/>
    <n v="1500"/>
    <n v="128915"/>
    <n v="128915"/>
    <n v="8057.1875"/>
    <n v="85.943333333333328"/>
    <n v="85.943333333333328"/>
    <n v="91.350037556157076"/>
    <n v="8057.1875"/>
    <n v="93.75"/>
    <m/>
    <n v="0.94081333333333339"/>
    <m/>
    <n v="90"/>
    <m/>
    <s v="LLTS"/>
    <n v="16"/>
    <m/>
    <n v="16"/>
    <n v="1374.99"/>
    <n v="1411.22"/>
    <n v="88.201250000000002"/>
    <n v="0.125"/>
    <n v="0.125"/>
    <n v="0.375"/>
    <n v="0.3125"/>
    <n v="6.25E-2"/>
    <m/>
    <n v="0"/>
    <n v="0"/>
    <n v="2.5"/>
    <n v="1"/>
    <s v="B"/>
    <s v="ok"/>
    <m/>
    <d v="2013-11-26T00:00:00"/>
    <d v="2014-01-28T00:00:00"/>
    <d v="2014-05-22T00:00:00"/>
    <d v="2014-01-28T00:00:00"/>
    <s v="SEGC"/>
    <s v="ARCHITEX"/>
    <s v="DIDES"/>
    <s v="CPC"/>
    <d v="2014-05-22T00:00:00"/>
    <d v="2014-06-25T00:00:00"/>
    <d v="2014-08-02T00:00:00"/>
    <d v="2014-08-25T00:00:00"/>
    <d v="2016-03-30T00:00:00"/>
    <d v="2016-03-31T00:00:00"/>
    <s v="ok"/>
    <d v="2016-10-05T00:00:00"/>
    <m/>
    <s v="INTERINVEST"/>
    <d v="2014-09-04T00:00:00"/>
    <d v="2015-03-26T00:00:00"/>
    <s v="Oui"/>
    <s v="Oui"/>
    <s v="PC 95 "/>
    <m/>
    <d v="2014-10-17T00:00:00"/>
    <m/>
    <m/>
    <s v="oui"/>
    <d v="2014-11-12T00:00:00"/>
    <d v="2014-12-19T00:00:00"/>
    <m/>
    <d v="2015-01-13T00:00:00"/>
    <s v="23/01/2015_x000a_transmis à DAF 11/03/15"/>
    <d v="2015-04-22T00:00:00"/>
    <d v="2015-03-11T00:00:00"/>
    <d v="2015-04-24T00:00:00"/>
    <d v="2017-04-24T00:00:00"/>
    <d v="2018-04-24T00:00:00"/>
    <s v="oui"/>
    <s v="28/10/2014_x000a_12/01/15"/>
    <s v="CIVIS 25/05/15_x000a_Région 12/06/15_x000a_Commune 29/06/15_x000a_CG 30/06/15"/>
    <d v="2015-03-06T00:00:00"/>
    <d v="2015-05-27T00:00:00"/>
    <d v="2015-06-25T00:00:00"/>
    <s v="conv° réserv° 17/09/15_x000a_G 09/11/15"/>
    <d v="2015-03-06T00:00:00"/>
    <d v="2015-04-14T00:00:00"/>
    <d v="2015-06-23T00:00:00"/>
    <m/>
    <d v="2015-03-06T00:00:00"/>
    <d v="2015-04-27T00:00:00"/>
    <d v="2015-05-18T00:00:00"/>
    <m/>
    <d v="2015-03-06T00:00:00"/>
    <d v="2015-05-12T00:00:00"/>
    <d v="2015-06-11T00:00:00"/>
    <m/>
    <s v="QUINOT"/>
    <m/>
    <n v="0"/>
    <m/>
    <m/>
    <s v="ok"/>
    <s v="DS AVOCATS"/>
    <s v="ok"/>
    <s v="ok"/>
    <s v="ok"/>
    <s v="ok"/>
    <s v="ok"/>
    <d v="2015-03-29T00:00:00"/>
    <s v="ok"/>
    <m/>
    <d v="2016-04-18T00:00:00"/>
    <d v="2016-06-24T00:00:00"/>
    <s v="24/6/16 (mail)"/>
    <m/>
    <d v="2016-06-01T00:00:00"/>
    <m/>
    <d v="2018-02-18T00:00:00"/>
    <d v="2016-10-14T00:00:00"/>
    <d v="2016-10-05T00:00:00"/>
    <m/>
    <d v="2016-04-28T00:00:00"/>
    <s v="SO"/>
    <n v="13"/>
    <n v="15"/>
    <n v="13"/>
    <n v="14"/>
    <n v="0"/>
    <m/>
    <n v="7410.2022415377578"/>
    <m/>
    <d v="2016-11-28T00:00:00"/>
    <m/>
    <m/>
    <d v="2017-06-01T00:00:00"/>
    <d v="1901-12-31T00:00:00"/>
    <m/>
    <m/>
    <m/>
    <m/>
    <m/>
    <d v="2017-07-01T00:00:00"/>
    <d v="2017-07-01T00:00:00"/>
    <s v="à faire"/>
    <m/>
    <s v="Lot Menui Ext :PVC 400 par Sofaal_x000a_soit 1 sur 15"/>
    <m/>
    <m/>
    <m/>
    <m/>
    <m/>
    <m/>
    <m/>
    <m/>
    <m/>
    <m/>
    <m/>
    <m/>
    <m/>
    <m/>
    <m/>
    <m/>
    <m/>
    <n v="2681224"/>
    <n v="2851909.37"/>
    <n v="170685.37000000011"/>
    <n v="2074.130990043564"/>
    <n v="178244.33562500001"/>
    <m/>
    <n v="2460822"/>
    <n v="2460822"/>
    <n v="0.88098846633404748"/>
    <m/>
    <n v="797080"/>
    <n v="863024"/>
    <n v="53939"/>
    <n v="65944"/>
    <n v="1564144"/>
    <n v="1596953.37"/>
    <n v="242605.3"/>
    <n v="1354348.07"/>
    <n v="32809.370000000112"/>
    <n v="99809.585625000007"/>
    <m/>
    <n v="320000"/>
    <n v="320000"/>
    <n v="0"/>
    <n v="0.11220552916799036"/>
    <m/>
    <n v="0"/>
    <n v="0"/>
    <n v="20000"/>
    <n v="73939"/>
    <n v="0"/>
    <n v="5.07"/>
    <n v="5.07"/>
    <n v="0"/>
    <n v="0"/>
    <n v="73939"/>
    <n v="0"/>
    <n v="73939"/>
    <n v="0.4148182310576019"/>
    <n v="0"/>
    <m/>
    <n v="71932"/>
    <n v="2851909.37"/>
    <n v="144240"/>
    <n v="108186"/>
    <d v="2014-01-02T00:00:00"/>
    <n v="14192"/>
    <d v="2013-09-25T00:00:00"/>
    <d v="2013-10-16T00:00:00"/>
    <d v="2013-10-31T00:00:00"/>
    <n v="15"/>
    <d v="2013-11-26T00:00:00"/>
    <n v="26"/>
    <n v="-4"/>
    <n v="62"/>
    <d v="2013-12-02T00:00:00"/>
    <n v="6"/>
    <d v="2013-12-23T00:00:00"/>
    <d v="2014-01-13T00:00:00"/>
    <n v="21"/>
    <d v="2014-02-24T00:00:00"/>
    <n v="42"/>
    <n v="12"/>
    <n v="84"/>
    <d v="2014-02-26T00:00:00"/>
    <n v="7096"/>
    <d v="2014-02-24T00:00:00"/>
    <d v="2014-02-06T00:00:00"/>
    <m/>
    <m/>
    <d v="2014-02-24T00:00:00"/>
    <n v="0"/>
    <d v="2014-03-26T00:00:00"/>
    <d v="2014-04-02T00:00:00"/>
    <n v="7"/>
    <d v="2014-06-30T00:00:00"/>
    <n v="89"/>
    <n v="59"/>
    <n v="126"/>
    <d v="2014-07-07T00:00:00"/>
    <n v="27458"/>
    <d v="2014-06-30T00:00:00"/>
    <n v="0"/>
    <d v="2014-07-30T00:00:00"/>
    <d v="2014-10-02T00:00:00"/>
    <n v="64"/>
    <d v="2014-10-12T00:00:00"/>
    <n v="10"/>
    <n v="-20"/>
    <n v="104"/>
    <d v="2014-10-21T00:00:00"/>
    <n v="20852"/>
    <d v="2014-10-12T00:00:00"/>
    <n v="0"/>
    <d v="2014-10-27T00:00:00"/>
    <d v="2014-10-27T00:00:00"/>
    <n v="0"/>
    <d v="2014-11-11T00:00:00"/>
    <d v="2014-11-08T00:00:00"/>
    <n v="-3"/>
    <n v="27"/>
    <d v="2015-02-20T00:00:00"/>
    <n v="104"/>
    <n v="44"/>
    <n v="9.6999999999999993"/>
    <n v="3.0333333333333332"/>
    <d v="2016-07-13T00:00:00"/>
    <m/>
    <d v="2016-07-13T00:00:00"/>
    <m/>
    <d v="2016-07-13T00:00:00"/>
    <n v="30071"/>
    <d v="2016-10-17T00:00:00"/>
    <n v="8517"/>
  </r>
  <r>
    <s v="Z'ambaville (AX 18)"/>
    <x v="4"/>
    <x v="0"/>
    <x v="4"/>
    <s v="PRLC 0153"/>
    <s v="FVA"/>
    <s v="DBE"/>
    <s v="Tvx"/>
    <s v="oui"/>
    <m/>
    <m/>
    <s v="SODEGIS"/>
    <s v="QUINOT"/>
    <d v="2013-05-13T00:00:00"/>
    <n v="1492"/>
    <n v="325000"/>
    <n v="85500"/>
    <n v="36111.111111111109"/>
    <n v="217.82841823056302"/>
    <n v="57.305630026809652"/>
    <n v="103.33949744370717"/>
    <n v="9500"/>
    <n v="165.77777777777777"/>
    <m/>
    <n v="0.55453753351206436"/>
    <s v="UA"/>
    <n v="30"/>
    <m/>
    <s v="LLS"/>
    <n v="9"/>
    <n v="9"/>
    <m/>
    <n v="858.51"/>
    <n v="827.37"/>
    <n v="91.93"/>
    <n v="0"/>
    <n v="0"/>
    <n v="0"/>
    <n v="0.88888888888888884"/>
    <n v="0.1111111111111111"/>
    <m/>
    <n v="0"/>
    <n v="0"/>
    <n v="2"/>
    <m/>
    <s v="B"/>
    <s v="ok"/>
    <s v="non"/>
    <d v="2013-11-26T00:00:00"/>
    <d v="2013-11-13T00:00:00"/>
    <d v="2014-05-14T00:00:00"/>
    <d v="2013-11-18T00:00:00"/>
    <s v="SEGC"/>
    <s v="VERITAS"/>
    <s v="DIDES"/>
    <s v="M2B RUN"/>
    <d v="2014-05-13T00:00:00"/>
    <d v="2014-06-03T00:00:00"/>
    <d v="2014-07-07T00:00:00"/>
    <d v="2014-08-04T00:00:00"/>
    <d v="2016-03-31T00:00:00"/>
    <d v="2016-04-11T00:00:00"/>
    <m/>
    <m/>
    <m/>
    <s v="INTERINVEST"/>
    <s v="Oui"/>
    <m/>
    <s v="Oui"/>
    <s v="Oui"/>
    <s v="PC 97 "/>
    <m/>
    <d v="2014-06-10T00:00:00"/>
    <m/>
    <m/>
    <s v="oui"/>
    <d v="2014-06-30T00:00:00"/>
    <d v="2014-11-20T00:00:00"/>
    <m/>
    <d v="2015-02-19T00:00:00"/>
    <d v="2015-02-24T00:00:00"/>
    <d v="2015-05-23T00:00:00"/>
    <d v="2015-03-11T00:00:00"/>
    <d v="2015-05-22T00:00:00"/>
    <d v="2017-05-22T00:00:00"/>
    <d v="2018-05-22T00:00:00"/>
    <s v="oui"/>
    <s v="ok"/>
    <s v="CIVIS 25/05/15_x000a_Région 12/06/15_x000a_Commune 29/06/15_x000a_CG 30/06/15"/>
    <d v="2015-03-11T00:00:00"/>
    <d v="2015-05-27T00:00:00"/>
    <d v="2015-06-25T00:00:00"/>
    <s v="conv° réserv° 17/09/15_x000a_G 09/11/15"/>
    <d v="2015-03-11T00:00:00"/>
    <d v="2015-04-14T00:00:00"/>
    <d v="2015-06-23T00:00:00"/>
    <m/>
    <d v="2015-03-11T00:00:00"/>
    <d v="2015-04-27T00:00:00"/>
    <d v="2015-05-18T00:00:00"/>
    <m/>
    <d v="2015-03-11T00:00:00"/>
    <d v="2015-05-12T00:00:00"/>
    <d v="2015-06-11T00:00:00"/>
    <m/>
    <s v="MAREL"/>
    <m/>
    <n v="0"/>
    <m/>
    <m/>
    <m/>
    <s v="DS AVOCATS"/>
    <m/>
    <m/>
    <m/>
    <m/>
    <m/>
    <m/>
    <s v="ok"/>
    <m/>
    <d v="2016-04-18T00:00:00"/>
    <d v="2016-06-27T00:00:00"/>
    <d v="2016-06-27T00:00:00"/>
    <m/>
    <d v="2016-06-01T00:00:00"/>
    <m/>
    <d v="2018-01-31T00:00:00"/>
    <d v="2016-05-19T00:00:00"/>
    <d v="2016-08-08T00:00:00"/>
    <d v="2017-01-26T00:00:00"/>
    <d v="2016-05-10T00:00:00"/>
    <m/>
    <n v="13"/>
    <n v="15"/>
    <n v="14"/>
    <n v="15"/>
    <n v="1"/>
    <m/>
    <n v="5363.8647850361422"/>
    <m/>
    <s v="ok"/>
    <m/>
    <m/>
    <d v="2017-08-01T00:00:00"/>
    <d v="1901-12-31T00:00:00"/>
    <m/>
    <m/>
    <m/>
    <m/>
    <m/>
    <d v="2017-09-01T00:00:00"/>
    <d v="2017-09-01T00:00:00"/>
    <s v="à faire"/>
    <m/>
    <s v="RAS"/>
    <m/>
    <m/>
    <m/>
    <m/>
    <m/>
    <m/>
    <m/>
    <m/>
    <m/>
    <m/>
    <m/>
    <m/>
    <m/>
    <m/>
    <m/>
    <m/>
    <m/>
    <n v="1568474"/>
    <n v="1814172"/>
    <n v="245698"/>
    <n v="2113.1635042107837"/>
    <n v="201574.66666666666"/>
    <n v="1344547"/>
    <n v="1545657.7250008537"/>
    <n v="201110.72500085365"/>
    <n v="0.86988253441562946"/>
    <m/>
    <n v="478312"/>
    <n v="614225"/>
    <n v="68247.222222222219"/>
    <n v="135913"/>
    <n v="980627"/>
    <n v="1199946"/>
    <n v="270994"/>
    <n v="928952"/>
    <n v="219319"/>
    <n v="133327.33333333334"/>
    <n v="0"/>
    <n v="85500"/>
    <n v="1"/>
    <n v="0"/>
    <n v="5.5121565099670815E-7"/>
    <m/>
    <n v="0"/>
    <n v="-85499"/>
    <n v="0.1111111111111111"/>
    <m/>
    <n v="-5343.6875"/>
    <n v="5.7"/>
    <n v="5.59"/>
    <n v="0"/>
    <n v="0"/>
    <n v="12284.52"/>
    <m/>
    <n v="12284.52"/>
    <n v="0.33857098444910405"/>
    <m/>
    <m/>
    <n v="24035"/>
    <n v="1814172"/>
    <n v="89040"/>
    <n v="66780"/>
    <d v="2013-02-19T00:00:00"/>
    <n v="7458"/>
    <d v="2013-10-08T00:00:00"/>
    <d v="2013-10-29T00:00:00"/>
    <d v="2013-11-06T00:00:00"/>
    <n v="8"/>
    <d v="2013-12-18T00:00:00"/>
    <n v="42"/>
    <n v="12"/>
    <n v="71"/>
    <d v="2014-01-02T00:00:00"/>
    <n v="15"/>
    <d v="2014-01-23T00:00:00"/>
    <d v="2014-01-30T00:00:00"/>
    <n v="7"/>
    <d v="2014-02-14T00:00:00"/>
    <n v="15"/>
    <n v="-15"/>
    <n v="43"/>
    <d v="2014-02-11T00:00:00"/>
    <n v="5456"/>
    <d v="2014-02-02T00:00:00"/>
    <d v="2014-02-06T00:00:00"/>
    <m/>
    <m/>
    <d v="2014-02-18T00:00:00"/>
    <n v="4"/>
    <d v="2014-03-20T00:00:00"/>
    <d v="2014-04-03T00:00:00"/>
    <n v="14"/>
    <d v="2014-05-14T00:00:00"/>
    <n v="41"/>
    <n v="11"/>
    <n v="85"/>
    <d v="2014-05-14T00:00:00"/>
    <n v="17627"/>
    <d v="2014-06-11T00:00:00"/>
    <n v="28"/>
    <d v="2014-07-11T00:00:00"/>
    <d v="2014-07-10T00:00:00"/>
    <n v="-1"/>
    <d v="2014-11-03T00:00:00"/>
    <n v="116"/>
    <n v="86"/>
    <n v="145"/>
    <d v="2014-11-03T00:00:00"/>
    <n v="13089"/>
    <d v="2014-11-03T00:00:00"/>
    <n v="0"/>
    <d v="2014-11-18T00:00:00"/>
    <d v="2014-11-18T00:00:00"/>
    <n v="0"/>
    <d v="2014-12-03T00:00:00"/>
    <d v="2014-11-28T00:00:00"/>
    <n v="-5"/>
    <n v="25"/>
    <d v="2015-02-20T00:00:00"/>
    <n v="84"/>
    <n v="24"/>
    <n v="9.6999999999999993"/>
    <n v="3.3333333333333339"/>
    <s v="ok"/>
    <m/>
    <s v="ok"/>
    <m/>
    <d v="2016-08-12T00:00:00"/>
    <n v="17699"/>
    <d v="2016-12-08T00:00:00"/>
    <n v="5451"/>
  </r>
  <r>
    <s v="VEFA Paule &amp; Gaston"/>
    <x v="10"/>
    <x v="0"/>
    <x v="5"/>
    <m/>
    <s v="ADE"/>
    <s v="DBE"/>
    <s v="Tvx"/>
    <m/>
    <m/>
    <m/>
    <m/>
    <s v="BARET/GILLOT"/>
    <m/>
    <n v="3092"/>
    <n v="900000"/>
    <n v="369642"/>
    <n v="39130.434782608696"/>
    <n v="291.07373868046574"/>
    <n v="119.54786545924968"/>
    <n v="240.6358940306815"/>
    <n v="16071.391304347826"/>
    <n v="134.43478260869566"/>
    <m/>
    <n v="0.49679980595084089"/>
    <s v="UA"/>
    <m/>
    <m/>
    <s v="LLTS"/>
    <n v="23"/>
    <m/>
    <n v="23"/>
    <n v="1565.14"/>
    <n v="1536.105"/>
    <n v="66.787173913043475"/>
    <m/>
    <n v="0.23"/>
    <m/>
    <m/>
    <m/>
    <m/>
    <m/>
    <m/>
    <n v="4"/>
    <m/>
    <s v="B"/>
    <m/>
    <m/>
    <s v="ok"/>
    <s v="ok"/>
    <d v="2016-04-15T00:00:00"/>
    <m/>
    <m/>
    <m/>
    <m/>
    <m/>
    <m/>
    <m/>
    <m/>
    <m/>
    <m/>
    <m/>
    <m/>
    <m/>
    <m/>
    <s v="OFOI"/>
    <s v="AD archi conseil"/>
    <m/>
    <s v="Oui"/>
    <s v="Oui"/>
    <s v="LOGIS 10"/>
    <m/>
    <d v="2016-06-22T00:00:00"/>
    <d v="2016-07-21T00:00:00"/>
    <m/>
    <s v="ok"/>
    <d v="2016-07-06T00:00:00"/>
    <d v="2016-08-24T00:00:00"/>
    <d v="2016-08-24T00:00:00"/>
    <d v="2016-08-24T00:00:00"/>
    <d v="2016-09-07T00:00:00"/>
    <d v="2016-12-07T00:00:00"/>
    <d v="2016-10-11T00:00:00"/>
    <m/>
    <d v="1901-12-31T00:00:00"/>
    <d v="1902-12-31T00:00:00"/>
    <m/>
    <d v="2016-09-14T00:00:00"/>
    <s v="CG 12/01/17"/>
    <d v="2016-10-10T00:00:00"/>
    <d v="2016-12-07T00:00:00"/>
    <d v="2016-12-26T00:00:00"/>
    <d v="2017-01-12T00:00:00"/>
    <d v="2016-10-10T00:00:00"/>
    <d v="2016-12-16T00:00:00"/>
    <m/>
    <m/>
    <d v="2016-10-11T00:00:00"/>
    <d v="2016-12-12T00:00:00"/>
    <m/>
    <m/>
    <d v="2016-10-10T00:00:00"/>
    <s v="mi-mars  Commission sectorielle"/>
    <m/>
    <m/>
    <s v="MAREL"/>
    <m/>
    <m/>
    <s v="Agrément transmis le 25/08/2016"/>
    <s v="Attente garanties : relance promoteur"/>
    <m/>
    <s v="MAREL"/>
    <m/>
    <m/>
    <s v="SO"/>
    <s v="ok"/>
    <s v="Constats affichage ok_x000a_non recours 31/08/2016"/>
    <s v="promoteur"/>
    <s v="promoteur"/>
    <s v="promoteur"/>
    <d v="2016-12-23T00:00:00"/>
    <m/>
    <m/>
    <m/>
    <d v="2018-06-23T00:00:00"/>
    <m/>
    <m/>
    <m/>
    <d v="2017-02-14T00:00:00"/>
    <m/>
    <d v="2016-08-01T00:00:00"/>
    <m/>
    <n v="16"/>
    <n v="18"/>
    <n v="16"/>
    <n v="17"/>
    <n v="0"/>
    <m/>
    <m/>
    <m/>
    <m/>
    <m/>
    <m/>
    <d v="2017-12-01T00:00:00"/>
    <d v="1901-12-31T00:00:00"/>
    <m/>
    <m/>
    <m/>
    <m/>
    <m/>
    <d v="2018-01-01T00:00:00"/>
    <d v="2018-01-01T00:00:00"/>
    <m/>
    <m/>
    <m/>
    <m/>
    <m/>
    <m/>
    <m/>
    <m/>
    <m/>
    <m/>
    <m/>
    <m/>
    <m/>
    <m/>
    <m/>
    <m/>
    <m/>
    <m/>
    <m/>
    <m/>
    <n v="3245521"/>
    <n v="3202767"/>
    <n v="-42754"/>
    <n v="2046.3134288306476"/>
    <n v="139250.73913043478"/>
    <n v="2739144"/>
    <n v="2739915"/>
    <n v="771"/>
    <n v="0.87344886936826804"/>
    <n v="0.39772600000000002"/>
    <n v="867640"/>
    <n v="901691"/>
    <n v="39203.956521739128"/>
    <n v="34051"/>
    <n v="1848881"/>
    <n v="1772076"/>
    <n v="296327"/>
    <n v="1475749"/>
    <n v="-76805"/>
    <n v="77046.782608695648"/>
    <m/>
    <n v="529000"/>
    <n v="529000"/>
    <m/>
    <n v="0.16516967984246123"/>
    <m/>
    <n v="0"/>
    <n v="0"/>
    <n v="23000"/>
    <n v="62203.956521739128"/>
    <n v="0"/>
    <n v="5.55"/>
    <n v="5.48"/>
    <n v="0"/>
    <n v="0"/>
    <n v="60723.478260869568"/>
    <n v="0"/>
    <n v="62203.956521739128"/>
    <n v="0.4303284434147861"/>
    <n v="0"/>
    <m/>
    <n v="0"/>
    <n v="3202767"/>
    <n v="101410.59907834102"/>
    <n v="84354.894009216587"/>
    <m/>
    <m/>
    <m/>
    <m/>
    <m/>
    <s v="0"/>
    <m/>
    <s v="0"/>
    <n v="-30"/>
    <s v="0"/>
    <m/>
    <s v="0"/>
    <m/>
    <m/>
    <s v="0"/>
    <m/>
    <s v="0"/>
    <m/>
    <s v="0"/>
    <m/>
    <m/>
    <m/>
    <m/>
    <m/>
    <m/>
    <m/>
    <s v="0"/>
    <m/>
    <m/>
    <s v="0"/>
    <m/>
    <s v="0"/>
    <n v="-30"/>
    <s v="0"/>
    <m/>
    <m/>
    <m/>
    <s v="0"/>
    <m/>
    <m/>
    <s v="0"/>
    <m/>
    <s v="0"/>
    <m/>
    <s v="0"/>
    <m/>
    <m/>
    <m/>
    <s v="0"/>
    <m/>
    <m/>
    <s v="0"/>
    <m/>
    <m/>
    <s v="0"/>
    <s v="0"/>
    <m/>
    <s v="0"/>
    <n v="-60"/>
    <n v="9.6999999999999993"/>
    <n v="-9.6999999999999993"/>
    <d v="2016-12-12T00:00:00"/>
    <n v="18438"/>
    <m/>
    <m/>
    <d v="2016-12-23T00:00:00"/>
    <n v="65916.894009216587"/>
    <m/>
    <m/>
  </r>
  <r>
    <s v="VEFA Maurice Lebon"/>
    <x v="5"/>
    <x v="1"/>
    <x v="6"/>
    <s v="PRLC 0163"/>
    <s v="FHO"/>
    <s v="SAR"/>
    <s v="DDA"/>
    <m/>
    <m/>
    <m/>
    <m/>
    <s v="BARET/GILLOT"/>
    <m/>
    <n v="3038"/>
    <n v="690000"/>
    <n v="690000"/>
    <n v="12545.454545454546"/>
    <n v="227.12310730743911"/>
    <n v="227.12310730743911"/>
    <n v="213.33828030794916"/>
    <n v="12545.454545454546"/>
    <n v="55.236363636363635"/>
    <m/>
    <n v="1.0646148782093483"/>
    <s v="UB"/>
    <m/>
    <m/>
    <s v="LLTS"/>
    <n v="55"/>
    <m/>
    <n v="55"/>
    <n v="3218.48"/>
    <n v="3234.3"/>
    <n v="58.805454545454552"/>
    <m/>
    <n v="1"/>
    <m/>
    <m/>
    <m/>
    <m/>
    <n v="0"/>
    <n v="0"/>
    <n v="3"/>
    <m/>
    <m/>
    <m/>
    <m/>
    <d v="2014-10-28T00:00:00"/>
    <s v="17/02/2014_x000a_09/10/14"/>
    <m/>
    <d v="2016-04-28T00:00:00"/>
    <m/>
    <m/>
    <m/>
    <m/>
    <m/>
    <m/>
    <m/>
    <m/>
    <m/>
    <m/>
    <m/>
    <m/>
    <m/>
    <s v="OFOI"/>
    <d v="2015-10-08T00:00:00"/>
    <d v="2016-10-08T00:00:00"/>
    <m/>
    <m/>
    <s v="IONIQUE 5"/>
    <m/>
    <d v="2015-11-12T00:00:00"/>
    <m/>
    <m/>
    <d v="2015-11-30T00:00:00"/>
    <d v="2016-10-06T00:00:00"/>
    <d v="2016-11-23T00:00:00"/>
    <d v="2016-11-24T00:00:00"/>
    <s v="ok"/>
    <d v="2016-12-15T00:00:00"/>
    <d v="2017-03-11T00:00:00"/>
    <d v="2016-12-23T00:00:00"/>
    <m/>
    <d v="1901-12-31T00:00:00"/>
    <d v="1902-12-31T00:00:00"/>
    <m/>
    <m/>
    <m/>
    <d v="2016-12-23T00:00:00"/>
    <m/>
    <m/>
    <m/>
    <d v="2016-12-23T00:00:00"/>
    <m/>
    <m/>
    <m/>
    <d v="2016-12-23T00:00:00"/>
    <m/>
    <m/>
    <m/>
    <d v="2016-12-23T00:00:00"/>
    <s v="mi-mars  Commission sectorielle"/>
    <m/>
    <m/>
    <s v="BARET/GILLOT"/>
    <m/>
    <n v="0"/>
    <m/>
    <m/>
    <m/>
    <s v="MAREL / DS"/>
    <m/>
    <m/>
    <s v="SO"/>
    <m/>
    <m/>
    <d v="2017-02-01T00:00:00"/>
    <s v="promoteur"/>
    <s v="promoteur"/>
    <d v="2013-12-23T00:00:00"/>
    <m/>
    <m/>
    <m/>
    <d v="2015-06-23T00:00:00"/>
    <m/>
    <m/>
    <m/>
    <m/>
    <m/>
    <d v="2017-02-01T00:00:00"/>
    <m/>
    <n v="18"/>
    <n v="20"/>
    <n v="18"/>
    <n v="19"/>
    <n v="0"/>
    <m/>
    <m/>
    <m/>
    <m/>
    <m/>
    <m/>
    <d v="2018-08-01T00:00:00"/>
    <d v="1901-12-31T00:00:00"/>
    <m/>
    <m/>
    <m/>
    <m/>
    <m/>
    <d v="2018-09-01T00:00:00"/>
    <d v="2018-09-01T00:00:00"/>
    <m/>
    <m/>
    <m/>
    <m/>
    <m/>
    <m/>
    <m/>
    <m/>
    <m/>
    <m/>
    <m/>
    <m/>
    <m/>
    <m/>
    <m/>
    <m/>
    <m/>
    <m/>
    <m/>
    <m/>
    <n v="6578594.558091728"/>
    <n v="6893824"/>
    <m/>
    <n v="2141.9502373791356"/>
    <n v="125342.25454545455"/>
    <n v="5462235"/>
    <n v="5874333.7564800717"/>
    <n v="412098.75648007169"/>
    <n v="0.87000984727288555"/>
    <n v="0.39772600000000002"/>
    <n v="1733988.3513843757"/>
    <n v="1928374"/>
    <n v="35061.345454545452"/>
    <n v="194385.64861562429"/>
    <n v="3744606.2067073518"/>
    <n v="3865450"/>
    <n v="738146"/>
    <n v="3127304"/>
    <n v="120843.79329264816"/>
    <n v="70280.909090909088"/>
    <m/>
    <n v="1100000"/>
    <n v="1100000"/>
    <n v="0"/>
    <n v="0.15956311040142598"/>
    <m/>
    <n v="0"/>
    <n v="0"/>
    <n v="20000"/>
    <n v="55061.345454545452"/>
    <n v="0"/>
    <n v="5.78"/>
    <n v="5.69"/>
    <n v="0"/>
    <n v="0"/>
    <n v="55061.345454545452"/>
    <n v="0"/>
    <n v="55061.345454545452"/>
    <n v="0.43928797718073453"/>
    <n v="0"/>
    <m/>
    <n v="0"/>
    <n v="6893824"/>
    <n v="234959.82488479264"/>
    <n v="129228"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m/>
    <m/>
    <s v="0"/>
    <m/>
    <s v="0"/>
    <n v="-30"/>
    <s v="0"/>
    <m/>
    <m/>
    <m/>
    <s v="0"/>
    <m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n v="129228"/>
    <m/>
    <m/>
    <m/>
    <m/>
    <m/>
    <m/>
  </r>
  <r>
    <s v="Fleurs jaunes (Ilôt 6.1)"/>
    <x v="4"/>
    <x v="0"/>
    <x v="4"/>
    <s v="PRLC 0160"/>
    <s v="FHO"/>
    <s v="DBE"/>
    <s v="OS"/>
    <m/>
    <m/>
    <s v="convention paroi clouée OK / notaire doit rédiger une constitution de servitude"/>
    <s v="SODEGIS"/>
    <s v="QUINOT"/>
    <m/>
    <n v="2529"/>
    <n v="217810"/>
    <n v="217810"/>
    <n v="7260.333333333333"/>
    <n v="86.124950573349153"/>
    <n v="86.124950573349153"/>
    <n v="84.317900278724068"/>
    <n v="7260.333333333333"/>
    <n v="84.3"/>
    <n v="1077.3"/>
    <n v="1.0214313958086199"/>
    <m/>
    <n v="110"/>
    <m/>
    <s v="LLTS"/>
    <n v="30"/>
    <m/>
    <n v="30"/>
    <n v="2546.5500000000002"/>
    <n v="2583.1999999999998"/>
    <n v="86.106666666666655"/>
    <n v="6.6666666666666666E-2"/>
    <n v="0.4"/>
    <n v="0.4"/>
    <n v="0.1"/>
    <n v="3.3333333333333333E-2"/>
    <m/>
    <n v="0"/>
    <n v="0"/>
    <n v="4"/>
    <m/>
    <s v="A"/>
    <s v="ok"/>
    <m/>
    <d v="2013-11-26T00:00:00"/>
    <d v="2014-01-28T00:00:00"/>
    <m/>
    <d v="2014-03-06T00:00:00"/>
    <s v="SEGC"/>
    <s v="PREVENTIO"/>
    <s v="DIDES"/>
    <s v="CPC"/>
    <d v="2014-02-24T00:00:00"/>
    <d v="2014-04-24T00:00:00"/>
    <d v="2014-05-26T00:00:00"/>
    <d v="2014-06-25T00:00:00"/>
    <m/>
    <m/>
    <m/>
    <m/>
    <m/>
    <s v="OFOI"/>
    <d v="2014-07-02T00:00:00"/>
    <d v="2015-07-02T00:00:00"/>
    <s v="ok"/>
    <m/>
    <s v="IONIQUE 4"/>
    <m/>
    <d v="2014-09-08T00:00:00"/>
    <m/>
    <d v="2015-09-07T00:00:00"/>
    <s v="oui"/>
    <s v="ok"/>
    <d v="2015-09-09T00:00:00"/>
    <m/>
    <s v="ok"/>
    <d v="2015-09-15T00:00:00"/>
    <d v="2015-12-15T00:00:00"/>
    <d v="2015-09-22T00:00:00"/>
    <d v="2015-09-15T00:00:00"/>
    <d v="2017-09-15T00:00:00"/>
    <d v="2018-09-15T00:00:00"/>
    <s v="oui"/>
    <s v="ok"/>
    <s v="16/12/15 Région _x000a_16/12/15 Commune_x000a_10/02/16 CIVIS_x000a_11/05/16 CG"/>
    <d v="2015-09-21T00:00:00"/>
    <d v="2016-02-24T00:00:00"/>
    <d v="2016-04-18T00:00:00"/>
    <s v="attente retour conv° garantie par signée CG &amp; transmise au CG 11/05/16"/>
    <d v="2015-09-21T00:00:00"/>
    <d v="2015-11-03T00:00:00"/>
    <d v="2015-12-16T00:00:00"/>
    <s v="Mail 16/12/15"/>
    <d v="2015-09-21T00:00:00"/>
    <d v="2015-12-17T00:00:00"/>
    <d v="2016-02-09T00:00:00"/>
    <d v="2016-02-10T00:00:00"/>
    <d v="2015-09-21T00:00:00"/>
    <d v="2015-11-03T00:00:00"/>
    <d v="2015-12-16T00:00:00"/>
    <m/>
    <s v="AUBERT"/>
    <m/>
    <n v="0"/>
    <s v="relance RO 11/10/16"/>
    <d v="2016-10-25T00:00:00"/>
    <s v="ok"/>
    <s v="DS AVOCATS"/>
    <m/>
    <m/>
    <d v="2015-02-20T00:00:00"/>
    <s v="ok"/>
    <s v="ok"/>
    <d v="2015-11-18T00:00:00"/>
    <s v="paiement OK"/>
    <s v="SO"/>
    <s v="_x000a_21/12/16_x000a__x000a_"/>
    <s v="Conv° cadre 24/02/16"/>
    <m/>
    <m/>
    <e v="#VALUE!"/>
    <d v="2017-06-22T00:00:00"/>
    <m/>
    <m/>
    <m/>
    <m/>
    <d v="2017-02-06T00:00:00"/>
    <d v="2016-02-01T00:00:00"/>
    <n v="16"/>
    <n v="18"/>
    <n v="16"/>
    <n v="17"/>
    <n v="0"/>
    <m/>
    <n v="12880.082339110333"/>
    <m/>
    <d v="2016-11-28T00:00:00"/>
    <m/>
    <m/>
    <d v="2018-06-06T00:00:00"/>
    <d v="2019-06-22T00:00:00"/>
    <m/>
    <m/>
    <m/>
    <m/>
    <m/>
    <d v="2018-07-06T00:00:00"/>
    <d v="2018-07-06T00:00:00"/>
    <m/>
    <m/>
    <m/>
    <m/>
    <m/>
    <m/>
    <m/>
    <m/>
    <m/>
    <m/>
    <m/>
    <m/>
    <m/>
    <m/>
    <m/>
    <m/>
    <m/>
    <m/>
    <m/>
    <m/>
    <n v="4943575.0199999996"/>
    <n v="4768707"/>
    <n v="-174868.01999999955"/>
    <n v="1872.614714024857"/>
    <n v="158956.9"/>
    <n v="4386257"/>
    <n v="3720168"/>
    <n v="-666089"/>
    <n v="0.79650343961161785"/>
    <m/>
    <n v="1393063.02"/>
    <n v="1462621"/>
    <n v="48754.033333333333"/>
    <n v="69557.979999999981"/>
    <n v="2950512"/>
    <n v="2706086"/>
    <n v="461009"/>
    <n v="2245077"/>
    <n v="-244426"/>
    <n v="90202.866666666669"/>
    <m/>
    <n v="600000"/>
    <n v="600000"/>
    <n v="0"/>
    <n v="0.12582026951959935"/>
    <m/>
    <n v="0"/>
    <n v="0"/>
    <n v="20000"/>
    <n v="68754.03333333334"/>
    <n v="0"/>
    <n v="6.29"/>
    <n v="6.16"/>
    <n v="0"/>
    <n v="0"/>
    <n v="68754.03333333334"/>
    <n v="0"/>
    <n v="68754.03333333334"/>
    <n v="0.43253255022797582"/>
    <n v="0"/>
    <m/>
    <n v="0"/>
    <n v="4768707"/>
    <n v="230736"/>
    <n v="149978"/>
    <d v="2013-12-19T00:00:00"/>
    <n v="47620"/>
    <d v="2013-10-07T00:00:00"/>
    <d v="2013-10-28T00:00:00"/>
    <d v="2013-11-21T00:00:00"/>
    <n v="24"/>
    <d v="2013-11-28T00:00:00"/>
    <n v="7"/>
    <n v="-23"/>
    <n v="52"/>
    <d v="2013-11-28T00:00:00"/>
    <n v="0"/>
    <d v="2013-12-19T00:00:00"/>
    <d v="2013-12-19T00:00:00"/>
    <n v="0"/>
    <d v="2014-03-10T00:00:00"/>
    <n v="81"/>
    <n v="51"/>
    <n v="102"/>
    <d v="2004-02-28T00:00:00"/>
    <n v="12520"/>
    <m/>
    <d v="2013-12-17T00:00:00"/>
    <m/>
    <m/>
    <d v="2014-03-10T00:00:00"/>
    <n v="0"/>
    <d v="2014-04-09T00:00:00"/>
    <d v="2014-04-17T00:00:00"/>
    <n v="8"/>
    <d v="2014-07-15T00:00:00"/>
    <n v="89"/>
    <n v="59"/>
    <n v="127"/>
    <d v="2014-06-30T00:00:00"/>
    <n v="24983"/>
    <d v="2014-07-15T00:00:00"/>
    <n v="0"/>
    <d v="2014-08-14T00:00:00"/>
    <d v="2014-08-14T00:00:00"/>
    <n v="0"/>
    <d v="2014-09-10T00:00:00"/>
    <n v="27"/>
    <n v="-3"/>
    <n v="57"/>
    <d v="2014-12-17T00:00:00"/>
    <n v="36513"/>
    <d v="2014-09-10T00:00:00"/>
    <n v="0"/>
    <d v="2014-09-25T00:00:00"/>
    <d v="2014-10-02T00:00:00"/>
    <n v="7"/>
    <d v="2014-10-17T00:00:00"/>
    <d v="2014-10-16T00:00:00"/>
    <n v="-1"/>
    <n v="36"/>
    <d v="2015-02-20T00:00:00"/>
    <n v="127"/>
    <n v="67"/>
    <n v="9.6999999999999993"/>
    <n v="1.8000000000000007"/>
    <d v="2016-12-23T00:00:00"/>
    <m/>
    <d v="2016-12-23T00:00:00"/>
    <n v="28342"/>
    <m/>
    <m/>
    <m/>
    <m/>
  </r>
  <r>
    <s v="Plaine St Paul"/>
    <x v="9"/>
    <x v="2"/>
    <x v="6"/>
    <s v="PRLC 0167"/>
    <s v="FBR"/>
    <s v="DBE"/>
    <s v="DDA"/>
    <s v="dde pièces entr OK_x000a_lettre de rejet à la signature_x000a_signature marchés à compter du 23_x000a_pas reçu dossier marché"/>
    <m/>
    <s v="acte signé"/>
    <s v="EPFR / RUET"/>
    <s v="BARET/GILLOT"/>
    <m/>
    <n v="1767"/>
    <n v="210000"/>
    <n v="210000"/>
    <n v="11666.666666666666"/>
    <n v="118.84550084889644"/>
    <n v="118.84550084889644"/>
    <n v="122.68720021966851"/>
    <n v="11666.666666666666"/>
    <n v="98.166666666666671"/>
    <m/>
    <m/>
    <s v="UB4"/>
    <n v="200"/>
    <m/>
    <s v="LLTS"/>
    <n v="18"/>
    <m/>
    <n v="18"/>
    <n v="1709.55"/>
    <n v="1711.67"/>
    <n v="95.092777777777783"/>
    <n v="0"/>
    <n v="0"/>
    <n v="0.55555555555555558"/>
    <n v="0.22222222222222221"/>
    <n v="0.22222222222222221"/>
    <m/>
    <n v="0"/>
    <n v="0"/>
    <n v="3"/>
    <m/>
    <s v="B"/>
    <s v="oui"/>
    <s v="oui"/>
    <d v="2014-10-28T00:00:00"/>
    <d v="2014-10-08T00:00:00"/>
    <m/>
    <m/>
    <s v="SEGC"/>
    <s v="ARCHITEX"/>
    <s v="DIDES"/>
    <s v="Masanelli"/>
    <d v="2015-03-09T00:00:00"/>
    <d v="2015-04-08T00:00:00"/>
    <d v="2015-05-07T00:00:00"/>
    <d v="2015-06-11T00:00:00"/>
    <m/>
    <m/>
    <m/>
    <m/>
    <m/>
    <s v="OFOI"/>
    <d v="2015-05-21T00:00:00"/>
    <d v="2016-05-21T00:00:00"/>
    <s v="Oui"/>
    <s v="Oui"/>
    <s v="LOGIS 9"/>
    <m/>
    <d v="2015-11-12T00:00:00"/>
    <m/>
    <m/>
    <s v="27/04/2015_x000a_21/07/15"/>
    <d v="2016-07-22T00:00:00"/>
    <d v="2016-08-25T00:00:00"/>
    <d v="2016-08-25T00:00:00"/>
    <d v="2016-08-26T00:00:00"/>
    <d v="2016-09-07T00:00:00"/>
    <d v="2016-12-07T00:00:00"/>
    <d v="2016-10-05T00:00:00"/>
    <m/>
    <d v="1901-12-31T00:00:00"/>
    <d v="1902-12-31T00:00:00"/>
    <m/>
    <d v="2016-09-14T00:00:00"/>
    <d v="2016-12-21T00:00:00"/>
    <s v="SO"/>
    <m/>
    <m/>
    <m/>
    <s v="SO"/>
    <m/>
    <m/>
    <m/>
    <d v="2016-10-06T00:00:00"/>
    <d v="2016-12-13T00:00:00"/>
    <d v="2016-12-16T00:00:00"/>
    <d v="2016-12-21T00:00:00"/>
    <s v="SO"/>
    <m/>
    <m/>
    <m/>
    <s v="BARET/GILLOT"/>
    <m/>
    <m/>
    <d v="2016-09-09T00:00:00"/>
    <d v="2016-11-04T00:00:00"/>
    <m/>
    <s v="MAREL / DS"/>
    <m/>
    <m/>
    <d v="2016-04-12T00:00:00"/>
    <s v="ok"/>
    <s v="ok"/>
    <s v="ok"/>
    <s v="en signature au 30/09/16_x000a_34 921,07_x000a_payé 03/11/16"/>
    <s v="SO"/>
    <d v="2016-12-15T00:00:00"/>
    <m/>
    <m/>
    <m/>
    <d v="2018-06-15T00:00:00"/>
    <m/>
    <m/>
    <m/>
    <m/>
    <m/>
    <d v="2017-02-06T00:00:00"/>
    <m/>
    <n v="16"/>
    <n v="18"/>
    <n v="16"/>
    <n v="17"/>
    <n v="0"/>
    <m/>
    <m/>
    <m/>
    <m/>
    <m/>
    <m/>
    <d v="2018-06-06T00:00:00"/>
    <d v="1901-12-31T00:00:00"/>
    <m/>
    <m/>
    <m/>
    <m/>
    <m/>
    <d v="2018-07-06T00:00:00"/>
    <d v="2018-07-06T00:00:00"/>
    <m/>
    <m/>
    <m/>
    <m/>
    <m/>
    <m/>
    <m/>
    <m/>
    <m/>
    <m/>
    <m/>
    <m/>
    <m/>
    <m/>
    <m/>
    <m/>
    <m/>
    <m/>
    <m/>
    <m/>
    <n v="3425875.7637468651"/>
    <n v="1342780"/>
    <n v="-2083095.7637468651"/>
    <n v="785.45816150448945"/>
    <n v="74598.888888888891"/>
    <n v="3100225"/>
    <n v="2697771.947337376"/>
    <n v="-402453.05266262405"/>
    <n v="2.0512855108293695"/>
    <n v="0.39772600000000002"/>
    <n v="1068687.828"/>
    <n v="982780"/>
    <n v="54598.888888888891"/>
    <n v="-85907.82799999998"/>
    <n v="1997187.9357468651"/>
    <n v="0"/>
    <n v="334225"/>
    <n v="1690516"/>
    <n v="-1997187.9357468651"/>
    <n v="0"/>
    <m/>
    <n v="360000"/>
    <n v="360000"/>
    <m/>
    <n v="0.26810050790151774"/>
    <m/>
    <n v="0"/>
    <n v="0"/>
    <n v="20000"/>
    <n v="74598.888888888891"/>
    <n v="0"/>
    <n v="5.0199999999999996"/>
    <n v="4.8499999999999996"/>
    <n v="0"/>
    <n v="0"/>
    <n v="74598.888888888891"/>
    <n v="0"/>
    <n v="74598.888888888891"/>
    <n v="1"/>
    <n v="0"/>
    <m/>
    <n v="0"/>
    <n v="1342780"/>
    <n v="167759"/>
    <n v="109043"/>
    <d v="2014-10-29T00:00:00"/>
    <n v="19485"/>
    <d v="2014-06-23T00:00:00"/>
    <d v="2014-07-14T00:00:00"/>
    <d v="2014-07-10T00:00:00"/>
    <n v="-4"/>
    <d v="2014-12-05T00:00:00"/>
    <n v="148"/>
    <n v="118"/>
    <n v="165"/>
    <d v="2014-12-05T00:00:00"/>
    <n v="0"/>
    <d v="2014-12-26T00:00:00"/>
    <d v="2014-12-03T00:00:00"/>
    <n v="-23"/>
    <d v="2015-01-22T00:00:00"/>
    <n v="50"/>
    <n v="20"/>
    <n v="48"/>
    <d v="2014-12-19T00:00:00"/>
    <m/>
    <m/>
    <d v="2014-12-23T00:00:00"/>
    <d v="2014-12-19T00:00:00"/>
    <n v="29228"/>
    <d v="2015-02-03T00:00:00"/>
    <n v="12"/>
    <d v="2015-03-05T00:00:00"/>
    <d v="2015-03-04T00:00:00"/>
    <n v="-1"/>
    <d v="2015-03-15T00:00:00"/>
    <n v="11"/>
    <n v="-19"/>
    <n v="40"/>
    <d v="2015-03-23T00:00:00"/>
    <n v="10005"/>
    <d v="2015-05-04T00:00:00"/>
    <n v="50"/>
    <d v="2015-06-03T00:00:00"/>
    <d v="2015-06-15T00:00:00"/>
    <n v="12"/>
    <d v="2015-07-01T00:00:00"/>
    <n v="16"/>
    <n v="-14"/>
    <n v="58"/>
    <d v="2015-07-17T00:00:00"/>
    <n v="25161"/>
    <d v="2015-09-07T00:00:00"/>
    <n v="68"/>
    <d v="2015-09-22T00:00:00"/>
    <d v="2015-09-29T00:00:00"/>
    <n v="7"/>
    <d v="2015-10-14T00:00:00"/>
    <d v="2015-12-14T00:00:00"/>
    <n v="61"/>
    <n v="98"/>
    <d v="2016-04-12T00:00:00"/>
    <n v="120"/>
    <n v="60"/>
    <n v="9.6999999999999993"/>
    <n v="5.2333333333333343"/>
    <d v="2016-12-15T00:00:00"/>
    <m/>
    <d v="2016-12-15T00:00:00"/>
    <n v="25164"/>
    <m/>
    <m/>
    <m/>
    <m/>
  </r>
  <r>
    <s v="Lacaussade 3"/>
    <x v="5"/>
    <x v="1"/>
    <x v="6"/>
    <s v="PRLC 0166"/>
    <s v="FBR"/>
    <s v="RTA"/>
    <s v="AO"/>
    <s v="dde pièces entr OK_x000a_lettre de rejet à la signature_x000a_signature marchés à compter du 23_x000a_pas reçu dossier marché"/>
    <m/>
    <m/>
    <s v="SODEGIS"/>
    <s v="LE GOFF"/>
    <m/>
    <n v="779"/>
    <n v="195000"/>
    <n v="195000"/>
    <n v="9750"/>
    <n v="250.32092426187421"/>
    <n v="250.32092426187421"/>
    <n v="149.62708326939014"/>
    <n v="9750"/>
    <n v="38.950000000000003"/>
    <m/>
    <n v="1.6729653401797175"/>
    <s v="UA"/>
    <n v="35"/>
    <n v="0"/>
    <s v="LLTS"/>
    <n v="20"/>
    <m/>
    <n v="20"/>
    <n v="1304.1600000000001"/>
    <n v="1303.24"/>
    <n v="65.162000000000006"/>
    <n v="0.2"/>
    <n v="0.4"/>
    <n v="0.2"/>
    <n v="0.2"/>
    <n v="0"/>
    <m/>
    <n v="0"/>
    <n v="0"/>
    <n v="4"/>
    <m/>
    <s v="B"/>
    <s v="oui"/>
    <s v="non"/>
    <d v="2014-10-28T00:00:00"/>
    <d v="2014-10-09T00:00:00"/>
    <m/>
    <d v="2014-11-27T00:00:00"/>
    <s v="SEGC"/>
    <s v="ARCHITEX"/>
    <s v="DIDES"/>
    <s v="CHADRIN"/>
    <d v="2015-05-29T00:00:00"/>
    <d v="2015-06-25T00:00:00"/>
    <d v="2015-07-25T00:00:00"/>
    <d v="2015-08-25T00:00:00"/>
    <m/>
    <m/>
    <d v="2015-09-08T00:00:00"/>
    <m/>
    <m/>
    <s v="OFOI"/>
    <d v="2015-05-20T00:00:00"/>
    <d v="2016-05-20T00:00:00"/>
    <s v="Oui"/>
    <s v="Oui"/>
    <s v="LOGIS 8"/>
    <m/>
    <d v="2015-09-02T00:00:00"/>
    <m/>
    <d v="2015-09-14T00:00:00"/>
    <s v="ok"/>
    <d v="2016-07-28T00:00:00"/>
    <d v="2016-08-24T00:00:00"/>
    <d v="2016-08-24T00:00:00"/>
    <d v="2016-08-24T00:00:00"/>
    <d v="2016-09-07T00:00:00"/>
    <d v="2016-12-07T00:00:00"/>
    <d v="2016-10-03T00:00:00"/>
    <m/>
    <d v="1901-12-31T00:00:00"/>
    <d v="1902-12-31T00:00:00"/>
    <m/>
    <s v="14/09/2016_x000a_retour 28/09 pour signature"/>
    <s v="Commune 21/12/16_x000a_CG 12/01/17_x000a_CASUD non reçue &amp; non conforme"/>
    <d v="2016-10-06T00:00:00"/>
    <d v="2016-12-07T00:00:00"/>
    <d v="2016-12-26T00:00:00"/>
    <s v="12/01/2017 mail_x000a_30/01/2017 papier"/>
    <d v="2016-10-06T00:00:00"/>
    <d v="2016-12-02T00:00:00"/>
    <d v="2016-12-15T00:00:00"/>
    <d v="2016-12-21T00:00:00"/>
    <d v="2016-10-10T00:00:00"/>
    <d v="2016-12-02T00:00:00"/>
    <m/>
    <m/>
    <d v="2016-10-06T00:00:00"/>
    <s v="mi-mars  Commission sectorielle"/>
    <m/>
    <m/>
    <s v="LE GOFF"/>
    <m/>
    <m/>
    <d v="2016-09-19T00:00:00"/>
    <d v="2016-11-07T00:00:00"/>
    <m/>
    <s v="MAREL / DS"/>
    <m/>
    <m/>
    <d v="2016-06-07T00:00:00"/>
    <s v="ok"/>
    <s v="ok"/>
    <d v="2016-11-03T00:00:00"/>
    <s v="ok"/>
    <s v="ok"/>
    <d v="2016-12-15T00:00:00"/>
    <m/>
    <m/>
    <m/>
    <d v="2018-06-15T00:00:00"/>
    <m/>
    <m/>
    <m/>
    <m/>
    <m/>
    <d v="2017-02-07T00:00:00"/>
    <m/>
    <n v="16"/>
    <n v="18"/>
    <n v="16"/>
    <n v="17"/>
    <n v="0"/>
    <m/>
    <m/>
    <m/>
    <m/>
    <m/>
    <m/>
    <d v="2018-06-07T00:00:00"/>
    <d v="1901-12-31T00:00:00"/>
    <m/>
    <m/>
    <m/>
    <m/>
    <m/>
    <d v="2018-07-07T00:00:00"/>
    <d v="2018-07-07T00:00:00"/>
    <m/>
    <m/>
    <m/>
    <m/>
    <m/>
    <m/>
    <m/>
    <m/>
    <m/>
    <m/>
    <m/>
    <m/>
    <m/>
    <m/>
    <m/>
    <m/>
    <m/>
    <m/>
    <m/>
    <m/>
    <n v="2722212.2295052204"/>
    <n v="2759523"/>
    <n v="37310.770494779572"/>
    <n v="2115.938995215311"/>
    <n v="137976.15"/>
    <n v="2475597.5350000001"/>
    <n v="2036370.9416817785"/>
    <n v="-439226.59331822162"/>
    <n v="0.75343989938010869"/>
    <n v="0.39772600000000002"/>
    <n v="819282.73457759398"/>
    <n v="803098"/>
    <n v="40154.9"/>
    <n v="-16184.734577593976"/>
    <n v="1502929.4949276266"/>
    <n v="1544668"/>
    <n v="339371"/>
    <n v="1205297"/>
    <n v="41738.505072373431"/>
    <n v="77233.399999999994"/>
    <m/>
    <n v="400000"/>
    <n v="400000"/>
    <m/>
    <n v="0.14495258782043127"/>
    <m/>
    <n v="11757"/>
    <n v="0"/>
    <n v="20000"/>
    <n v="60154.9"/>
    <n v="0"/>
    <n v="5.59"/>
    <n v="5.49"/>
    <n v="0"/>
    <n v="0"/>
    <n v="60154.9"/>
    <n v="0"/>
    <n v="60154.9"/>
    <n v="0.43598042125396308"/>
    <n v="0"/>
    <m/>
    <n v="0"/>
    <n v="2759523"/>
    <n v="131447"/>
    <n v="85440"/>
    <d v="2014-10-24T00:00:00"/>
    <n v="13352"/>
    <d v="2014-08-11T00:00:00"/>
    <d v="2014-09-01T00:00:00"/>
    <d v="2014-09-10T00:00:00"/>
    <n v="9"/>
    <d v="2014-11-06T00:00:00"/>
    <n v="57"/>
    <n v="27"/>
    <n v="87"/>
    <d v="2014-11-06T00:00:00"/>
    <n v="0"/>
    <d v="2014-11-27T00:00:00"/>
    <d v="2014-12-19T00:00:00"/>
    <n v="22"/>
    <d v="2015-01-23T00:00:00"/>
    <n v="35"/>
    <n v="5"/>
    <n v="78"/>
    <m/>
    <n v="6171"/>
    <m/>
    <d v="2015-02-06T00:00:00"/>
    <d v="2015-03-03T00:00:00"/>
    <n v="12860"/>
    <d v="2015-01-23T00:00:00"/>
    <n v="0"/>
    <d v="2015-02-22T00:00:00"/>
    <d v="2015-03-05T00:00:00"/>
    <n v="11"/>
    <d v="2015-04-27T00:00:00"/>
    <n v="53"/>
    <n v="23"/>
    <n v="94"/>
    <d v="2015-04-27T00:00:00"/>
    <n v="13828"/>
    <d v="2015-06-29T00:00:00"/>
    <n v="63"/>
    <d v="2015-07-29T00:00:00"/>
    <d v="2015-08-07T00:00:00"/>
    <n v="9"/>
    <d v="2015-08-28T00:00:00"/>
    <n v="21"/>
    <n v="-9"/>
    <n v="60"/>
    <m/>
    <n v="19512"/>
    <d v="2015-09-07T00:00:00"/>
    <n v="10"/>
    <d v="2015-09-22T00:00:00"/>
    <d v="2016-03-17T00:00:00"/>
    <n v="177"/>
    <d v="2016-04-01T00:00:00"/>
    <d v="2016-03-15T00:00:00"/>
    <n v="-17"/>
    <n v="190"/>
    <d v="2016-06-07T00:00:00"/>
    <n v="84"/>
    <n v="24"/>
    <n v="9.6999999999999993"/>
    <n v="9.2666666666666657"/>
    <d v="2016-12-13T00:00:00"/>
    <m/>
    <d v="2016-12-13T00:00:00"/>
    <n v="19717"/>
    <m/>
    <m/>
    <m/>
    <m/>
  </r>
  <r>
    <s v="FAHAM (Ilôt 5.6)"/>
    <x v="4"/>
    <x v="0"/>
    <x v="5"/>
    <s v="PRLC 0156"/>
    <s v="ADE"/>
    <s v="KGI"/>
    <s v="Tvx"/>
    <s v="oui"/>
    <m/>
    <m/>
    <s v="SODEGIS"/>
    <s v="QUINOT"/>
    <m/>
    <n v="3126"/>
    <n v="268450"/>
    <n v="268450"/>
    <n v="8948.3333333333339"/>
    <n v="85.876519513755596"/>
    <n v="85.876519513755596"/>
    <n v="100.23149012433259"/>
    <n v="8948.3333333333339"/>
    <n v="104.2"/>
    <n v="1264.3499999999999"/>
    <n v="0.85678182981445938"/>
    <m/>
    <n v="100"/>
    <m/>
    <s v="LLS"/>
    <n v="30"/>
    <n v="30"/>
    <m/>
    <n v="2596.9"/>
    <n v="2678.3"/>
    <n v="89.276666666666671"/>
    <n v="0"/>
    <n v="0"/>
    <n v="0.53333333333333333"/>
    <n v="0.4"/>
    <n v="6.6666666666666666E-2"/>
    <m/>
    <n v="0"/>
    <n v="0"/>
    <n v="3"/>
    <n v="1"/>
    <s v="B"/>
    <s v="ok"/>
    <s v="oui"/>
    <d v="2014-01-30T00:00:00"/>
    <d v="2014-01-28T00:00:00"/>
    <d v="2014-05-28T00:00:00"/>
    <d v="2014-02-20T00:00:00"/>
    <s v="SEGC"/>
    <s v="SOCOTEC"/>
    <s v="VERITAS"/>
    <s v="CHADRIN"/>
    <d v="2014-05-28T00:00:00"/>
    <d v="2014-06-19T00:00:00"/>
    <d v="2014-08-02T00:00:00"/>
    <d v="2016-08-19T00:00:00"/>
    <m/>
    <m/>
    <m/>
    <m/>
    <m/>
    <s v="INGEPAR"/>
    <d v="2014-05-27T00:00:00"/>
    <d v="2015-05-15T00:00:00"/>
    <s v="Oui"/>
    <s v="Oui"/>
    <s v="LS 97"/>
    <s v="SO"/>
    <d v="2016-08-19T00:00:00"/>
    <d v="2016-09-13T00:00:00"/>
    <m/>
    <s v="oui"/>
    <s v="19/06/2014_x000a_18/11/15"/>
    <s v="30/06/2014_x000a_09/09/16"/>
    <d v="2016-09-14T00:00:00"/>
    <d v="2014-10-20T00:00:00"/>
    <d v="2015-01-23T00:00:00"/>
    <d v="2015-04-23T00:00:00"/>
    <d v="2015-03-11T00:00:00"/>
    <d v="2015-01-23T00:00:00"/>
    <d v="2018-01-23T00:00:00"/>
    <d v="2019-01-23T00:00:00"/>
    <s v="non"/>
    <s v="ok"/>
    <s v="CIVIS 25/05/15_x000a_Région 12/06/15_x000a_Commune 29/06/15_x000a_CG 30/06/15"/>
    <d v="2015-02-27T00:00:00"/>
    <d v="2015-05-27T00:00:00"/>
    <d v="2015-06-25T00:00:00"/>
    <s v="conv° réserv° 17/09/15_x000a_G 09/11/15"/>
    <d v="2015-02-27T00:00:00"/>
    <d v="2015-04-14T00:00:00"/>
    <d v="2015-06-23T00:00:00"/>
    <m/>
    <d v="2015-02-27T00:00:00"/>
    <d v="2015-04-27T00:00:00"/>
    <d v="2015-05-18T00:00:00"/>
    <m/>
    <d v="2015-02-27T00:00:00"/>
    <d v="2015-05-12T00:00:00"/>
    <d v="2015-06-11T00:00:00"/>
    <m/>
    <s v="LE GOFF"/>
    <m/>
    <n v="0"/>
    <s v="résa 04/09/14"/>
    <d v="2016-09-26T00:00:00"/>
    <s v="ok"/>
    <s v="DS AVOCATS"/>
    <m/>
    <m/>
    <d v="2015-02-20T00:00:00"/>
    <s v="ok"/>
    <s v="ok"/>
    <d v="2016-11-03T00:00:00"/>
    <s v="55220,02 _x000a_27/10/16"/>
    <s v="SO"/>
    <d v="2016-11-15T00:00:00"/>
    <m/>
    <m/>
    <m/>
    <d v="2018-05-15T00:00:00"/>
    <m/>
    <m/>
    <m/>
    <m/>
    <m/>
    <d v="2017-02-14T00:00:00"/>
    <d v="2016-02-01T00:00:00"/>
    <n v="16"/>
    <n v="18"/>
    <n v="16"/>
    <n v="17"/>
    <n v="0"/>
    <m/>
    <n v="17443.573511919167"/>
    <m/>
    <m/>
    <m/>
    <m/>
    <d v="2018-06-14T00:00:00"/>
    <d v="1901-12-31T00:00:00"/>
    <m/>
    <m/>
    <m/>
    <m/>
    <m/>
    <d v="2018-07-14T00:00:00"/>
    <d v="2018-07-14T00:00:00"/>
    <m/>
    <m/>
    <m/>
    <m/>
    <m/>
    <m/>
    <m/>
    <m/>
    <m/>
    <m/>
    <m/>
    <m/>
    <m/>
    <m/>
    <m/>
    <m/>
    <m/>
    <m/>
    <m/>
    <m/>
    <n v="5088523.3381183296"/>
    <n v="5227844.2"/>
    <n v="139320.86188167054"/>
    <n v="2013.1095536986406"/>
    <n v="174261.47333333333"/>
    <n v="4413122.1526051881"/>
    <n v="4142334"/>
    <n v="-270788.15260518808"/>
    <n v="0.80899943689982179"/>
    <m/>
    <n v="1541342.2781183291"/>
    <n v="1638956.14"/>
    <n v="54631.871333333329"/>
    <n v="97613.861881670775"/>
    <n v="3296474.06"/>
    <n v="3296474.06"/>
    <n v="618601"/>
    <n v="2677873.06"/>
    <n v="0"/>
    <n v="109882.46866666667"/>
    <n v="0"/>
    <n v="250707"/>
    <n v="280000"/>
    <n v="0"/>
    <n v="5.3559362002410092E-2"/>
    <m/>
    <n v="12414"/>
    <n v="29293"/>
    <n v="9333.3333333333339"/>
    <n v="63965.204666666665"/>
    <n v="976.43333333333328"/>
    <n v="6.39"/>
    <n v="5.75"/>
    <n v="0"/>
    <n v="0"/>
    <n v="63965.204666666665"/>
    <n v="0"/>
    <n v="63965.204666666665"/>
    <n v="0.37905933929335955"/>
    <n v="165428"/>
    <m/>
    <n v="0"/>
    <n v="5227844.2"/>
    <n v="265549"/>
    <n v="172605"/>
    <m/>
    <n v="24456"/>
    <d v="2013-10-17T00:00:00"/>
    <d v="2013-11-07T00:00:00"/>
    <d v="2013-11-25T00:00:00"/>
    <n v="18"/>
    <d v="2014-01-13T00:00:00"/>
    <n v="49"/>
    <n v="19"/>
    <n v="88"/>
    <d v="2014-01-13T00:00:00"/>
    <n v="0"/>
    <d v="2014-02-12T00:00:00"/>
    <d v="2014-02-03T00:00:00"/>
    <n v="-9"/>
    <d v="2014-02-27T00:00:00"/>
    <n v="24"/>
    <n v="-6"/>
    <n v="45"/>
    <d v="2014-02-27T00:00:00"/>
    <n v="12815"/>
    <m/>
    <d v="2014-02-04T00:00:00"/>
    <d v="2014-02-06T00:00:00"/>
    <n v="26808"/>
    <d v="2014-02-27T00:00:00"/>
    <n v="0"/>
    <d v="2014-03-29T00:00:00"/>
    <d v="2014-05-27T00:00:00"/>
    <n v="59"/>
    <d v="2014-06-25T00:00:00"/>
    <n v="29"/>
    <n v="-1"/>
    <n v="118"/>
    <d v="2014-06-25T00:00:00"/>
    <n v="27980"/>
    <d v="2014-07-04T00:00:00"/>
    <n v="9"/>
    <d v="2014-08-03T00:00:00"/>
    <d v="2014-09-16T00:00:00"/>
    <n v="44"/>
    <d v="2014-10-08T00:00:00"/>
    <n v="22"/>
    <n v="-8"/>
    <n v="96"/>
    <d v="2014-10-30T00:00:00"/>
    <n v="39455"/>
    <d v="2014-10-08T00:00:00"/>
    <n v="0"/>
    <d v="2014-10-23T00:00:00"/>
    <d v="2014-10-22T00:00:00"/>
    <n v="-1"/>
    <d v="2014-11-06T00:00:00"/>
    <d v="2014-11-12T00:00:00"/>
    <n v="6"/>
    <n v="35"/>
    <d v="2015-02-20T00:00:00"/>
    <n v="100"/>
    <n v="40"/>
    <n v="9.6999999999999993"/>
    <n v="2.1333333333333346"/>
    <s v="avec OS"/>
    <m/>
    <d v="2016-12-22T00:00:00"/>
    <n v="41091"/>
    <m/>
    <m/>
    <m/>
    <m/>
  </r>
  <r>
    <s v="Amata (HE 168)"/>
    <x v="11"/>
    <x v="0"/>
    <x v="6"/>
    <s v="PRLC 0129"/>
    <s v="APU"/>
    <s v="VAF"/>
    <s v="AO"/>
    <m/>
    <m/>
    <s v="servitude PERRAU à mettre en place"/>
    <s v="EPFR"/>
    <m/>
    <m/>
    <n v="13077"/>
    <n v="590200"/>
    <n v="590200"/>
    <n v="12830.434782608696"/>
    <n v="45.132675690142996"/>
    <n v="45.132675690142996"/>
    <n v="146.36735179747637"/>
    <n v="12830.434782608696"/>
    <n v="284.28260869565219"/>
    <m/>
    <n v="0.308352068517244"/>
    <m/>
    <m/>
    <m/>
    <s v="LLS"/>
    <n v="46"/>
    <n v="46"/>
    <m/>
    <n v="4286.38"/>
    <n v="4032.32"/>
    <m/>
    <m/>
    <m/>
    <n v="0.78260869565217395"/>
    <n v="0.21739130434782608"/>
    <m/>
    <m/>
    <m/>
    <m/>
    <n v="2"/>
    <m/>
    <s v="B"/>
    <m/>
    <m/>
    <d v="2014-11-18T00:00:00"/>
    <d v="2014-10-09T00:00:00"/>
    <m/>
    <m/>
    <s v="SEGC"/>
    <s v="3C"/>
    <s v="DIDES"/>
    <s v="CHADRIN"/>
    <d v="2015-05-07T00:00:00"/>
    <d v="2015-07-25T00:00:00"/>
    <d v="2015-08-18T00:00:00"/>
    <d v="2015-09-25T00:00:00"/>
    <m/>
    <m/>
    <m/>
    <m/>
    <m/>
    <s v="INGEPAR"/>
    <d v="2015-09-21T00:00:00"/>
    <d v="2016-12-17T00:00:00"/>
    <m/>
    <m/>
    <s v="LS 119"/>
    <m/>
    <d v="2015-10-27T00:00:00"/>
    <d v="2015-11-27T00:00:00"/>
    <m/>
    <d v="2015-09-02T00:00:00"/>
    <d v="2016-08-18T00:00:00"/>
    <d v="2016-08-31T00:00:00"/>
    <d v="2016-09-01T00:00:00"/>
    <d v="2016-09-01T00:00:00"/>
    <d v="2016-09-07T00:00:00"/>
    <d v="2016-12-07T00:00:00"/>
    <d v="2016-10-17T00:00:00"/>
    <m/>
    <d v="1901-12-31T00:00:00"/>
    <d v="1902-12-31T00:00:00"/>
    <m/>
    <d v="2016-09-14T00:00:00"/>
    <s v="CG 12/01/17_x000a_Commune 18/01/17_x000a_CIVIS 18/01/17"/>
    <d v="2016-10-04T00:00:00"/>
    <d v="2016-12-07T00:00:00"/>
    <d v="2016-12-26T00:00:00"/>
    <d v="2017-01-12T00:00:00"/>
    <d v="2016-10-05T00:00:00"/>
    <d v="2016-11-28T00:00:00"/>
    <d v="2016-12-21T00:00:00"/>
    <d v="2017-01-18T00:00:00"/>
    <d v="2016-10-04T00:00:00"/>
    <d v="2016-12-12T00:00:00"/>
    <d v="2017-01-06T00:00:00"/>
    <d v="2017-01-18T00:00:00"/>
    <d v="2016-10-04T00:00:00"/>
    <s v="mi-mars  Commission sectorielle"/>
    <m/>
    <m/>
    <m/>
    <m/>
    <m/>
    <d v="2016-09-07T00:00:00"/>
    <m/>
    <m/>
    <s v="MAREL / DS"/>
    <m/>
    <m/>
    <d v="2016-05-24T00:00:00"/>
    <s v="ok"/>
    <s v="ok"/>
    <s v="signature DG ok"/>
    <s v="retour contrat 10/02/17"/>
    <s v="ok"/>
    <d v="2016-12-21T00:00:00"/>
    <m/>
    <m/>
    <m/>
    <d v="2018-06-21T00:00:00"/>
    <m/>
    <m/>
    <m/>
    <m/>
    <m/>
    <d v="2017-02-16T00:00:00"/>
    <m/>
    <n v="18"/>
    <n v="20"/>
    <n v="18"/>
    <n v="19"/>
    <n v="0"/>
    <m/>
    <m/>
    <m/>
    <m/>
    <m/>
    <m/>
    <d v="2018-08-16T00:00:00"/>
    <d v="1901-12-31T00:00:00"/>
    <m/>
    <m/>
    <m/>
    <m/>
    <m/>
    <d v="2018-09-16T00:00:00"/>
    <d v="2018-09-16T00:00:00"/>
    <m/>
    <m/>
    <m/>
    <m/>
    <m/>
    <m/>
    <m/>
    <m/>
    <m/>
    <m/>
    <m/>
    <m/>
    <m/>
    <m/>
    <m/>
    <m/>
    <m/>
    <m/>
    <m/>
    <m/>
    <n v="8830884.4772763215"/>
    <n v="8391475"/>
    <m/>
    <n v="2060.2196905725395"/>
    <n v="191975.74950600698"/>
    <n v="7838932.0183052132"/>
    <m/>
    <n v="-7838932.0183052132"/>
    <n v="0"/>
    <n v="0.39750000000000002"/>
    <n v="2934715.4772763224"/>
    <n v="2642685"/>
    <n v="63798.162549485271"/>
    <m/>
    <n v="5440169"/>
    <n v="5285874"/>
    <n v="1258166"/>
    <n v="4027708"/>
    <m/>
    <n v="118264.54347826086"/>
    <m/>
    <n v="456000"/>
    <n v="406000"/>
    <m/>
    <n v="5.163695677068153E-2"/>
    <m/>
    <n v="56916"/>
    <n v="-50000"/>
    <n v="9913.04347826087"/>
    <n v="73711.206027746142"/>
    <n v="-1086.9565217391305"/>
    <n v="6.38"/>
    <n v="5.74"/>
    <m/>
    <m/>
    <n v="66275.760869565216"/>
    <m/>
    <n v="66275.760869565216"/>
    <n v="0.36330740424061325"/>
    <m/>
    <m/>
    <m/>
    <n v="8391475"/>
    <n v="472842"/>
    <n v="260063"/>
    <d v="2012-07-12T00:00:00"/>
    <n v="41000"/>
    <d v="2014-09-17T00:00:00"/>
    <d v="2014-10-08T00:00:00"/>
    <d v="2014-10-08T00:00:00"/>
    <n v="0"/>
    <d v="2014-11-07T00:00:00"/>
    <n v="30"/>
    <n v="0"/>
    <n v="51"/>
    <d v="2014-12-11T00:00:00"/>
    <n v="34"/>
    <d v="2015-01-01T00:00:00"/>
    <d v="2015-01-22T00:00:00"/>
    <n v="21"/>
    <d v="2015-03-12T00:00:00"/>
    <n v="49"/>
    <n v="19"/>
    <n v="91"/>
    <m/>
    <m/>
    <m/>
    <d v="2015-02-05T00:00:00"/>
    <m/>
    <n v="81523"/>
    <d v="2015-04-07T00:00:00"/>
    <n v="26"/>
    <d v="2015-05-07T00:00:00"/>
    <d v="2015-05-07T00:00:00"/>
    <n v="0"/>
    <d v="2015-07-16T00:00:00"/>
    <n v="70"/>
    <n v="40"/>
    <n v="100"/>
    <m/>
    <n v="46614"/>
    <d v="2015-08-10T00:00:00"/>
    <n v="25"/>
    <d v="2015-09-09T00:00:00"/>
    <d v="2015-09-09T00:00:00"/>
    <n v="0"/>
    <d v="2015-10-19T00:00:00"/>
    <n v="40"/>
    <n v="10"/>
    <n v="70"/>
    <d v="2015-02-04T00:00:00"/>
    <n v="72488"/>
    <d v="2015-12-01T00:00:00"/>
    <n v="43"/>
    <d v="2015-12-16T00:00:00"/>
    <d v="2016-01-20T00:00:00"/>
    <n v="35"/>
    <d v="2016-02-04T00:00:00"/>
    <d v="2016-04-14T00:00:00"/>
    <n v="70"/>
    <n v="135"/>
    <d v="2016-05-24T00:00:00"/>
    <n v="40"/>
    <n v="-20"/>
    <n v="9.6999999999999993"/>
    <n v="6.1333333333333346"/>
    <d v="2016-12-12T00:00:00"/>
    <n v="18438"/>
    <m/>
    <m/>
    <m/>
    <m/>
    <m/>
    <m/>
  </r>
  <r>
    <s v="Amata (HE 168)"/>
    <x v="11"/>
    <x v="0"/>
    <x v="6"/>
    <s v="PRLC 0129"/>
    <s v="APU"/>
    <s v="VAF"/>
    <s v="AO"/>
    <m/>
    <m/>
    <s v="servitude PERRAU à mettre en place"/>
    <s v="EPFR"/>
    <s v="AUBERT"/>
    <m/>
    <n v="13077"/>
    <m/>
    <m/>
    <n v="0"/>
    <n v="0"/>
    <n v="0"/>
    <n v="0"/>
    <n v="0"/>
    <n v="1089.75"/>
    <m/>
    <n v="5.1805459967882543E-2"/>
    <m/>
    <m/>
    <m/>
    <s v="LLTS"/>
    <n v="12"/>
    <m/>
    <n v="12"/>
    <n v="1301.51"/>
    <n v="677.46"/>
    <n v="56.455000000000005"/>
    <m/>
    <n v="1"/>
    <m/>
    <m/>
    <m/>
    <m/>
    <m/>
    <m/>
    <n v="2"/>
    <m/>
    <s v="B"/>
    <m/>
    <m/>
    <d v="2014-11-18T00:00:00"/>
    <d v="2014-10-09T00:00:00"/>
    <m/>
    <m/>
    <s v="SEGC"/>
    <s v="3C"/>
    <s v="DIDES"/>
    <s v="CHADRIN"/>
    <d v="2015-05-07T00:00:00"/>
    <d v="2015-07-25T00:00:00"/>
    <d v="2015-08-18T00:00:00"/>
    <d v="2015-09-25T00:00:00"/>
    <m/>
    <m/>
    <m/>
    <m/>
    <m/>
    <s v="INGEPAR"/>
    <d v="2015-09-21T00:00:00"/>
    <d v="2016-12-17T00:00:00"/>
    <m/>
    <m/>
    <s v="LS 119"/>
    <m/>
    <d v="2015-10-29T00:00:00"/>
    <d v="2015-11-27T00:00:00"/>
    <d v="2015-11-02T00:00:00"/>
    <d v="2015-09-02T00:00:00"/>
    <d v="2016-08-18T00:00:00"/>
    <d v="2016-08-31T00:00:00"/>
    <d v="2016-09-01T00:00:00"/>
    <d v="2016-09-01T00:00:00"/>
    <d v="2016-09-09T00:00:00"/>
    <d v="2016-12-09T00:00:00"/>
    <d v="2016-10-17T00:00:00"/>
    <m/>
    <d v="1901-12-31T00:00:00"/>
    <d v="1902-12-31T00:00:00"/>
    <m/>
    <d v="2016-09-14T00:00:00"/>
    <s v="CG 12/01/17_x000a_Commune 18/01/17_x000a_CIVIS 18/01/17"/>
    <d v="2016-10-04T00:00:00"/>
    <d v="2016-12-07T00:00:00"/>
    <d v="2016-12-26T00:00:00"/>
    <d v="2017-01-12T00:00:00"/>
    <d v="2016-10-05T00:00:00"/>
    <d v="2016-11-28T00:00:00"/>
    <d v="2016-12-21T00:00:00"/>
    <d v="2017-01-18T00:00:00"/>
    <d v="2016-10-04T00:00:00"/>
    <d v="2016-12-12T00:00:00"/>
    <d v="2017-01-06T00:00:00"/>
    <d v="2017-01-18T00:00:00"/>
    <d v="2016-10-04T00:00:00"/>
    <s v="mi-mars  Commission sectorielle"/>
    <m/>
    <m/>
    <s v="AUBERT"/>
    <m/>
    <m/>
    <s v="07/09/2016_x000a_11/10/16"/>
    <m/>
    <m/>
    <s v="MAREL / DS"/>
    <m/>
    <m/>
    <d v="2016-05-24T00:00:00"/>
    <s v="ok"/>
    <s v="ok"/>
    <s v="signature DG ok"/>
    <s v="retour contrat 10/02/17"/>
    <s v="ok"/>
    <d v="2016-12-21T00:00:00"/>
    <m/>
    <m/>
    <m/>
    <d v="2018-06-21T00:00:00"/>
    <m/>
    <m/>
    <m/>
    <m/>
    <m/>
    <d v="2017-02-16T00:00:00"/>
    <m/>
    <n v="18"/>
    <n v="20"/>
    <n v="18"/>
    <n v="19"/>
    <n v="0"/>
    <m/>
    <m/>
    <m/>
    <m/>
    <m/>
    <m/>
    <d v="2018-08-16T00:00:00"/>
    <d v="1901-12-31T00:00:00"/>
    <m/>
    <m/>
    <m/>
    <m/>
    <m/>
    <d v="2018-09-16T00:00:00"/>
    <d v="2018-09-16T00:00:00"/>
    <m/>
    <m/>
    <m/>
    <m/>
    <m/>
    <m/>
    <m/>
    <m/>
    <m/>
    <m/>
    <m/>
    <m/>
    <m/>
    <m/>
    <m/>
    <m/>
    <m/>
    <m/>
    <m/>
    <m/>
    <n v="1416864.7499111779"/>
    <n v="1490599.8900000001"/>
    <n v="73735.140088822227"/>
    <n v="1088.631474142479"/>
    <n v="118072.06249259815"/>
    <n v="1249637.106694787"/>
    <m/>
    <n v="-1249637.106694787"/>
    <n v="0"/>
    <n v="0.39750000000000002"/>
    <n v="410870.74991117785"/>
    <n v="443491.89"/>
    <n v="34239.229159264818"/>
    <n v="32621.140088822169"/>
    <n v="789994"/>
    <n v="771556"/>
    <n v="172922"/>
    <n v="598634"/>
    <n v="-18438"/>
    <n v="65832.833333333328"/>
    <m/>
    <n v="216000"/>
    <n v="266000"/>
    <m/>
    <n v="0.15244927224955018"/>
    <m/>
    <n v="9552"/>
    <n v="50000"/>
    <n v="18000"/>
    <n v="52239.229159264825"/>
    <n v="4166.666666666667"/>
    <n v="5.85"/>
    <n v="5.84"/>
    <n v="0"/>
    <n v="0"/>
    <n v="59124.324166666665"/>
    <n v="0"/>
    <n v="59124.324166666665"/>
    <n v="0.47597742007078769"/>
    <n v="0"/>
    <m/>
    <n v="0"/>
    <n v="1490599.8900000001"/>
    <m/>
    <m/>
    <m/>
    <m/>
    <m/>
    <m/>
    <m/>
    <s v="0"/>
    <m/>
    <s v="0"/>
    <m/>
    <s v="0"/>
    <m/>
    <s v="0"/>
    <m/>
    <m/>
    <s v="0"/>
    <m/>
    <s v="0"/>
    <m/>
    <s v="0"/>
    <m/>
    <m/>
    <m/>
    <m/>
    <m/>
    <m/>
    <m/>
    <s v="0"/>
    <m/>
    <m/>
    <s v="0"/>
    <m/>
    <s v="0"/>
    <m/>
    <s v="0"/>
    <m/>
    <m/>
    <m/>
    <s v="0"/>
    <m/>
    <m/>
    <s v="0"/>
    <m/>
    <s v="0"/>
    <m/>
    <s v="0"/>
    <m/>
    <m/>
    <m/>
    <s v="0"/>
    <m/>
    <m/>
    <s v="0"/>
    <m/>
    <m/>
    <s v="0"/>
    <s v="0"/>
    <m/>
    <s v="0"/>
    <m/>
    <n v="9.6999999999999993"/>
    <n v="-9.6999999999999993"/>
    <m/>
    <m/>
    <m/>
    <m/>
    <m/>
    <m/>
    <m/>
    <m/>
  </r>
  <r>
    <s v="CD 61 Rue Bertaut LLS"/>
    <x v="1"/>
    <x v="1"/>
    <x v="6"/>
    <s v="PRLC 0173"/>
    <s v="FBR"/>
    <s v="RTA"/>
    <s v="AO"/>
    <m/>
    <m/>
    <s v="acheté 25/11/15_x000a_DA ER fait_x000a_convention de prise de possession anticipée reçue, à signer  / attention aux enrobés_x000a_"/>
    <s v="Etat"/>
    <m/>
    <m/>
    <n v="8838"/>
    <n v="652080"/>
    <n v="652080"/>
    <n v="7326.7415730337079"/>
    <n v="73.78139850644942"/>
    <n v="73.78139850644942"/>
    <n v="335.48387096774195"/>
    <n v="32604"/>
    <n v="441.9"/>
    <m/>
    <n v="0.21992532247114732"/>
    <s v="UB"/>
    <n v="630"/>
    <n v="0"/>
    <s v="LLS"/>
    <n v="20"/>
    <n v="20"/>
    <m/>
    <n v="1853.17"/>
    <n v="1943.7"/>
    <n v="97.185000000000002"/>
    <m/>
    <m/>
    <m/>
    <n v="0.8"/>
    <n v="0.2"/>
    <m/>
    <n v="0"/>
    <n v="0"/>
    <n v="4"/>
    <m/>
    <s v="B"/>
    <s v="oui"/>
    <s v="oui"/>
    <d v="2014-11-18T00:00:00"/>
    <d v="2015-01-27T00:00:00"/>
    <m/>
    <m/>
    <s v="SEGC"/>
    <s v="ARCHITEX"/>
    <s v="DIDES"/>
    <s v="CHADRIN"/>
    <d v="2015-08-06T00:00:00"/>
    <d v="2015-09-10T00:00:00"/>
    <d v="2015-10-18T00:00:00"/>
    <d v="2015-11-10T00:00:00"/>
    <m/>
    <m/>
    <m/>
    <m/>
    <m/>
    <s v="INGEPAR"/>
    <d v="2015-09-21T00:00:00"/>
    <d v="2016-09-17T00:00:00"/>
    <m/>
    <m/>
    <s v="LS 118"/>
    <m/>
    <d v="2015-12-16T00:00:00"/>
    <m/>
    <d v="2015-12-21T00:00:00"/>
    <d v="2015-09-01T00:00:00"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s v="wetransfer 26/06/16"/>
    <m/>
    <m/>
    <s v="MAREL / DS"/>
    <m/>
    <m/>
    <d v="2016-05-24T00:00:00"/>
    <s v="ok"/>
    <s v="ok"/>
    <s v="à déposer"/>
    <s v="dossier  envoyé"/>
    <m/>
    <s v="Risques :_x000a_- faire lettres de non retenue pour VRD et GO_x000a_- EDD"/>
    <m/>
    <m/>
    <m/>
    <e v="#VALUE!"/>
    <m/>
    <m/>
    <m/>
    <m/>
    <m/>
    <d v="2017-07-01T00:00:00"/>
    <m/>
    <n v="24"/>
    <n v="26"/>
    <n v="24"/>
    <n v="25"/>
    <n v="0"/>
    <m/>
    <m/>
    <m/>
    <m/>
    <m/>
    <m/>
    <d v="2019-07-01T00:00:00"/>
    <d v="1901-12-31T00:00:00"/>
    <m/>
    <m/>
    <m/>
    <m/>
    <m/>
    <d v="2019-08-01T00:00:00"/>
    <d v="2019-08-01T00:00:00"/>
    <m/>
    <m/>
    <m/>
    <m/>
    <m/>
    <m/>
    <m/>
    <m/>
    <m/>
    <m/>
    <m/>
    <m/>
    <m/>
    <m/>
    <m/>
    <m/>
    <m/>
    <m/>
    <m/>
    <m/>
    <n v="3620927.386608588"/>
    <n v="3753748.9536387529"/>
    <n v="132821.56703016488"/>
    <n v="1953.9099956337454"/>
    <n v="181046.36933042941"/>
    <n v="3320758.5701554646"/>
    <n v="3416358.2225748161"/>
    <n v="95599.652419351507"/>
    <n v="0.92923149318966658"/>
    <n v="0.39"/>
    <n v="1232699.6352114086"/>
    <n v="1278502.3934734894"/>
    <n v="61634.98176057043"/>
    <n v="45802.758262080839"/>
    <n v="2188227.7513971794"/>
    <n v="2275246.5601652632"/>
    <n v="329656.07016526331"/>
    <n v="1945590.49"/>
    <n v="87018.808768083807"/>
    <n v="109411.38756985897"/>
    <m/>
    <n v="200000"/>
    <n v="200000"/>
    <m/>
    <n v="5.5234468589364018E-2"/>
    <m/>
    <n v="0"/>
    <n v="0"/>
    <n v="10000"/>
    <n v="71634.98176057043"/>
    <n v="0"/>
    <n v="6.32"/>
    <n v="5.48"/>
    <n v="0"/>
    <n v="0"/>
    <n v="73925.119673674475"/>
    <n v="0"/>
    <n v="73925.119673674475"/>
    <n v="0.39387354128737911"/>
    <n v="0"/>
    <m/>
    <n v="0"/>
    <n v="3753748.9536387529"/>
    <n v="685491"/>
    <n v="342745"/>
    <d v="2014-10-24T00:00:00"/>
    <n v="67842"/>
    <d v="2014-10-09T00:00:00"/>
    <d v="2014-10-30T00:00:00"/>
    <d v="2014-10-30T00:00:00"/>
    <n v="0"/>
    <d v="2014-11-24T00:00:00"/>
    <n v="25"/>
    <n v="-5"/>
    <n v="46"/>
    <d v="2014-11-24T00:00:00"/>
    <n v="0"/>
    <d v="2014-12-15T00:00:00"/>
    <d v="2014-12-19T00:00:00"/>
    <n v="4"/>
    <d v="2015-02-19T00:00:00"/>
    <n v="62"/>
    <n v="32"/>
    <n v="87"/>
    <d v="2014-12-19T00:00:00"/>
    <n v="33921"/>
    <d v="2015-02-05T00:00:00"/>
    <d v="2015-02-05T00:00:00"/>
    <d v="2015-03-02T00:00:00"/>
    <n v="72217"/>
    <d v="2015-02-19T00:00:00"/>
    <n v="0"/>
    <d v="2015-03-21T00:00:00"/>
    <d v="2015-03-21T00:00:00"/>
    <n v="0"/>
    <d v="2015-04-27T00:00:00"/>
    <n v="37"/>
    <n v="7"/>
    <n v="67"/>
    <d v="2015-04-27T00:00:00"/>
    <n v="65293"/>
    <d v="2015-04-27T00:00:00"/>
    <n v="0"/>
    <d v="2015-05-27T00:00:00"/>
    <d v="2015-06-09T00:00:00"/>
    <n v="13"/>
    <d v="2015-06-25T00:00:00"/>
    <n v="16"/>
    <n v="-14"/>
    <n v="59"/>
    <m/>
    <n v="103472"/>
    <d v="2015-09-07T00:00:00"/>
    <n v="74"/>
    <d v="2015-09-22T00:00:00"/>
    <d v="2015-09-30T00:00:00"/>
    <n v="8"/>
    <d v="2015-10-15T00:00:00"/>
    <d v="2016-03-03T00:00:00"/>
    <n v="140"/>
    <n v="178"/>
    <d v="2016-05-24T00:00:00"/>
    <n v="82"/>
    <n v="22"/>
    <n v="9.6999999999999993"/>
    <n v="1.6666666666666679"/>
    <m/>
    <m/>
    <m/>
    <m/>
    <m/>
    <m/>
    <m/>
    <m/>
  </r>
  <r>
    <s v="CD 61 Rue Bertaut LLTS"/>
    <x v="1"/>
    <x v="1"/>
    <x v="5"/>
    <s v="PRLC 0173"/>
    <s v="FBR"/>
    <s v="RTA"/>
    <s v="DDA"/>
    <m/>
    <m/>
    <s v="acheté 25/11/15_x000a_transmettre coordonnées riverains à FBR"/>
    <s v="Etat"/>
    <s v="MAREL"/>
    <m/>
    <n v="8838"/>
    <n v="652080"/>
    <n v="652080"/>
    <n v="7326.7415730337079"/>
    <n v="73.78139850644942"/>
    <n v="73.78139850644942"/>
    <n v="130.36333321338179"/>
    <n v="9450.434782608696"/>
    <n v="128.08695652173913"/>
    <m/>
    <n v="0.56596741344195522"/>
    <s v="UB"/>
    <n v="630"/>
    <n v="0"/>
    <s v="LLTS"/>
    <n v="69"/>
    <m/>
    <n v="69"/>
    <n v="4692.6549999999988"/>
    <n v="5002.0200000000004"/>
    <n v="72.493043478260873"/>
    <n v="0.17391304347826086"/>
    <n v="0.42028985507246375"/>
    <n v="0.40579710144927539"/>
    <n v="0"/>
    <n v="0"/>
    <m/>
    <n v="0"/>
    <n v="0"/>
    <n v="4"/>
    <m/>
    <s v="B"/>
    <s v="oui"/>
    <s v="oui"/>
    <d v="2014-11-18T00:00:00"/>
    <d v="2015-01-27T00:00:00"/>
    <d v="2016-04-15T00:00:00"/>
    <m/>
    <m/>
    <m/>
    <m/>
    <m/>
    <d v="2015-08-06T00:00:00"/>
    <d v="2015-09-10T00:00:00"/>
    <d v="2015-10-18T00:00:00"/>
    <d v="2015-11-10T00:00:00"/>
    <m/>
    <m/>
    <m/>
    <m/>
    <m/>
    <s v="INGEPAR"/>
    <d v="2015-09-21T00:00:00"/>
    <d v="2016-09-17T00:00:00"/>
    <m/>
    <m/>
    <s v="LS 118"/>
    <m/>
    <d v="2016-04-02T00:00:00"/>
    <m/>
    <m/>
    <d v="2015-09-01T00:00:00"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s v="LE GOFF"/>
    <m/>
    <m/>
    <s v="wetransfer 26/06/16"/>
    <m/>
    <m/>
    <s v="MAREL / DS"/>
    <m/>
    <m/>
    <d v="2016-05-24T00:00:00"/>
    <s v="ok"/>
    <s v="ok"/>
    <s v="à déposer"/>
    <s v="dossier  envoyé"/>
    <m/>
    <m/>
    <m/>
    <m/>
    <m/>
    <d v="1901-06-30T00:00:00"/>
    <m/>
    <m/>
    <m/>
    <m/>
    <m/>
    <d v="2017-07-01T00:00:00"/>
    <m/>
    <n v="24"/>
    <n v="26"/>
    <n v="24"/>
    <n v="25"/>
    <n v="0"/>
    <m/>
    <m/>
    <m/>
    <m/>
    <m/>
    <m/>
    <d v="2019-07-01T00:00:00"/>
    <d v="1901-12-31T00:00:00"/>
    <m/>
    <m/>
    <m/>
    <m/>
    <m/>
    <d v="2019-08-01T00:00:00"/>
    <d v="2019-08-01T00:00:00"/>
    <m/>
    <m/>
    <m/>
    <m/>
    <m/>
    <m/>
    <m/>
    <m/>
    <m/>
    <m/>
    <m/>
    <m/>
    <m/>
    <m/>
    <m/>
    <m/>
    <m/>
    <m/>
    <m/>
    <m/>
    <n v="9705603"/>
    <n v="9705603"/>
    <n v="0"/>
    <n v="2068.2541120112182"/>
    <n v="140660.91304347827"/>
    <n v="8791836.2692203913"/>
    <n v="8791836.2692203913"/>
    <n v="0"/>
    <n v="0.92487451123583131"/>
    <n v="0.39500000000000002"/>
    <n v="3232689"/>
    <n v="3232689"/>
    <n v="46850.565217391304"/>
    <n v="0"/>
    <n v="5772914"/>
    <n v="5772914"/>
    <n v="877863"/>
    <n v="4895051"/>
    <n v="0"/>
    <n v="83665.420289855072"/>
    <m/>
    <n v="700000"/>
    <n v="700000"/>
    <m/>
    <n v="7.2123287960572879E-2"/>
    <m/>
    <n v="0"/>
    <n v="0"/>
    <n v="10144.927536231884"/>
    <n v="56995.492753623192"/>
    <n v="0"/>
    <n v="5.51"/>
    <n v="5.48"/>
    <n v="0"/>
    <n v="0"/>
    <n v="56995.492753623192"/>
    <n v="0"/>
    <n v="56995.492753623192"/>
    <n v="0.40519780172339626"/>
    <n v="0"/>
    <m/>
    <n v="0"/>
    <n v="9705603"/>
    <m/>
    <m/>
    <m/>
    <m/>
    <m/>
    <m/>
    <m/>
    <s v="0"/>
    <m/>
    <s v="0"/>
    <m/>
    <s v="0"/>
    <m/>
    <s v="0"/>
    <m/>
    <m/>
    <s v="0"/>
    <m/>
    <s v="0"/>
    <m/>
    <s v="0"/>
    <m/>
    <m/>
    <m/>
    <m/>
    <m/>
    <m/>
    <m/>
    <s v="0"/>
    <m/>
    <m/>
    <s v="0"/>
    <m/>
    <s v="0"/>
    <m/>
    <s v="0"/>
    <m/>
    <m/>
    <m/>
    <s v="0"/>
    <m/>
    <m/>
    <s v="0"/>
    <m/>
    <s v="0"/>
    <m/>
    <s v="0"/>
    <m/>
    <m/>
    <m/>
    <s v="0"/>
    <m/>
    <m/>
    <s v="0"/>
    <m/>
    <m/>
    <s v="0"/>
    <s v="0"/>
    <m/>
    <s v="0"/>
    <m/>
    <n v="9.6999999999999993"/>
    <n v="-9.6999999999999993"/>
    <m/>
    <m/>
    <m/>
    <m/>
    <m/>
    <m/>
    <m/>
    <m/>
  </r>
  <r>
    <s v="Manapany "/>
    <x v="5"/>
    <x v="1"/>
    <x v="4"/>
    <s v="PRLC 0111"/>
    <s v="FHO"/>
    <s v="RTA"/>
    <s v="DDA"/>
    <s v="oui"/>
    <m/>
    <s v="accès Morel pas signé le 02/11/15 : on part sur un avenant au compromis_x000a_BJE en attente du notaire et du DA pour les lots et les voies (lotissement &amp; voies internes) : signature acte dès réception du DA_x000a_terrains communes : signature acte dès réception du DA_x000a_agrément 2016 obtenu_x000a_VEFA juillet 2017"/>
    <s v="Commune / MOREL"/>
    <s v="AUBERT"/>
    <m/>
    <n v="7020"/>
    <n v="577000"/>
    <n v="173455"/>
    <n v="27476.190476190477"/>
    <n v="82.193732193732188"/>
    <n v="24.708689458689459"/>
    <n v="114.99956905410691"/>
    <n v="8259.7619047619046"/>
    <n v="334.28571428571428"/>
    <m/>
    <n v="0.21485897435897436"/>
    <s v="NAUC"/>
    <n v="40"/>
    <m/>
    <s v="LLTS"/>
    <n v="21"/>
    <m/>
    <n v="21"/>
    <n v="1508.31"/>
    <n v="1508.31"/>
    <n v="71.824285714285708"/>
    <n v="0"/>
    <n v="7"/>
    <n v="8"/>
    <n v="5"/>
    <n v="1"/>
    <m/>
    <m/>
    <n v="0"/>
    <n v="1"/>
    <m/>
    <s v="B"/>
    <s v="ok"/>
    <s v="non"/>
    <d v="2012-02-06T00:00:00"/>
    <d v="2013-06-13T00:00:00"/>
    <d v="2012-02-24T00:00:00"/>
    <m/>
    <s v="SEGC"/>
    <s v="VERITAS"/>
    <s v="SOCOTEC"/>
    <s v="M2B RUN"/>
    <d v="2014-06-13T00:00:00"/>
    <d v="2015-07-09T00:00:00"/>
    <d v="2015-08-18T00:00:00"/>
    <d v="2015-09-09T00:00:00"/>
    <m/>
    <m/>
    <m/>
    <m/>
    <m/>
    <s v="OFOI"/>
    <d v="2014-05-13T00:00:00"/>
    <s v="13/515"/>
    <m/>
    <m/>
    <s v="LOGIS 7"/>
    <s v="SO"/>
    <d v="2014-07-28T00:00:00"/>
    <m/>
    <d v="2016-04-25T00:00:00"/>
    <s v="oui"/>
    <s v="30/06/2014_x000a_08/04/16"/>
    <s v="16/10/2014_x000a_20/05/2016"/>
    <d v="2016-05-20T00:00:00"/>
    <d v="2016-06-06T00:00:00"/>
    <d v="2016-08-12T00:00:00"/>
    <d v="2016-11-12T00:00:00"/>
    <d v="2016-08-29T00:00:00"/>
    <d v="2017-05-30T00:00:00"/>
    <d v="2019-05-30T00:00:00"/>
    <d v="2020-05-30T00:00:00"/>
    <s v="non"/>
    <d v="2016-08-18T00:00:00"/>
    <s v="Commune 16/11/16_x000a_Région 13/12/16_x000a_CASUD 18/01/17 non conforme"/>
    <d v="2016-08-25T00:00:00"/>
    <d v="2016-12-07T00:00:00"/>
    <d v="2016-12-26T00:00:00"/>
    <d v="2017-01-12T00:00:00"/>
    <d v="2016-08-25T00:00:00"/>
    <d v="2016-09-30T00:00:00"/>
    <d v="2016-10-16T00:00:00"/>
    <m/>
    <d v="2016-08-25T00:00:00"/>
    <d v="2016-09-23T00:00:00"/>
    <d v="2016-12-21T00:00:00"/>
    <d v="2017-01-18T00:00:00"/>
    <d v="2016-08-25T00:00:00"/>
    <d v="2016-11-29T00:00:00"/>
    <d v="2016-12-13T00:00:00"/>
    <d v="2016-12-15T00:00:00"/>
    <s v="AUBERT"/>
    <m/>
    <n v="0"/>
    <s v="ok"/>
    <d v="2016-10-27T00:00:00"/>
    <s v="ok"/>
    <s v="DS AVOCATS"/>
    <m/>
    <m/>
    <d v="2015-08-23T00:00:00"/>
    <s v="ok"/>
    <s v="ok"/>
    <s v="à déposer"/>
    <s v="dossier envoyé le 18/10/16"/>
    <s v="SO"/>
    <s v="Risque 1 - Signature Morel_x000a__x000a_"/>
    <m/>
    <m/>
    <m/>
    <e v="#VALUE!"/>
    <m/>
    <m/>
    <m/>
    <m/>
    <m/>
    <d v="2017-07-10T00:00:00"/>
    <d v="2016-03-01T00:00:00"/>
    <n v="15"/>
    <n v="17"/>
    <n v="15"/>
    <n v="18"/>
    <n v="0"/>
    <m/>
    <n v="8374.9915219489994"/>
    <m/>
    <m/>
    <m/>
    <m/>
    <d v="2018-10-10T00:00:00"/>
    <d v="1901-12-31T00:00:00"/>
    <m/>
    <m/>
    <m/>
    <m/>
    <m/>
    <d v="2018-12-10T00:00:00"/>
    <d v="2019-01-10T00:00:00"/>
    <m/>
    <m/>
    <m/>
    <m/>
    <m/>
    <m/>
    <m/>
    <m/>
    <m/>
    <m/>
    <m/>
    <m/>
    <m/>
    <m/>
    <m/>
    <m/>
    <m/>
    <m/>
    <m/>
    <m/>
    <n v="3880305.71"/>
    <n v="3922816.6100000003"/>
    <n v="42510.900000000373"/>
    <n v="2600.8026267809669"/>
    <n v="186800.79095238098"/>
    <n v="2877228"/>
    <n v="2855004"/>
    <n v="-22224"/>
    <n v="0.74307809255452284"/>
    <m/>
    <n v="840305.59"/>
    <n v="1157346.49"/>
    <n v="55111.737619047621"/>
    <n v="317040.90000000002"/>
    <n v="1784577"/>
    <n v="1784577"/>
    <n v="599672"/>
    <n v="1184905"/>
    <n v="0"/>
    <n v="84979.857142857145"/>
    <m/>
    <n v="717280"/>
    <n v="442750"/>
    <n v="0"/>
    <n v="0.11286533223891901"/>
    <m/>
    <n v="0"/>
    <n v="-274530"/>
    <n v="21083.333333333332"/>
    <n v="76195.070952380949"/>
    <n v="-13072.857142857143"/>
    <n v="5.15"/>
    <n v="5"/>
    <n v="1512119.8533942373"/>
    <n v="315000"/>
    <m/>
    <n v="292222.2"/>
    <m/>
    <n v="0.41981487205439366"/>
    <n v="177098.21865"/>
    <m/>
    <n v="538143.12"/>
    <n v="5434936.4633942377"/>
    <n v="191949.3517696585"/>
    <n v="67849"/>
    <d v="2011-09-28T00:00:00"/>
    <n v="24368"/>
    <m/>
    <m/>
    <m/>
    <s v="0"/>
    <d v="2012-01-26T00:00:00"/>
    <s v="0"/>
    <n v="-30"/>
    <s v="0"/>
    <m/>
    <s v="0"/>
    <m/>
    <m/>
    <s v="0"/>
    <d v="2012-01-10T00:00:00"/>
    <s v="0"/>
    <n v="-30"/>
    <s v="0"/>
    <m/>
    <m/>
    <m/>
    <d v="2014-02-06T00:00:00"/>
    <d v="2014-02-06T00:00:00"/>
    <n v="17298"/>
    <m/>
    <s v="0"/>
    <m/>
    <m/>
    <s v="0"/>
    <d v="2012-03-30T00:00:00"/>
    <s v="0"/>
    <n v="-30"/>
    <s v="0"/>
    <m/>
    <m/>
    <d v="2014-04-24T00:00:00"/>
    <n v="755"/>
    <d v="2014-05-24T00:00:00"/>
    <d v="2014-09-03T00:00:00"/>
    <n v="102"/>
    <d v="2015-06-09T00:00:00"/>
    <n v="279"/>
    <n v="249"/>
    <n v="411"/>
    <d v="2014-12-19T00:00:00"/>
    <n v="26183"/>
    <d v="2014-04-24T00:00:00"/>
    <n v="-411"/>
    <d v="2014-05-09T00:00:00"/>
    <d v="2014-09-03T00:00:00"/>
    <n v="117"/>
    <d v="2014-09-18T00:00:00"/>
    <d v="2015-06-09T00:00:00"/>
    <n v="264"/>
    <n v="411"/>
    <d v="2015-08-28T00:00:00"/>
    <n v="80"/>
    <n v="20"/>
    <n v="9.6999999999999993"/>
    <n v="19.366666666666667"/>
    <m/>
    <m/>
    <m/>
    <m/>
    <m/>
    <m/>
    <m/>
    <m/>
  </r>
  <r>
    <s v="Ilot 6.2"/>
    <x v="4"/>
    <x v="0"/>
    <x v="6"/>
    <s v="PRLC 0157"/>
    <s v="FVA"/>
    <s v="DBE"/>
    <s v="AO"/>
    <m/>
    <m/>
    <m/>
    <s v="SODEGIS"/>
    <s v="QUINOT"/>
    <m/>
    <n v="1263"/>
    <m/>
    <n v="126500"/>
    <n v="0"/>
    <n v="0"/>
    <n v="100.15835312747427"/>
    <n v="86.456710134230022"/>
    <n v="7027.7777777777774"/>
    <n v="70.166666666666671"/>
    <m/>
    <n v="1.158479809976247"/>
    <m/>
    <m/>
    <m/>
    <s v="LLTS"/>
    <n v="18"/>
    <m/>
    <n v="18"/>
    <n v="1509.87"/>
    <n v="1463.16"/>
    <n v="81.286666666666676"/>
    <n v="0"/>
    <n v="0.33333333333333331"/>
    <n v="0.33333333333333331"/>
    <n v="0.33333333333333331"/>
    <n v="0"/>
    <m/>
    <n v="0"/>
    <n v="0"/>
    <n v="3"/>
    <m/>
    <s v="B"/>
    <s v="oui"/>
    <s v="oui"/>
    <d v="2014-12-16T00:00:00"/>
    <d v="2015-02-12T00:00:00"/>
    <m/>
    <d v="2015-01-06T00:00:00"/>
    <s v="SEGC"/>
    <s v="M2B RUN"/>
    <s v="DIDES"/>
    <s v="Fromentin"/>
    <d v="2015-03-10T00:00:00"/>
    <d v="2015-04-24T00:00:00"/>
    <d v="2015-05-22T00:00:00"/>
    <d v="2015-06-24T00:00:00"/>
    <m/>
    <m/>
    <m/>
    <m/>
    <m/>
    <s v="INTERINVEST"/>
    <m/>
    <m/>
    <m/>
    <m/>
    <s v="SNC ALESIA 6"/>
    <m/>
    <d v="2015-10-21T00:00:00"/>
    <m/>
    <d v="2015-11-02T00:00:00"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s v="BARET/GILLOT"/>
    <m/>
    <m/>
    <d v="2016-10-04T00:00:00"/>
    <s v="?"/>
    <m/>
    <s v="MAREL / DS"/>
    <m/>
    <m/>
    <d v="2016-04-12T00:00:00"/>
    <s v="ok"/>
    <s v="ok"/>
    <s v="à déposer"/>
    <s v="demande 07/10/16"/>
    <m/>
    <m/>
    <m/>
    <m/>
    <m/>
    <d v="1901-06-30T00:00:00"/>
    <m/>
    <m/>
    <m/>
    <m/>
    <m/>
    <d v="2017-07-15T00:00:00"/>
    <m/>
    <n v="14"/>
    <n v="16"/>
    <n v="14"/>
    <n v="15"/>
    <n v="0"/>
    <m/>
    <m/>
    <m/>
    <m/>
    <m/>
    <m/>
    <d v="2018-09-15T00:00:00"/>
    <d v="1901-12-31T00:00:00"/>
    <m/>
    <m/>
    <m/>
    <m/>
    <m/>
    <d v="2018-10-15T00:00:00"/>
    <d v="2018-10-15T00:00:00"/>
    <m/>
    <m/>
    <m/>
    <m/>
    <m/>
    <m/>
    <m/>
    <m/>
    <m/>
    <m/>
    <m/>
    <m/>
    <m/>
    <m/>
    <m/>
    <m/>
    <m/>
    <m/>
    <m/>
    <m/>
    <n v="3031790"/>
    <n v="2996921.73"/>
    <n v="-34868.270000000019"/>
    <n v="1984.8872618172427"/>
    <n v="166495.65166666667"/>
    <n v="2583163.1920000003"/>
    <n v="2614548"/>
    <n v="31384.807999999728"/>
    <n v="0.89073180699984444"/>
    <n v="0.39750000000000002"/>
    <n v="883707"/>
    <n v="896639.9"/>
    <n v="49813.327777777777"/>
    <n v="12932.900000000023"/>
    <n v="1788083"/>
    <n v="1740281.83"/>
    <m/>
    <m/>
    <n v="-47801.169999999925"/>
    <n v="96682.323888888888"/>
    <m/>
    <n v="360000"/>
    <n v="360000"/>
    <m/>
    <n v="0.12012325727305531"/>
    <m/>
    <n v="0"/>
    <n v="0"/>
    <n v="20000"/>
    <n v="69813.327777777769"/>
    <n v="0"/>
    <n v="5.19"/>
    <n v="5.13"/>
    <n v="0"/>
    <n v="0"/>
    <n v="69813.327777777769"/>
    <n v="0"/>
    <n v="69813.327777777769"/>
    <n v="0.41931021668690693"/>
    <n v="0"/>
    <m/>
    <n v="0"/>
    <n v="2996921.73"/>
    <n v="143558"/>
    <n v="71779"/>
    <d v="2014-12-17T00:00:00"/>
    <n v="14522"/>
    <d v="2014-11-12T00:00:00"/>
    <d v="2014-12-03T00:00:00"/>
    <d v="2014-12-12T00:00:00"/>
    <n v="9"/>
    <d v="2015-01-11T00:00:00"/>
    <n v="30"/>
    <n v="0"/>
    <n v="60"/>
    <d v="2015-01-11T00:00:00"/>
    <n v="0"/>
    <d v="2015-02-01T00:00:00"/>
    <d v="2015-01-06T00:00:00"/>
    <n v="-26"/>
    <d v="2015-01-29T00:00:00"/>
    <n v="23"/>
    <n v="-7"/>
    <n v="18"/>
    <d v="2014-12-19T00:00:00"/>
    <m/>
    <d v="2015-01-01T00:00:00"/>
    <d v="2015-01-08T00:00:00"/>
    <m/>
    <n v="21783"/>
    <d v="2015-01-29T00:00:00"/>
    <n v="0"/>
    <d v="2015-02-28T00:00:00"/>
    <d v="2015-03-05T00:00:00"/>
    <n v="5"/>
    <d v="2015-04-15T00:00:00"/>
    <n v="41"/>
    <n v="11"/>
    <n v="76"/>
    <d v="2015-03-23T00:00:00"/>
    <n v="13917"/>
    <d v="2015-04-15T00:00:00"/>
    <n v="0"/>
    <d v="2015-05-15T00:00:00"/>
    <d v="2015-05-20T00:00:00"/>
    <n v="5"/>
    <d v="2015-06-19T00:00:00"/>
    <n v="30"/>
    <n v="0"/>
    <n v="65"/>
    <d v="2015-07-17T00:00:00"/>
    <n v="21557"/>
    <d v="2015-06-19T00:00:00"/>
    <n v="0"/>
    <d v="2015-07-04T00:00:00"/>
    <d v="2015-07-23T00:00:00"/>
    <n v="19"/>
    <d v="2015-08-07T00:00:00"/>
    <d v="2015-12-18T00:00:00"/>
    <n v="133"/>
    <n v="182"/>
    <d v="2016-04-12T00:00:00"/>
    <n v="116"/>
    <n v="56"/>
    <n v="9.6999999999999993"/>
    <n v="-1.7666666666666657"/>
    <m/>
    <m/>
    <m/>
    <m/>
    <m/>
    <m/>
    <m/>
    <m/>
  </r>
  <r>
    <s v="RPA mixte St Philippe"/>
    <x v="7"/>
    <x v="1"/>
    <x v="6"/>
    <s v="PRLC 0174"/>
    <s v="FHO"/>
    <s v="KGI"/>
    <s v="AO"/>
    <m/>
    <m/>
    <s v="acte signé 30/11/15_x000a_DA pour emprise de l'accès est signé &amp; numéroté mais l'une des parcelles a été détachée récemment_x000a_VEFA fin 2016 sur AT 257 p"/>
    <s v="EPFR"/>
    <s v="MOUTIEN"/>
    <m/>
    <n v="3547"/>
    <n v="319230"/>
    <n v="132491.5"/>
    <n v="16801.57894736842"/>
    <n v="90"/>
    <n v="37.353115308711587"/>
    <n v="110.40406313017682"/>
    <n v="6973.2368421052633"/>
    <n v="186.68421052631578"/>
    <m/>
    <m/>
    <s v="UA"/>
    <m/>
    <m/>
    <s v="LLTS"/>
    <n v="19"/>
    <m/>
    <n v="19"/>
    <n v="1222.18"/>
    <n v="1200.06"/>
    <n v="63.161052631578947"/>
    <n v="0"/>
    <n v="0.68421052631578949"/>
    <n v="0.26315789473684209"/>
    <n v="0.10526315789473684"/>
    <n v="0"/>
    <m/>
    <s v="x"/>
    <m/>
    <n v="2"/>
    <m/>
    <s v="B"/>
    <m/>
    <m/>
    <d v="2014-12-16T00:00:00"/>
    <d v="2015-01-27T00:00:00"/>
    <m/>
    <m/>
    <s v="LACQ"/>
    <s v="PREVENTIO"/>
    <s v="DIDES"/>
    <m/>
    <d v="2015-06-11T00:00:00"/>
    <d v="2015-07-25T00:00:00"/>
    <d v="2015-08-18T00:00:00"/>
    <d v="2015-09-25T00:00:00"/>
    <m/>
    <m/>
    <m/>
    <m/>
    <m/>
    <s v="OFOI"/>
    <d v="2015-05-20T00:00:00"/>
    <d v="2016-05-20T00:00:00"/>
    <s v="Oui"/>
    <s v="Oui"/>
    <s v="LOGIS 8"/>
    <m/>
    <d v="2015-09-01T00:00:00"/>
    <m/>
    <d v="2015-09-14T00:00:00"/>
    <s v="ok"/>
    <d v="2016-06-15T00:00:00"/>
    <d v="2016-06-17T00:00:00"/>
    <d v="2016-06-20T00:00:00"/>
    <d v="2016-06-27T00:00:00"/>
    <d v="2016-07-08T00:00:00"/>
    <s v="06/10/2016_x000a_renvoyé le 04/10/16 à CDC"/>
    <d v="2015-08-19T00:00:00"/>
    <m/>
    <d v="1901-12-31T00:00:00"/>
    <d v="1902-12-31T00:00:00"/>
    <m/>
    <d v="2016-07-13T00:00:00"/>
    <s v="Commune 09/11/16_x000a_Région 13/12/16_x000a_CASUD 21/12/16 non conforme_x000a_CG 12/01/17"/>
    <d v="2016-08-18T00:00:00"/>
    <d v="2016-12-07T00:00:00"/>
    <d v="2016-12-26T00:00:00"/>
    <d v="2017-01-12T00:00:00"/>
    <d v="2016-08-29T00:00:00"/>
    <s v="25/10/2016_x000a_pas conforme"/>
    <d v="2016-11-09T00:00:00"/>
    <d v="2016-11-09T00:00:00"/>
    <d v="2016-08-17T00:00:00"/>
    <d v="2016-09-23T00:00:00"/>
    <d v="2016-12-21T00:00:00"/>
    <d v="2017-01-18T00:00:00"/>
    <d v="2016-08-18T00:00:00"/>
    <d v="2016-11-29T00:00:00"/>
    <d v="2016-12-13T00:00:00"/>
    <d v="2016-12-15T00:00:00"/>
    <s v="LE GOFF"/>
    <m/>
    <m/>
    <d v="2016-08-18T00:00:00"/>
    <s v="manque EDD"/>
    <m/>
    <s v="MAREL / DS"/>
    <m/>
    <m/>
    <d v="2016-05-24T00:00:00"/>
    <s v="PC modif 25/08/16"/>
    <s v="PC modif : manque dernier PV"/>
    <s v="ok"/>
    <s v="note de couverture reçue 20/09/16_x000a_30 460,61"/>
    <s v="ok"/>
    <s v="Risques : _x000a_- DA_x000a_- purge PC modif"/>
    <m/>
    <m/>
    <m/>
    <e v="#VALUE!"/>
    <m/>
    <m/>
    <m/>
    <m/>
    <m/>
    <d v="2017-07-15T00:00:00"/>
    <m/>
    <n v="16"/>
    <n v="18"/>
    <n v="16"/>
    <n v="17"/>
    <n v="0"/>
    <m/>
    <m/>
    <m/>
    <m/>
    <m/>
    <m/>
    <d v="2018-11-15T00:00:00"/>
    <d v="1901-12-31T00:00:00"/>
    <m/>
    <m/>
    <m/>
    <m/>
    <m/>
    <d v="2018-12-15T00:00:00"/>
    <d v="2018-12-15T00:00:00"/>
    <m/>
    <m/>
    <m/>
    <m/>
    <m/>
    <m/>
    <m/>
    <m/>
    <m/>
    <m/>
    <m/>
    <m/>
    <m/>
    <m/>
    <m/>
    <m/>
    <m/>
    <m/>
    <m/>
    <m/>
    <n v="2660388.3050338021"/>
    <n v="1495582.7493315674"/>
    <n v="-1164805.5557022346"/>
    <n v="1223.7008863928122"/>
    <n v="78714.881543766707"/>
    <n v="2613042.4974093148"/>
    <n v="1858695.408962426"/>
    <n v="-754347.08844688884"/>
    <n v="1.2688886745977803"/>
    <n v="0.39772600000000002"/>
    <n v="780309.39272020268"/>
    <n v="771141"/>
    <n v="40586.368421052633"/>
    <n v="-9168.3927202026825"/>
    <n v="1460078.9123135994"/>
    <n v="0"/>
    <n v="307278"/>
    <n v="1052044"/>
    <n v="-1460078.9123135994"/>
    <n v="0"/>
    <m/>
    <n v="420000"/>
    <n v="420000"/>
    <m/>
    <n v="0.28082698880266832"/>
    <m/>
    <n v="16912"/>
    <n v="0"/>
    <n v="22105.263157894737"/>
    <n v="62691.631578947367"/>
    <n v="0"/>
    <n v="5.65"/>
    <n v="5.65"/>
    <n v="510850.13361374999"/>
    <n v="380000"/>
    <n v="82691.631578947374"/>
    <n v="0"/>
    <n v="82691.631578947374"/>
    <n v="0.82914939711624391"/>
    <n v="111550"/>
    <m/>
    <n v="287529.74933156744"/>
    <n v="2006432.8829453173"/>
    <n v="139200"/>
    <n v="90480"/>
    <d v="2014-12-19T00:00:00"/>
    <n v="13467"/>
    <d v="2014-12-04T00:00:00"/>
    <d v="2014-12-25T00:00:00"/>
    <d v="2014-12-15T00:00:00"/>
    <n v="-10"/>
    <d v="2015-01-22T00:00:00"/>
    <n v="38"/>
    <n v="8"/>
    <n v="49"/>
    <d v="2015-01-22T00:00:00"/>
    <n v="0"/>
    <d v="2015-02-12T00:00:00"/>
    <d v="2015-02-26T00:00:00"/>
    <n v="14"/>
    <d v="2015-03-16T00:00:00"/>
    <n v="18"/>
    <n v="-12"/>
    <n v="53"/>
    <d v="2015-03-19T00:00:00"/>
    <n v="4987"/>
    <m/>
    <d v="2015-02-06T00:00:00"/>
    <d v="2014-05-05T00:00:00"/>
    <n v="14412"/>
    <d v="2015-03-16T00:00:00"/>
    <n v="0"/>
    <d v="2015-04-15T00:00:00"/>
    <d v="2015-05-11T00:00:00"/>
    <n v="26"/>
    <d v="2015-06-22T00:00:00"/>
    <n v="42"/>
    <n v="12"/>
    <n v="98"/>
    <d v="2015-08-31T00:00:00"/>
    <n v="13125"/>
    <d v="2015-12-14T00:00:00"/>
    <n v="175"/>
    <d v="2016-01-13T00:00:00"/>
    <d v="2016-02-26T00:00:00"/>
    <n v="44"/>
    <d v="2016-03-15T00:00:00"/>
    <n v="18"/>
    <n v="-12"/>
    <n v="92"/>
    <d v="2016-04-27T00:00:00"/>
    <n v="26102"/>
    <d v="2016-03-15T00:00:00"/>
    <n v="0"/>
    <d v="2016-03-30T00:00:00"/>
    <d v="2016-04-06T00:00:00"/>
    <n v="7"/>
    <d v="2016-04-21T00:00:00"/>
    <d v="2016-04-08T00:00:00"/>
    <n v="-13"/>
    <n v="24"/>
    <d v="2016-05-24T00:00:00"/>
    <n v="46"/>
    <n v="-14"/>
    <n v="9.6999999999999993"/>
    <n v="6.1000000000000014"/>
    <d v="2016-12-22T00:00:00"/>
    <m/>
    <d v="2016-12-22T00:00:00"/>
    <n v="18387"/>
    <m/>
    <m/>
    <m/>
    <m/>
  </r>
  <r>
    <s v="Hortensias "/>
    <x v="1"/>
    <x v="1"/>
    <x v="5"/>
    <s v="PRLC 0178"/>
    <s v="APU"/>
    <s v="DBE"/>
    <s v="PRO "/>
    <m/>
    <s v="BX 855"/>
    <s v="coordonnées des propriétaires limitrophes transmis à APU_x000a_courriers faits par BJE aux riverains pour une rencontre"/>
    <m/>
    <m/>
    <m/>
    <n v="785"/>
    <n v="550000"/>
    <n v="55000"/>
    <n v="25000"/>
    <n v="700.63694267515928"/>
    <n v="70.063694267515928"/>
    <n v="32.566153700403227"/>
    <n v="2500"/>
    <n v="35.68181818181818"/>
    <m/>
    <n v="2.1514267515923566"/>
    <s v="UAa"/>
    <n v="500"/>
    <m/>
    <s v="LLTS"/>
    <n v="22"/>
    <m/>
    <n v="22"/>
    <m/>
    <n v="1688.87"/>
    <n v="1746"/>
    <m/>
    <n v="0.45454545454545453"/>
    <n v="0.27272727272727271"/>
    <n v="0.22727272727272727"/>
    <n v="4.5454545454545456E-2"/>
    <m/>
    <n v="0"/>
    <n v="0"/>
    <n v="7"/>
    <n v="2"/>
    <m/>
    <m/>
    <s v="oui"/>
    <d v="2016-01-19T00:00:00"/>
    <d v="2016-01-27T00:00:00"/>
    <d v="2016-04-15T00:00:00"/>
    <d v="2016-04-21T00:00:00"/>
    <s v="SEGC"/>
    <s v="M2B RUN"/>
    <s v="DIDES"/>
    <m/>
    <d v="2016-05-09T00:00:00"/>
    <d v="2016-05-23T00:00:00"/>
    <d v="2016-06-23T00:00:00"/>
    <d v="2016-08-05T00:00:00"/>
    <m/>
    <m/>
    <m/>
    <m/>
    <m/>
    <m/>
    <m/>
    <m/>
    <m/>
    <m/>
    <m/>
    <m/>
    <d v="2016-08-24T00:00:00"/>
    <d v="2016-10-03T00:00:00"/>
    <d v="2016-09-01T00:00:00"/>
    <s v="SO"/>
    <s v="SO"/>
    <s v="SO"/>
    <s v="SO"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06-30T00:00:00"/>
    <m/>
    <m/>
    <m/>
    <m/>
    <m/>
    <d v="2017-11-01T00:00:00"/>
    <m/>
    <n v="16"/>
    <n v="18"/>
    <n v="16"/>
    <n v="17"/>
    <n v="0"/>
    <m/>
    <m/>
    <m/>
    <m/>
    <m/>
    <m/>
    <d v="2019-03-01T00:00:00"/>
    <d v="1901-12-31T00:00:00"/>
    <m/>
    <m/>
    <m/>
    <m/>
    <m/>
    <d v="2019-04-01T00:00:00"/>
    <d v="2019-04-01T00:00:00"/>
    <m/>
    <m/>
    <m/>
    <m/>
    <m/>
    <m/>
    <m/>
    <m/>
    <m/>
    <m/>
    <m/>
    <m/>
    <m/>
    <m/>
    <m/>
    <m/>
    <m/>
    <m/>
    <m/>
    <m/>
    <n v="3709176.2725294223"/>
    <n v="3552911"/>
    <n v="-156265.27252942231"/>
    <e v="#DIV/0!"/>
    <n v="161495.95454545456"/>
    <n v="3142057.6116279075"/>
    <n v="3087171"/>
    <n v="-54886.611627907492"/>
    <n v="0.88716030066612972"/>
    <n v="0.4"/>
    <n v="1117146.8818248713"/>
    <n v="1092923"/>
    <n v="49678.318181818184"/>
    <n v="-24223.881824871292"/>
    <n v="2192029.3907045508"/>
    <n v="2059988"/>
    <n v="422810"/>
    <n v="1637178"/>
    <n v="-132041.39070455078"/>
    <n v="93635.818181818177"/>
    <m/>
    <n v="400000"/>
    <n v="400000"/>
    <m/>
    <n v="0.1078406553396896"/>
    <m/>
    <m/>
    <n v="0"/>
    <n v="18181.81818181818"/>
    <n v="67860.136363636368"/>
    <n v="0"/>
    <n v="5.32"/>
    <n v="5.29"/>
    <m/>
    <m/>
    <n v="68961.221901130513"/>
    <m/>
    <n v="67860.136363636368"/>
    <n v="0.40902528495640184"/>
    <m/>
    <m/>
    <m/>
    <n v="3709176.2725294223"/>
    <n v="183761.2"/>
    <n v="60641"/>
    <d v="2016-02-29T00:00:00"/>
    <m/>
    <d v="2015-11-23T00:00:00"/>
    <d v="2015-12-14T00:00:00"/>
    <d v="2016-01-13T00:00:00"/>
    <n v="30"/>
    <d v="2016-01-18T00:00:00"/>
    <n v="5"/>
    <n v="-25"/>
    <n v="56"/>
    <d v="2016-01-18T00:00:00"/>
    <n v="0"/>
    <d v="2016-02-08T00:00:00"/>
    <d v="2016-02-23T00:00:00"/>
    <n v="15"/>
    <d v="2016-08-16T00:00:00"/>
    <n v="175"/>
    <n v="145"/>
    <n v="211"/>
    <d v="2016-08-23T00:00:00"/>
    <n v="8765"/>
    <m/>
    <d v="2016-02-15T00:00:00"/>
    <d v="2016-02-29T00:00:00"/>
    <n v="36701"/>
    <d v="2016-08-16T00:00:00"/>
    <n v="0"/>
    <d v="2016-09-15T00:00:00"/>
    <d v="2016-10-03T00:00:00"/>
    <n v="18"/>
    <d v="2017-01-13T00:00:00"/>
    <n v="102"/>
    <n v="72"/>
    <n v="150"/>
    <d v="2016-12-12T00:00:00"/>
    <n v="15175"/>
    <d v="2017-02-06T00:00:00"/>
    <n v="24"/>
    <d v="2017-03-08T00:00:00"/>
    <d v="2017-03-08T00:00:00"/>
    <n v="0"/>
    <d v="2017-04-07T00:00:00"/>
    <n v="30"/>
    <n v="0"/>
    <n v="60"/>
    <m/>
    <n v="27564.18"/>
    <d v="2017-04-07T00:00:00"/>
    <n v="0"/>
    <d v="2017-04-22T00:00:00"/>
    <d v="2017-04-22T00:00:00"/>
    <n v="0"/>
    <d v="2017-06-06T00:00:00"/>
    <d v="2017-06-06T00:00:00"/>
    <n v="0"/>
    <n v="60"/>
    <d v="2017-08-05T00:00:00"/>
    <n v="60"/>
    <n v="0"/>
    <n v="9.6999999999999993"/>
    <n v="9"/>
    <m/>
    <m/>
    <m/>
    <m/>
    <m/>
    <m/>
    <m/>
    <m/>
  </r>
  <r>
    <s v="Les Bras de la Plaine"/>
    <x v="6"/>
    <x v="1"/>
    <x v="5"/>
    <s v="PRLC 0180"/>
    <s v="FBR"/>
    <s v="SAR"/>
    <s v="DCE"/>
    <m/>
    <s v="AS 603"/>
    <s v="bornage signé mais remis en cause / servitude de tréfonds SAPHIR_x000a_prorogation EPFR d'un an à mettre en place : attente décision Ville et EPFR"/>
    <m/>
    <m/>
    <m/>
    <n v="2307"/>
    <n v="184560"/>
    <n v="184560"/>
    <n v="10253.333333333334"/>
    <n v="80"/>
    <n v="80"/>
    <n v="136.34953235124632"/>
    <n v="10253.333333333334"/>
    <n v="128.16666666666666"/>
    <m/>
    <n v="0.58672735153879496"/>
    <m/>
    <n v="380"/>
    <m/>
    <s v="LLTS"/>
    <n v="18"/>
    <m/>
    <n v="18"/>
    <n v="1427.7"/>
    <n v="1353.58"/>
    <n v="75.198888888888888"/>
    <n v="0.1111111111111111"/>
    <n v="0.33333333333333331"/>
    <n v="0.3888888888888889"/>
    <n v="0.16666666666666666"/>
    <m/>
    <m/>
    <m/>
    <m/>
    <m/>
    <m/>
    <m/>
    <m/>
    <m/>
    <d v="2016-01-19T00:00:00"/>
    <d v="2016-01-27T00:00:00"/>
    <d v="2016-04-15T00:00:00"/>
    <d v="2016-04-21T00:00:00"/>
    <s v="LACQ"/>
    <s v="M2B RUN"/>
    <s v="DIDES"/>
    <s v="CPC"/>
    <d v="2016-05-03T00:00:00"/>
    <d v="2016-07-04T00:00:00"/>
    <d v="2016-08-12T00:00:00"/>
    <d v="2016-09-05T00:00:00"/>
    <m/>
    <m/>
    <m/>
    <m/>
    <m/>
    <m/>
    <m/>
    <m/>
    <m/>
    <m/>
    <m/>
    <m/>
    <d v="2016-09-07T00:00:00"/>
    <d v="2016-10-03T00:00:00"/>
    <d v="2016-09-13T00:00:00"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06-30T00:00:00"/>
    <m/>
    <m/>
    <m/>
    <m/>
    <m/>
    <d v="2017-11-01T00:00:00"/>
    <m/>
    <n v="16"/>
    <n v="18"/>
    <n v="16"/>
    <n v="17"/>
    <n v="0"/>
    <m/>
    <m/>
    <m/>
    <m/>
    <m/>
    <m/>
    <d v="2019-03-01T00:00:00"/>
    <d v="1901-12-31T00:00:00"/>
    <m/>
    <m/>
    <m/>
    <m/>
    <m/>
    <d v="2019-04-01T00:00:00"/>
    <d v="2019-04-01T00:00:00"/>
    <m/>
    <m/>
    <m/>
    <m/>
    <m/>
    <m/>
    <m/>
    <m/>
    <m/>
    <m/>
    <m/>
    <m/>
    <m/>
    <m/>
    <m/>
    <m/>
    <m/>
    <m/>
    <m/>
    <m/>
    <n v="2835176.7292601359"/>
    <n v="2816165.5285564293"/>
    <n v="-19011.200703706592"/>
    <n v="1972.5191066445536"/>
    <n v="156453.64047535718"/>
    <n v="2485795.7500000005"/>
    <n v="2579834.0699999998"/>
    <n v="94038.319999999367"/>
    <n v="0.93531809787480691"/>
    <n v="0.4"/>
    <n v="896735"/>
    <n v="930919.27"/>
    <n v="51717.737222222226"/>
    <n v="34184.270000000019"/>
    <n v="1668441.7292601359"/>
    <n v="1615246.2585564293"/>
    <n v="307655.4085564292"/>
    <n v="1307590.8500000001"/>
    <n v="-53195.470703706611"/>
    <n v="89735.903253134966"/>
    <m/>
    <n v="270000"/>
    <n v="270000"/>
    <m/>
    <n v="9.5875046144181159E-2"/>
    <m/>
    <m/>
    <n v="0"/>
    <n v="15000"/>
    <n v="66717.737222222218"/>
    <n v="0"/>
    <n v="5.36"/>
    <n v="5.36"/>
    <m/>
    <m/>
    <n v="64818.611111111109"/>
    <m/>
    <n v="66717.737222222218"/>
    <n v="0.41152108366255874"/>
    <m/>
    <m/>
    <m/>
    <n v="2835176.7292601359"/>
    <n v="140149"/>
    <n v="59563"/>
    <d v="2016-03-01T00:00:00"/>
    <m/>
    <d v="2015-10-15T00:00:00"/>
    <d v="2015-11-05T00:00:00"/>
    <d v="2015-12-07T00:00:00"/>
    <n v="32"/>
    <d v="2016-01-26T00:00:00"/>
    <n v="50"/>
    <n v="20"/>
    <n v="103"/>
    <d v="2016-01-26T00:00:00"/>
    <n v="0"/>
    <d v="2016-02-16T00:00:00"/>
    <d v="2016-04-18T00:00:00"/>
    <n v="62"/>
    <d v="2016-08-11T00:00:00"/>
    <n v="115"/>
    <n v="85"/>
    <n v="198"/>
    <d v="2016-05-11T00:00:00"/>
    <n v="7875"/>
    <m/>
    <d v="2016-02-12T00:00:00"/>
    <d v="2016-03-01T00:00:00"/>
    <n v="27162"/>
    <d v="2016-08-11T00:00:00"/>
    <n v="0"/>
    <d v="2016-09-10T00:00:00"/>
    <d v="2016-10-14T00:00:00"/>
    <n v="34"/>
    <d v="2016-10-26T00:00:00"/>
    <n v="12"/>
    <n v="-18"/>
    <n v="76"/>
    <d v="2016-10-26T00:00:00"/>
    <n v="14015"/>
    <d v="2016-11-10T00:00:00"/>
    <n v="15"/>
    <d v="2016-12-10T00:00:00"/>
    <d v="2017-02-23T00:00:00"/>
    <n v="75"/>
    <d v="2017-03-25T00:00:00"/>
    <n v="30"/>
    <n v="0"/>
    <n v="135"/>
    <d v="2016-12-13T00:00:00"/>
    <n v="10511"/>
    <d v="2017-03-25T00:00:00"/>
    <n v="0"/>
    <d v="2017-04-09T00:00:00"/>
    <d v="2017-04-09T00:00:00"/>
    <n v="0"/>
    <d v="2017-05-24T00:00:00"/>
    <d v="2017-05-24T00:00:00"/>
    <n v="0"/>
    <n v="60"/>
    <d v="2017-07-23T00:00:00"/>
    <n v="60"/>
    <n v="0"/>
    <n v="9.6999999999999993"/>
    <n v="7.8666666666666671"/>
    <m/>
    <m/>
    <m/>
    <m/>
    <m/>
    <m/>
    <m/>
    <m/>
  </r>
  <r>
    <s v="Les Kakis"/>
    <x v="6"/>
    <x v="1"/>
    <x v="5"/>
    <s v="PRLC 0181"/>
    <s v="FBR"/>
    <s v="DBE"/>
    <s v="DCE"/>
    <m/>
    <s v="AO 433"/>
    <s v="projet de convention EPFR à valider _x000a_manque CA SODEGIS de février 2017_x000a_projet de bornage transmis à FBR"/>
    <m/>
    <m/>
    <m/>
    <n v="8111"/>
    <n v="405550"/>
    <n v="405550"/>
    <n v="11587.142857142857"/>
    <n v="50"/>
    <n v="50"/>
    <n v="175.71642735205677"/>
    <n v="11587.142857142857"/>
    <n v="231.74285714285713"/>
    <m/>
    <n v="0.28454937738873137"/>
    <m/>
    <n v="450"/>
    <m/>
    <s v="LLTS"/>
    <n v="35"/>
    <m/>
    <n v="35"/>
    <n v="2214"/>
    <n v="2307.98"/>
    <n v="65.942285714285717"/>
    <n v="0.22857142857142856"/>
    <n v="0.22857142857142856"/>
    <n v="0.22857142857142856"/>
    <n v="0.31428571428571428"/>
    <m/>
    <m/>
    <m/>
    <m/>
    <m/>
    <m/>
    <m/>
    <m/>
    <m/>
    <d v="2015-12-15T00:00:00"/>
    <d v="2016-01-27T00:00:00"/>
    <d v="2016-04-15T00:00:00"/>
    <d v="2016-04-14T00:00:00"/>
    <s v="SEGC"/>
    <s v="M2B RUN"/>
    <s v="APAVE"/>
    <s v="CHADRIN"/>
    <d v="2016-06-29T00:00:00"/>
    <m/>
    <m/>
    <m/>
    <m/>
    <m/>
    <m/>
    <m/>
    <m/>
    <m/>
    <m/>
    <m/>
    <m/>
    <m/>
    <m/>
    <m/>
    <d v="2016-10-17T00:00:00"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06-30T00:00:00"/>
    <m/>
    <m/>
    <m/>
    <m/>
    <m/>
    <d v="2017-11-01T00:00:00"/>
    <m/>
    <n v="16"/>
    <n v="18"/>
    <n v="16"/>
    <n v="17"/>
    <n v="0"/>
    <m/>
    <m/>
    <m/>
    <m/>
    <m/>
    <m/>
    <d v="2019-03-01T00:00:00"/>
    <d v="1901-12-31T00:00:00"/>
    <m/>
    <m/>
    <m/>
    <m/>
    <m/>
    <d v="2019-04-01T00:00:00"/>
    <d v="2019-04-01T00:00:00"/>
    <m/>
    <m/>
    <m/>
    <m/>
    <m/>
    <m/>
    <m/>
    <m/>
    <m/>
    <m/>
    <m/>
    <m/>
    <m/>
    <m/>
    <m/>
    <m/>
    <m/>
    <m/>
    <m/>
    <m/>
    <n v="4867349.3792960932"/>
    <n v="5185577.87"/>
    <n v="318228.49070390686"/>
    <n v="2342.1760930442638"/>
    <n v="148159.36771428571"/>
    <n v="4254582.75"/>
    <n v="4784510"/>
    <n v="529927.25"/>
    <n v="0.94203285197219488"/>
    <n v="0.4"/>
    <n v="1361329.3792960932"/>
    <n v="1557378.27"/>
    <n v="44496.521999999997"/>
    <n v="196048.89070390677"/>
    <n v="2561020"/>
    <n v="2683199.6"/>
    <m/>
    <m/>
    <n v="122179.60000000009"/>
    <n v="76662.845714285722"/>
    <m/>
    <n v="945000"/>
    <n v="945000"/>
    <m/>
    <n v="0.1822361988751699"/>
    <m/>
    <m/>
    <n v="0"/>
    <n v="27000"/>
    <n v="71496.521999999997"/>
    <n v="0"/>
    <n v="5.57"/>
    <n v="5.54"/>
    <m/>
    <m/>
    <n v="65895.125122745521"/>
    <m/>
    <n v="71496.521999999997"/>
    <n v="0.47383682566662805"/>
    <m/>
    <m/>
    <m/>
    <n v="5185577.87"/>
    <n v="257024"/>
    <n v="109236"/>
    <d v="2015-11-27T00:00:00"/>
    <n v="26176"/>
    <d v="2015-10-19T00:00:00"/>
    <d v="2015-11-09T00:00:00"/>
    <d v="2015-01-23T00:00:00"/>
    <n v="-290"/>
    <d v="2016-01-29T00:00:00"/>
    <n v="371"/>
    <n v="341"/>
    <n v="102"/>
    <d v="2016-01-29T00:00:00"/>
    <n v="0"/>
    <d v="2016-02-19T00:00:00"/>
    <d v="2016-03-19T00:00:00"/>
    <n v="29"/>
    <d v="2016-08-11T00:00:00"/>
    <n v="145"/>
    <n v="115"/>
    <n v="195"/>
    <d v="2016-05-11T00:00:00"/>
    <n v="17712"/>
    <m/>
    <d v="2016-02-12T00:00:00"/>
    <d v="2016-03-01T00:00:00"/>
    <n v="20368"/>
    <d v="2016-08-11T00:00:00"/>
    <n v="0"/>
    <d v="2016-09-10T00:00:00"/>
    <d v="2016-09-23T00:00:00"/>
    <n v="13"/>
    <d v="2016-10-12T00:00:00"/>
    <n v="19"/>
    <n v="-11"/>
    <n v="62"/>
    <d v="2016-10-27T00:00:00"/>
    <n v="25703"/>
    <d v="2016-11-09T00:00:00"/>
    <n v="28"/>
    <d v="2016-12-09T00:00:00"/>
    <d v="2017-02-23T00:00:00"/>
    <n v="76"/>
    <d v="2017-03-25T00:00:00"/>
    <n v="30"/>
    <n v="0"/>
    <n v="136"/>
    <d v="2016-12-13T00:00:00"/>
    <n v="19277"/>
    <d v="2017-03-25T00:00:00"/>
    <n v="0"/>
    <d v="2017-04-09T00:00:00"/>
    <d v="2017-04-09T00:00:00"/>
    <n v="0"/>
    <d v="2017-05-24T00:00:00"/>
    <d v="2017-05-24T00:00:00"/>
    <n v="0"/>
    <n v="60"/>
    <d v="2017-07-23T00:00:00"/>
    <n v="60"/>
    <n v="0"/>
    <n v="9.6999999999999993"/>
    <n v="7.7333333333333343"/>
    <m/>
    <m/>
    <m/>
    <m/>
    <m/>
    <m/>
    <m/>
    <m/>
  </r>
  <r>
    <s v="Les Platanes "/>
    <x v="0"/>
    <x v="0"/>
    <x v="5"/>
    <s v="PRLC 0179"/>
    <s v="FHO"/>
    <s v="SAR"/>
    <s v="DCE"/>
    <m/>
    <s v="AH 449 à 451"/>
    <s v="compromis signé / topo ok / bornage en cours / droit de passage à valider _x000a_EPFR n'a pas encore acheté le terrain ==&gt; compromis avec le propriétaire à proroger_x000a_négos  pour voie d'accès : refus de l'Association Diocésaine qui a un projet d'aménagement / EPFR achète si accès OK"/>
    <m/>
    <m/>
    <m/>
    <n v="5130"/>
    <n v="425624"/>
    <n v="271768"/>
    <n v="15200.857142857143"/>
    <n v="82.967641325536064"/>
    <n v="52.976218323586743"/>
    <n v="144.10749415389185"/>
    <n v="9706"/>
    <n v="183.21428571428572"/>
    <m/>
    <n v="0.36761598440545806"/>
    <s v="NAU"/>
    <n v="675"/>
    <m/>
    <s v="LLTS"/>
    <n v="28"/>
    <m/>
    <n v="28"/>
    <n v="1812.35"/>
    <n v="1885.87"/>
    <n v="67.352499999999992"/>
    <n v="0.14285714285714285"/>
    <n v="0.25"/>
    <n v="0.35714285714285715"/>
    <n v="0.25"/>
    <m/>
    <m/>
    <m/>
    <m/>
    <n v="2.5"/>
    <m/>
    <m/>
    <m/>
    <m/>
    <d v="2015-12-15T00:00:00"/>
    <d v="2016-04-28T00:00:00"/>
    <d v="2016-04-15T00:00:00"/>
    <d v="2016-03-21T00:00:00"/>
    <s v="SEGC"/>
    <s v="PREVENTIO"/>
    <s v="DIDES"/>
    <s v="DARDEL"/>
    <d v="2016-05-03T00:00:00"/>
    <d v="2016-07-19T00:00:00"/>
    <m/>
    <m/>
    <m/>
    <m/>
    <m/>
    <m/>
    <m/>
    <m/>
    <m/>
    <m/>
    <m/>
    <m/>
    <m/>
    <m/>
    <d v="2016-08-22T00:00:00"/>
    <d v="2016-10-03T00:00:00"/>
    <d v="2016-06-01T00:00:00"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06-30T00:00:00"/>
    <m/>
    <m/>
    <m/>
    <m/>
    <m/>
    <d v="2017-11-01T00:00:00"/>
    <m/>
    <n v="16"/>
    <n v="18"/>
    <n v="16"/>
    <n v="17"/>
    <n v="0"/>
    <m/>
    <m/>
    <m/>
    <m/>
    <m/>
    <m/>
    <d v="2019-03-01T00:00:00"/>
    <d v="1901-12-31T00:00:00"/>
    <m/>
    <m/>
    <m/>
    <m/>
    <m/>
    <d v="2019-04-01T00:00:00"/>
    <d v="2019-04-01T00:00:00"/>
    <m/>
    <m/>
    <m/>
    <m/>
    <m/>
    <m/>
    <m/>
    <m/>
    <m/>
    <m/>
    <m/>
    <m/>
    <m/>
    <m/>
    <m/>
    <m/>
    <m/>
    <m/>
    <m/>
    <m/>
    <n v="3901188"/>
    <n v="4025528.7427754011"/>
    <n v="124340.7427754011"/>
    <n v="2221.1651958922953"/>
    <n v="143768.88367055004"/>
    <n v="3532430.6948800003"/>
    <n v="3790547.2600000002"/>
    <n v="258116.56511999993"/>
    <n v="0.96140134619725148"/>
    <n v="0.4"/>
    <n v="1168119"/>
    <n v="1263947.1905793203"/>
    <n v="45140.971092118583"/>
    <n v="95828.190579320304"/>
    <n v="2077069"/>
    <n v="2105581.5521960808"/>
    <n v="386331.95219608076"/>
    <n v="1719249.6"/>
    <n v="28512.552196080796"/>
    <n v="75199.341149860033"/>
    <m/>
    <n v="656000"/>
    <n v="656000"/>
    <m/>
    <n v="0.16295995927921775"/>
    <m/>
    <m/>
    <n v="0"/>
    <n v="23428.571428571428"/>
    <n v="68569.542520690011"/>
    <n v="0"/>
    <n v="5.54"/>
    <m/>
    <n v="878080.00034999999"/>
    <n v="560000"/>
    <n v="85147.107142857145"/>
    <n v="84831.933350000065"/>
    <n v="91599.254426047162"/>
    <n v="0.53838599033842116"/>
    <n v="193430"/>
    <m/>
    <m/>
    <n v="4779268.0003500003"/>
    <n v="199115"/>
    <n v="99557"/>
    <d v="2015-11-25T00:00:00"/>
    <n v="23317"/>
    <d v="2015-11-19T00:00:00"/>
    <d v="2015-12-10T00:00:00"/>
    <d v="2015-12-10T00:00:00"/>
    <n v="0"/>
    <d v="2016-02-05T00:00:00"/>
    <n v="57"/>
    <n v="27"/>
    <n v="78"/>
    <d v="2016-02-05T00:00:00"/>
    <n v="0"/>
    <d v="2016-02-26T00:00:00"/>
    <d v="2016-02-17T00:00:00"/>
    <n v="-9"/>
    <d v="2016-03-10T00:00:00"/>
    <n v="22"/>
    <n v="-8"/>
    <n v="34"/>
    <m/>
    <m/>
    <m/>
    <d v="2016-02-12T00:00:00"/>
    <d v="2016-02-29T00:00:00"/>
    <n v="23306"/>
    <d v="2016-03-10T00:00:00"/>
    <n v="0"/>
    <d v="2016-04-09T00:00:00"/>
    <d v="2016-03-14T00:00:00"/>
    <n v="-26"/>
    <d v="2016-08-22T00:00:00"/>
    <n v="161"/>
    <n v="131"/>
    <n v="165"/>
    <d v="2016-10-14T00:00:00"/>
    <n v="23065"/>
    <d v="2016-09-20T00:00:00"/>
    <n v="29"/>
    <d v="2016-10-20T00:00:00"/>
    <d v="2016-11-10T00:00:00"/>
    <n v="21"/>
    <d v="2017-02-13T00:00:00"/>
    <n v="95"/>
    <n v="65"/>
    <n v="146"/>
    <s v="23/12/2016_x000a_21/02/17"/>
    <n v="29869"/>
    <d v="2017-02-13T00:00:00"/>
    <n v="0"/>
    <d v="2017-02-28T00:00:00"/>
    <d v="2017-02-28T00:00:00"/>
    <n v="0"/>
    <d v="2017-04-14T00:00:00"/>
    <d v="2017-04-14T00:00:00"/>
    <n v="0"/>
    <n v="60"/>
    <d v="2017-06-13T00:00:00"/>
    <n v="60"/>
    <n v="0"/>
    <n v="9.6999999999999993"/>
    <n v="5.3666666666666671"/>
    <m/>
    <m/>
    <m/>
    <m/>
    <m/>
    <m/>
    <m/>
    <m/>
  </r>
  <r>
    <s v="Palissandre"/>
    <x v="1"/>
    <x v="1"/>
    <x v="5"/>
    <s v="PRLC 0110"/>
    <s v="YFR"/>
    <s v="RTA"/>
    <s v="DCE"/>
    <m/>
    <m/>
    <s v="pas de réseau EU"/>
    <s v="Commune"/>
    <s v="LE GOFF"/>
    <m/>
    <n v="2433"/>
    <n v="487212"/>
    <n v="487212"/>
    <n v="16240.4"/>
    <n v="200.25154130702836"/>
    <n v="200.25154130702836"/>
    <n v="190.87340453038934"/>
    <n v="16240.4"/>
    <n v="81.099999999999994"/>
    <n v="782"/>
    <n v="1.0491327579120426"/>
    <s v="UA"/>
    <n v="528"/>
    <n v="0.05"/>
    <s v="LLS"/>
    <n v="30"/>
    <n v="30"/>
    <m/>
    <n v="2526.1"/>
    <n v="2552.54"/>
    <n v="85.084666666666664"/>
    <n v="0.13333333333333333"/>
    <n v="0.23333333333333334"/>
    <n v="0.3"/>
    <n v="0.26666666666666666"/>
    <n v="6.6666666666666666E-2"/>
    <m/>
    <n v="0"/>
    <n v="0"/>
    <n v="4.5"/>
    <n v="1"/>
    <s v="B"/>
    <s v="ok"/>
    <s v="oui"/>
    <d v="2011-09-19T00:00:00"/>
    <s v="07/06/2012_x000a_06/11/15"/>
    <d v="2011-09-30T00:00:00"/>
    <m/>
    <s v="SEGC"/>
    <s v="APAVE"/>
    <s v="SOCOTEC"/>
    <s v="en cours d'analyse au 22/09/16"/>
    <d v="2016-05-04T00:00:00"/>
    <d v="2016-06-02T00:00:00"/>
    <d v="2016-06-27T00:00:00"/>
    <d v="2016-08-05T00:00:00"/>
    <m/>
    <m/>
    <m/>
    <m/>
    <m/>
    <s v="INGEPAR"/>
    <s v="Oui"/>
    <m/>
    <s v="Oui"/>
    <s v="Oui"/>
    <s v="LS 73"/>
    <m/>
    <d v="2016-09-05T00:00:00"/>
    <d v="2016-10-03T00:00:00"/>
    <m/>
    <s v="oui"/>
    <d v="2014-06-17T00:00:00"/>
    <d v="2014-07-11T00:00:00"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s v="LE GOFF"/>
    <n v="114606"/>
    <n v="68763.600000000006"/>
    <m/>
    <m/>
    <m/>
    <m/>
    <m/>
    <m/>
    <m/>
    <m/>
    <m/>
    <s v="à déposer"/>
    <m/>
    <m/>
    <m/>
    <m/>
    <m/>
    <m/>
    <d v="1901-06-30T00:00:00"/>
    <m/>
    <m/>
    <m/>
    <m/>
    <m/>
    <d v="2017-11-01T00:00:00"/>
    <m/>
    <n v="18"/>
    <n v="20"/>
    <n v="18"/>
    <n v="19"/>
    <n v="0"/>
    <m/>
    <m/>
    <m/>
    <m/>
    <m/>
    <m/>
    <d v="2019-05-01T00:00:00"/>
    <d v="1901-12-31T00:00:00"/>
    <m/>
    <m/>
    <m/>
    <m/>
    <m/>
    <d v="2019-06-01T00:00:00"/>
    <d v="2019-06-01T00:00:00"/>
    <m/>
    <s v="attente arrêté LBU"/>
    <m/>
    <m/>
    <m/>
    <m/>
    <m/>
    <m/>
    <m/>
    <m/>
    <m/>
    <m/>
    <m/>
    <m/>
    <m/>
    <m/>
    <m/>
    <m/>
    <m/>
    <s v="oui"/>
    <n v="4943384.7071162229"/>
    <n v="5004907"/>
    <n v="61522.29288377706"/>
    <n v="1981.2782550176162"/>
    <n v="166830.23333333334"/>
    <n v="4257022.3269400001"/>
    <n v="4316430"/>
    <n v="59407.673059999943"/>
    <n v="0.88055083341208928"/>
    <n v="0.37030000000000002"/>
    <n v="1487646.5617181344"/>
    <n v="1509513"/>
    <n v="50317.1"/>
    <n v="21866.438281865558"/>
    <n v="3185738.1453980887"/>
    <n v="3225394"/>
    <n v="666502"/>
    <n v="2558892"/>
    <n v="39655.854601911269"/>
    <n v="107513.13333333333"/>
    <n v="0"/>
    <n v="270000"/>
    <n v="270000"/>
    <m/>
    <n v="5.3947056358889384E-2"/>
    <m/>
    <n v="0"/>
    <n v="0"/>
    <n v="9000"/>
    <n v="59317.1"/>
    <n v="0"/>
    <n v="6.47"/>
    <n v="5.76"/>
    <n v="0"/>
    <n v="0"/>
    <n v="58588.218723937818"/>
    <n v="0"/>
    <n v="59317.1"/>
    <n v="0.3555552856705495"/>
    <m/>
    <m/>
    <n v="0"/>
    <n v="4943384.7071162229"/>
    <n v="236430"/>
    <n v="118215"/>
    <d v="2011-08-24T00:00:00"/>
    <n v="3705"/>
    <d v="2011-07-11T00:00:00"/>
    <d v="2011-08-01T00:00:00"/>
    <d v="2011-07-25T00:00:00"/>
    <n v="-7"/>
    <d v="2011-08-29T00:00:00"/>
    <n v="35"/>
    <n v="5"/>
    <n v="49"/>
    <d v="2011-09-19T00:00:00"/>
    <n v="21"/>
    <d v="2011-10-10T00:00:00"/>
    <d v="2011-10-10T00:00:00"/>
    <n v="0"/>
    <d v="2011-11-07T00:00:00"/>
    <n v="28"/>
    <n v="-2"/>
    <n v="49"/>
    <d v="2011-12-15T00:00:00"/>
    <n v="11608"/>
    <m/>
    <d v="2016-02-04T00:00:00"/>
    <d v="2011-12-15T00:00:00"/>
    <n v="42727"/>
    <d v="2012-01-16T00:00:00"/>
    <n v="70"/>
    <d v="2012-02-15T00:00:00"/>
    <d v="2012-02-15T00:00:00"/>
    <n v="0"/>
    <d v="2012-04-02T00:00:00"/>
    <n v="47"/>
    <n v="17"/>
    <n v="77"/>
    <d v="2012-10-11T00:00:00"/>
    <n v="25155"/>
    <d v="2016-01-18T00:00:00"/>
    <n v="1386"/>
    <d v="2016-02-17T00:00:00"/>
    <d v="2015-12-21T00:00:00"/>
    <n v="-58"/>
    <d v="2016-02-29T00:00:00"/>
    <n v="70"/>
    <n v="40"/>
    <n v="42"/>
    <d v="2016-09-02T00:00:00"/>
    <n v="35020"/>
    <d v="2016-03-16T00:00:00"/>
    <n v="16"/>
    <d v="2016-03-31T00:00:00"/>
    <d v="2016-04-11T00:00:00"/>
    <n v="11"/>
    <d v="2016-05-26T00:00:00"/>
    <d v="2016-05-26T00:00:00"/>
    <n v="0"/>
    <n v="71"/>
    <d v="2016-07-25T00:00:00"/>
    <n v="60"/>
    <n v="0"/>
    <n v="9.6999999999999993"/>
    <n v="49.666666666666671"/>
    <d v="2016-12-15T00:00:00"/>
    <n v="65916.894009216587"/>
    <m/>
    <m/>
    <m/>
    <m/>
    <m/>
    <m/>
  </r>
  <r>
    <s v="RPA Du Parc"/>
    <x v="5"/>
    <x v="1"/>
    <x v="5"/>
    <s v="PRLC 0176"/>
    <s v="FHO"/>
    <s v="RTA"/>
    <s v="APD"/>
    <m/>
    <s v="BO 206-352"/>
    <s v="compromis vente signé / à proroger à fin 2017"/>
    <m/>
    <m/>
    <m/>
    <n v="2872"/>
    <n v="516960"/>
    <n v="516960"/>
    <n v="12924"/>
    <n v="180"/>
    <n v="180"/>
    <n v="216.90750717486529"/>
    <n v="12924"/>
    <n v="71.8"/>
    <m/>
    <n v="0.8298467966573817"/>
    <m/>
    <m/>
    <m/>
    <s v="LLTS"/>
    <n v="40"/>
    <m/>
    <n v="40"/>
    <n v="2383.79"/>
    <n v="2383.3200000000002"/>
    <n v="59.583000000000006"/>
    <m/>
    <n v="0.92500000000000004"/>
    <n v="0.05"/>
    <n v="2.5000000000000001E-2"/>
    <m/>
    <m/>
    <m/>
    <m/>
    <n v="3"/>
    <m/>
    <m/>
    <m/>
    <m/>
    <d v="2015-07-21T00:00:00"/>
    <d v="2015-11-06T00:00:00"/>
    <d v="2016-04-15T00:00:00"/>
    <d v="2016-09-20T00:00:00"/>
    <s v="SEGC"/>
    <s v="PREVENTECH"/>
    <s v="DIDES"/>
    <m/>
    <d v="2016-08-31T00:00:00"/>
    <d v="2016-10-05T00:00:00"/>
    <m/>
    <m/>
    <m/>
    <m/>
    <m/>
    <m/>
    <m/>
    <m/>
    <m/>
    <m/>
    <m/>
    <m/>
    <m/>
    <m/>
    <d v="2016-09-16T00:00:00"/>
    <d v="2016-10-14T00:00:00"/>
    <d v="2016-09-30T00:00:00"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06-30T00:00:00"/>
    <m/>
    <m/>
    <m/>
    <m/>
    <m/>
    <d v="2017-11-15T00:00:00"/>
    <m/>
    <n v="16"/>
    <n v="18"/>
    <n v="16"/>
    <n v="17"/>
    <n v="0"/>
    <m/>
    <m/>
    <m/>
    <m/>
    <m/>
    <m/>
    <d v="2019-03-15T00:00:00"/>
    <d v="1901-12-31T00:00:00"/>
    <m/>
    <m/>
    <m/>
    <m/>
    <m/>
    <d v="2019-04-15T00:00:00"/>
    <d v="2019-04-15T00:00:00"/>
    <m/>
    <m/>
    <m/>
    <m/>
    <m/>
    <m/>
    <m/>
    <m/>
    <m/>
    <m/>
    <m/>
    <m/>
    <m/>
    <m/>
    <m/>
    <m/>
    <m/>
    <m/>
    <m/>
    <m/>
    <n v="5086671"/>
    <n v="5118863"/>
    <n v="32192"/>
    <n v="2147.3632324995069"/>
    <n v="127971.575"/>
    <n v="4519361.7020000005"/>
    <n v="4649415"/>
    <n v="130053.29799999949"/>
    <n v="0.9273646735612967"/>
    <n v="0.4"/>
    <n v="1517885"/>
    <n v="1563009"/>
    <n v="39075.224999999999"/>
    <n v="45124"/>
    <n v="2768786"/>
    <n v="2755854"/>
    <n v="615803"/>
    <n v="2140051"/>
    <n v="-12932"/>
    <n v="68896.350000000006"/>
    <m/>
    <n v="800000"/>
    <n v="800000"/>
    <m/>
    <n v="0.15628470619354337"/>
    <m/>
    <m/>
    <n v="0"/>
    <n v="20000"/>
    <n v="57947.125"/>
    <n v="0"/>
    <n v="5.76"/>
    <n v="5.7"/>
    <m/>
    <m/>
    <n v="57947.125"/>
    <m/>
    <n v="59075.224999999999"/>
    <n v="0.45567818323614795"/>
    <m/>
    <m/>
    <n v="0"/>
    <n v="5086671"/>
    <n v="251153"/>
    <n v="75346"/>
    <d v="2015-06-25T00:00:00"/>
    <n v="21429"/>
    <d v="2015-06-15T00:00:00"/>
    <d v="2015-07-06T00:00:00"/>
    <d v="2015-07-06T00:00:00"/>
    <n v="0"/>
    <d v="2015-12-07T00:00:00"/>
    <n v="154"/>
    <n v="124"/>
    <n v="175"/>
    <d v="2015-12-09T00:00:00"/>
    <n v="2"/>
    <d v="2015-12-30T00:00:00"/>
    <d v="2016-03-17T00:00:00"/>
    <n v="78"/>
    <d v="2016-07-31T00:00:00"/>
    <n v="136"/>
    <n v="106"/>
    <n v="235"/>
    <d v="2016-09-20T00:00:00"/>
    <n v="12215"/>
    <d v="2016-01-11T00:00:00"/>
    <d v="2016-02-15T00:00:00"/>
    <d v="2016-02-29T00:00:00"/>
    <n v="24930"/>
    <d v="2016-10-26T00:00:00"/>
    <n v="87"/>
    <d v="2016-11-25T00:00:00"/>
    <d v="2016-12-16T00:00:00"/>
    <n v="21"/>
    <d v="2017-02-23T00:00:00"/>
    <n v="69"/>
    <n v="39"/>
    <n v="120"/>
    <d v="2016-12-22T00:00:00"/>
    <n v="17272"/>
    <d v="2016-10-26T00:00:00"/>
    <n v="-120"/>
    <d v="2016-11-25T00:00:00"/>
    <d v="2017-02-23T00:00:00"/>
    <n v="90"/>
    <d v="2017-03-25T00:00:00"/>
    <n v="30"/>
    <n v="0"/>
    <n v="150"/>
    <m/>
    <n v="37672.949999999997"/>
    <d v="2017-03-25T00:00:00"/>
    <n v="0"/>
    <d v="2017-04-09T00:00:00"/>
    <d v="2017-04-09T00:00:00"/>
    <n v="0"/>
    <d v="2017-05-24T00:00:00"/>
    <d v="2017-05-24T00:00:00"/>
    <n v="0"/>
    <n v="60"/>
    <d v="2017-07-23T00:00:00"/>
    <n v="60"/>
    <n v="0"/>
    <n v="9.6999999999999993"/>
    <n v="11.933333333333334"/>
    <m/>
    <m/>
    <m/>
    <m/>
    <m/>
    <m/>
    <m/>
    <m/>
  </r>
  <r>
    <s v="Bras Moutons "/>
    <x v="3"/>
    <x v="2"/>
    <x v="7"/>
    <s v="PRLC 0159"/>
    <m/>
    <s v="DBE"/>
    <s v="APD"/>
    <s v="oui"/>
    <s v="CF 549"/>
    <s v="recours contentieux / compromis signé / pb d'accès "/>
    <s v="Commune"/>
    <s v="BARET/GILLOT"/>
    <m/>
    <n v="4113"/>
    <n v="205650"/>
    <n v="189641"/>
    <n v="10823.684210526315"/>
    <n v="50"/>
    <n v="46.107707269632868"/>
    <n v="114.25189023104498"/>
    <n v="9981.105263157895"/>
    <n v="216.47368421052633"/>
    <m/>
    <n v="0.40356187697544371"/>
    <s v="UC"/>
    <m/>
    <m/>
    <s v="LLTS"/>
    <n v="19"/>
    <m/>
    <n v="19"/>
    <n v="1680.48"/>
    <n v="1659.85"/>
    <n v="87.360526315789471"/>
    <m/>
    <m/>
    <n v="0.15789473684210525"/>
    <n v="0.63157894736842102"/>
    <n v="0.21052631578947367"/>
    <m/>
    <m/>
    <n v="0"/>
    <n v="1.5"/>
    <m/>
    <s v="B"/>
    <s v="ok"/>
    <m/>
    <d v="2014-01-30T00:00:00"/>
    <s v="20/02/2014_x000a_02/07/14_x000a_26/08/15_x000a_01/02/17"/>
    <d v="2016-04-15T00:00:00"/>
    <m/>
    <s v="SEGC"/>
    <m/>
    <s v="DIDES non notifié"/>
    <m/>
    <d v="2015-10-22T00:00:00"/>
    <d v="2016-01-15T00:00:00"/>
    <m/>
    <d v="2016-03-15T00:00:00"/>
    <m/>
    <m/>
    <m/>
    <m/>
    <m/>
    <s v="INTERINVEST"/>
    <s v="manque PC / 3 attestations arrangeur / FRAFU"/>
    <m/>
    <m/>
    <m/>
    <s v="SNC ALESIA 1"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s v="BARET/GILLOT"/>
    <m/>
    <n v="0"/>
    <m/>
    <m/>
    <m/>
    <m/>
    <m/>
    <m/>
    <m/>
    <m/>
    <m/>
    <m/>
    <m/>
    <m/>
    <s v="Risque de recours des 1/3 sur PA (en cours de signature par le maire"/>
    <m/>
    <m/>
    <m/>
    <e v="#VALUE!"/>
    <m/>
    <m/>
    <m/>
    <m/>
    <m/>
    <d v="2018-01-15T00:00:00"/>
    <m/>
    <n v="18"/>
    <n v="20"/>
    <n v="18"/>
    <n v="19"/>
    <n v="0"/>
    <m/>
    <m/>
    <m/>
    <m/>
    <m/>
    <m/>
    <d v="2019-07-15T00:00:00"/>
    <d v="1901-12-31T00:00:00"/>
    <m/>
    <m/>
    <m/>
    <m/>
    <m/>
    <d v="2019-08-15T00:00:00"/>
    <d v="2019-08-15T00:00:00"/>
    <m/>
    <m/>
    <m/>
    <m/>
    <m/>
    <m/>
    <m/>
    <m/>
    <m/>
    <m/>
    <m/>
    <m/>
    <m/>
    <m/>
    <m/>
    <m/>
    <m/>
    <m/>
    <m/>
    <m/>
    <n v="3724917"/>
    <n v="3534917"/>
    <n v="-190000"/>
    <n v="2216.5791916595258"/>
    <n v="196048.26315789475"/>
    <n v="3147257.0568200001"/>
    <n v="3147257.0568200001"/>
    <n v="0"/>
    <n v="0.90903109040840835"/>
    <n v="0.39750000000000002"/>
    <n v="1080509"/>
    <n v="1080509"/>
    <n v="56868.894736842107"/>
    <n v="0"/>
    <n v="1954408"/>
    <n v="1954408"/>
    <m/>
    <m/>
    <n v="0"/>
    <n v="102863.57894736843"/>
    <m/>
    <n v="500000"/>
    <n v="500000"/>
    <m/>
    <n v="0.1342311788423742"/>
    <m/>
    <n v="0"/>
    <n v="0"/>
    <n v="26315.78947368421"/>
    <n v="83184.68421052632"/>
    <n v="0"/>
    <n v="5.14"/>
    <n v="5.12"/>
    <n v="837039.04799999995"/>
    <n v="380000"/>
    <n v="103184.68421052632"/>
    <n v="237556.40000000002"/>
    <n v="115687.65263157894"/>
    <n v="0.50071226129380131"/>
    <n v="172078.72739999997"/>
    <m/>
    <n v="190000"/>
    <n v="4561956.0480000004"/>
    <n v="152169"/>
    <n v="38042"/>
    <d v="2014-02-07T00:00:00"/>
    <n v="15217"/>
    <d v="2013-10-31T00:00:00"/>
    <d v="2013-11-21T00:00:00"/>
    <d v="2013-11-14T00:00:00"/>
    <n v="-7"/>
    <d v="2013-11-21T00:00:00"/>
    <n v="7"/>
    <n v="-23"/>
    <n v="21"/>
    <d v="2013-12-19T00:00:00"/>
    <n v="28"/>
    <d v="2014-01-30T00:00:00"/>
    <d v="2014-01-30T00:00:00"/>
    <n v="0"/>
    <d v="2015-02-19T00:00:00"/>
    <d v="1901-01-19T00:00:00"/>
    <n v="355"/>
    <n v="427"/>
    <d v="2015-08-31T00:00:00"/>
    <n v="7608"/>
    <m/>
    <d v="2014-02-07T00:00:00"/>
    <m/>
    <n v="15217"/>
    <d v="2014-02-28T00:00:00"/>
    <n v="-356"/>
    <d v="2014-03-30T00:00:00"/>
    <d v="2017-02-23T00:00:00"/>
    <n v="1061"/>
    <d v="2014-04-29T00:00:00"/>
    <n v="-1031"/>
    <n v="-1061"/>
    <n v="60"/>
    <m/>
    <m/>
    <d v="2014-04-29T00:00:00"/>
    <n v="0"/>
    <d v="2014-05-29T00:00:00"/>
    <d v="2017-02-23T00:00:00"/>
    <n v="1001"/>
    <d v="2014-06-28T00:00:00"/>
    <n v="-971"/>
    <n v="-1001"/>
    <n v="60"/>
    <m/>
    <m/>
    <d v="2014-06-28T00:00:00"/>
    <n v="0"/>
    <d v="2014-07-13T00:00:00"/>
    <d v="2017-02-23T00:00:00"/>
    <n v="956"/>
    <d v="2017-04-09T00:00:00"/>
    <d v="2017-04-09T00:00:00"/>
    <n v="0"/>
    <n v="1016"/>
    <d v="2017-06-08T00:00:00"/>
    <n v="60"/>
    <n v="0"/>
    <n v="9.6999999999999993"/>
    <n v="32.166666666666671"/>
    <m/>
    <m/>
    <m/>
    <m/>
    <m/>
    <m/>
    <m/>
    <m/>
  </r>
  <r>
    <s v="Chemin EDF"/>
    <x v="9"/>
    <x v="2"/>
    <x v="7"/>
    <s v="PRLC 0175"/>
    <s v="AGA"/>
    <s v="DBE"/>
    <s v="APD"/>
    <m/>
    <m/>
    <s v="pb futurs avec riverains / promesses électorales Mairie non tenues / protocole évacuation rejet EP signé_x000a_avis défavorable DEAL"/>
    <m/>
    <m/>
    <m/>
    <n v="10656"/>
    <n v="770000"/>
    <n v="352843"/>
    <n v="19250"/>
    <n v="72.25975975975976"/>
    <n v="33.112143393393396"/>
    <n v="107.37602897095296"/>
    <n v="8821.0750000000007"/>
    <n v="266.39999999999998"/>
    <m/>
    <n v="0.30837556306306307"/>
    <m/>
    <n v="600"/>
    <m/>
    <s v="LLTS"/>
    <n v="40"/>
    <m/>
    <n v="40"/>
    <n v="3286.05"/>
    <n v="3286.05"/>
    <n v="82.151250000000005"/>
    <n v="0"/>
    <n v="0.15"/>
    <n v="0.4"/>
    <n v="0.4"/>
    <n v="0.05"/>
    <m/>
    <m/>
    <m/>
    <n v="2"/>
    <m/>
    <m/>
    <m/>
    <m/>
    <d v="2015-04-22T00:00:00"/>
    <d v="2015-08-26T00:00:00"/>
    <d v="2016-04-15T00:00:00"/>
    <d v="2015-09-22T00:00:00"/>
    <m/>
    <m/>
    <m/>
    <m/>
    <d v="2016-03-14T00:00:00"/>
    <d v="2016-04-27T00:00:00"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06-30T00:00:00"/>
    <m/>
    <m/>
    <m/>
    <m/>
    <m/>
    <d v="2018-01-15T00:00:00"/>
    <m/>
    <n v="18"/>
    <n v="20"/>
    <n v="18"/>
    <n v="19"/>
    <n v="0"/>
    <m/>
    <m/>
    <m/>
    <m/>
    <m/>
    <m/>
    <d v="2019-07-15T00:00:00"/>
    <d v="1901-12-31T00:00:00"/>
    <m/>
    <m/>
    <m/>
    <m/>
    <m/>
    <d v="2019-08-15T00:00:00"/>
    <d v="2019-08-15T00:00:00"/>
    <m/>
    <m/>
    <m/>
    <m/>
    <m/>
    <m/>
    <m/>
    <m/>
    <m/>
    <m/>
    <m/>
    <m/>
    <m/>
    <m/>
    <m/>
    <m/>
    <m/>
    <m/>
    <m/>
    <m/>
    <n v="6882452"/>
    <n v="6882452"/>
    <n v="0"/>
    <n v="2094.4453066751876"/>
    <n v="172061.3"/>
    <n v="5938598.068"/>
    <n v="5938598.068"/>
    <n v="0"/>
    <n v="0.88098088114933459"/>
    <n v="0.4"/>
    <n v="2291796"/>
    <n v="2291796"/>
    <n v="57294.9"/>
    <n v="0"/>
    <n v="3790656"/>
    <n v="3790656"/>
    <m/>
    <m/>
    <n v="0"/>
    <n v="94766.399999999994"/>
    <m/>
    <n v="800000"/>
    <n v="800000"/>
    <m/>
    <n v="0.11623764321204129"/>
    <m/>
    <m/>
    <n v="0"/>
    <n v="20000"/>
    <n v="77294.899999999994"/>
    <n v="0"/>
    <n v="5.22"/>
    <n v="5.12"/>
    <n v="1130546.1804499999"/>
    <n v="800000"/>
    <n v="97294.9"/>
    <m/>
    <n v="97294.9"/>
    <n v="0.50519122516114356"/>
    <n v="309388.52500000002"/>
    <m/>
    <m/>
    <n v="8012998.1804499999"/>
    <n v="331202"/>
    <n v="81124"/>
    <d v="2015-06-25T00:00:00"/>
    <n v="31444"/>
    <d v="2015-05-06T00:00:00"/>
    <d v="2015-05-27T00:00:00"/>
    <d v="2015-06-29T00:00:00"/>
    <n v="33"/>
    <d v="2015-08-13T00:00:00"/>
    <n v="45"/>
    <n v="15"/>
    <n v="99"/>
    <d v="2015-08-13T00:00:00"/>
    <n v="0"/>
    <d v="2015-09-03T00:00:00"/>
    <d v="2015-09-03T00:00:00"/>
    <n v="0"/>
    <d v="2015-09-21T00:00:00"/>
    <n v="18"/>
    <n v="-12"/>
    <n v="39"/>
    <s v="cf PC"/>
    <s v="cf PC"/>
    <m/>
    <d v="2015-08-24T00:00:00"/>
    <d v="2015-11-27T00:00:00"/>
    <n v="49680"/>
    <d v="2015-12-04T00:00:00"/>
    <n v="74"/>
    <d v="2016-01-03T00:00:00"/>
    <d v="2016-02-17T00:00:00"/>
    <n v="45"/>
    <d v="2016-07-30T00:00:00"/>
    <n v="164"/>
    <n v="134"/>
    <n v="239"/>
    <m/>
    <e v="#REF!"/>
    <d v="2016-07-30T00:00:00"/>
    <n v="0"/>
    <d v="2016-08-29T00:00:00"/>
    <d v="2017-02-23T00:00:00"/>
    <n v="178"/>
    <d v="2016-09-28T00:00:00"/>
    <n v="-148"/>
    <n v="-178"/>
    <n v="60"/>
    <m/>
    <m/>
    <d v="2016-09-28T00:00:00"/>
    <n v="0"/>
    <d v="2016-10-13T00:00:00"/>
    <d v="2017-02-23T00:00:00"/>
    <n v="133"/>
    <d v="2017-04-09T00:00:00"/>
    <d v="2017-04-09T00:00:00"/>
    <n v="0"/>
    <n v="193"/>
    <d v="2017-06-08T00:00:00"/>
    <n v="60"/>
    <n v="0"/>
    <n v="9.6999999999999993"/>
    <n v="13.766666666666666"/>
    <m/>
    <m/>
    <m/>
    <m/>
    <m/>
    <m/>
    <m/>
    <m/>
  </r>
  <r>
    <s v="Terrain Michel CV"/>
    <x v="5"/>
    <x v="1"/>
    <x v="7"/>
    <s v="PRLC 0151"/>
    <s v="YFR"/>
    <s v="EGI"/>
    <s v="APD"/>
    <s v="oui"/>
    <m/>
    <s v="MICHEL plus OK"/>
    <s v="MICHEL"/>
    <s v="MAREL"/>
    <m/>
    <n v="1736"/>
    <n v="448408"/>
    <n v="448408"/>
    <n v="23600.42105263158"/>
    <n v="258.29953917050693"/>
    <n v="258.29953917050693"/>
    <n v="274.7126718455167"/>
    <n v="23600.42105263158"/>
    <n v="91.368421052631575"/>
    <m/>
    <n v="0.94025345622119816"/>
    <s v="UA"/>
    <n v="50"/>
    <m/>
    <s v="LLTS"/>
    <n v="19"/>
    <m/>
    <n v="19"/>
    <n v="1584.58"/>
    <n v="1632.28"/>
    <n v="85.909473684210525"/>
    <m/>
    <n v="0.42105263157894735"/>
    <n v="0.36842105263157893"/>
    <n v="0.21052631578947367"/>
    <m/>
    <m/>
    <n v="0"/>
    <n v="0"/>
    <n v="3"/>
    <n v="1"/>
    <s v="B"/>
    <s v="ok"/>
    <s v="oui"/>
    <d v="2013-11-26T00:00:00"/>
    <d v="2013-11-13T00:00:00"/>
    <d v="2016-04-15T00:00:00"/>
    <m/>
    <s v="SEGC"/>
    <s v="ARCHI TEX"/>
    <s v="DIDES"/>
    <m/>
    <d v="2014-07-16T00:00:00"/>
    <d v="2014-08-11T00:00:00"/>
    <d v="2014-09-11T00:00:00"/>
    <d v="2014-10-13T00:00:00"/>
    <m/>
    <m/>
    <m/>
    <m/>
    <m/>
    <s v="INTERINVEST"/>
    <m/>
    <m/>
    <m/>
    <m/>
    <m/>
    <s v="SO"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s v="MAREL"/>
    <m/>
    <n v="0"/>
    <m/>
    <m/>
    <m/>
    <m/>
    <m/>
    <m/>
    <m/>
    <m/>
    <m/>
    <m/>
    <m/>
    <m/>
    <m/>
    <m/>
    <m/>
    <m/>
    <d v="1901-06-30T00:00:00"/>
    <m/>
    <m/>
    <m/>
    <m/>
    <m/>
    <d v="2018-01-15T00:00:00"/>
    <m/>
    <n v="16"/>
    <n v="18"/>
    <n v="16"/>
    <n v="17"/>
    <n v="0"/>
    <m/>
    <m/>
    <m/>
    <m/>
    <m/>
    <m/>
    <d v="2019-05-15T00:00:00"/>
    <d v="1901-12-31T00:00:00"/>
    <m/>
    <m/>
    <m/>
    <m/>
    <m/>
    <d v="2019-06-15T00:00:00"/>
    <d v="2019-06-15T00:00:00"/>
    <m/>
    <m/>
    <m/>
    <m/>
    <m/>
    <m/>
    <m/>
    <m/>
    <m/>
    <m/>
    <m/>
    <m/>
    <m/>
    <m/>
    <m/>
    <m/>
    <m/>
    <m/>
    <m/>
    <m/>
    <n v="3186807"/>
    <n v="3280807"/>
    <n v="94000"/>
    <n v="2011.1367049943835"/>
    <n v="167726.68421052632"/>
    <n v="2673417"/>
    <n v="2945072"/>
    <n v="271655"/>
    <n v="0.91651795183319218"/>
    <n v="0.4"/>
    <n v="931893"/>
    <n v="1123038"/>
    <n v="49047"/>
    <n v="191145"/>
    <n v="1874914"/>
    <n v="2007769"/>
    <n v="530039"/>
    <n v="1477730"/>
    <n v="132855"/>
    <n v="98679.68421052632"/>
    <m/>
    <n v="380000"/>
    <n v="150000"/>
    <n v="0"/>
    <n v="0.11924161080354097"/>
    <m/>
    <n v="0"/>
    <n v="-230000"/>
    <n v="20000"/>
    <n v="69047"/>
    <n v="-12105.263157894737"/>
    <n v="5.16"/>
    <n v="4.99"/>
    <n v="0"/>
    <n v="0"/>
    <n v="69047"/>
    <n v="0"/>
    <n v="67002"/>
    <n v="0.41166377505760471"/>
    <n v="0"/>
    <m/>
    <n v="0"/>
    <n v="3186807"/>
    <n v="183150"/>
    <n v="45788"/>
    <d v="2014-01-02T00:00:00"/>
    <n v="17413"/>
    <d v="2013-09-30T00:00:00"/>
    <d v="2013-10-21T00:00:00"/>
    <d v="2013-11-18T00:00:00"/>
    <n v="28"/>
    <d v="2013-12-04T00:00:00"/>
    <n v="16"/>
    <n v="-14"/>
    <n v="65"/>
    <d v="2013-12-06T00:00:00"/>
    <n v="2"/>
    <d v="2013-12-27T00:00:00"/>
    <d v="2014-01-06T00:00:00"/>
    <n v="10"/>
    <d v="2014-02-24T00:00:00"/>
    <n v="49"/>
    <n v="19"/>
    <n v="80"/>
    <d v="2014-02-26T00:00:00"/>
    <n v="8707"/>
    <m/>
    <d v="2014-02-06T00:00:00"/>
    <d v="2014-06-30T00:00:00"/>
    <n v="19668"/>
    <d v="2014-02-24T00:00:00"/>
    <n v="0"/>
    <d v="2014-03-26T00:00:00"/>
    <d v="2014-04-03T00:00:00"/>
    <n v="8"/>
    <d v="2014-05-03T00:00:00"/>
    <n v="30"/>
    <n v="0"/>
    <n v="68"/>
    <m/>
    <e v="#REF!"/>
    <d v="2014-05-03T00:00:00"/>
    <n v="0"/>
    <d v="2014-06-02T00:00:00"/>
    <d v="2017-02-23T00:00:00"/>
    <n v="997"/>
    <d v="2014-07-02T00:00:00"/>
    <n v="-967"/>
    <n v="-997"/>
    <n v="60"/>
    <m/>
    <e v="#REF!"/>
    <d v="2014-07-02T00:00:00"/>
    <n v="0"/>
    <d v="2014-07-17T00:00:00"/>
    <d v="2017-02-23T00:00:00"/>
    <n v="952"/>
    <d v="2017-04-09T00:00:00"/>
    <d v="2017-04-09T00:00:00"/>
    <n v="0"/>
    <n v="1012"/>
    <d v="2017-06-08T00:00:00"/>
    <n v="60"/>
    <n v="0"/>
    <n v="9.6999999999999993"/>
    <n v="33.200000000000003"/>
    <m/>
    <m/>
    <m/>
    <m/>
    <m/>
    <m/>
    <m/>
    <m/>
  </r>
  <r>
    <s v="VEFA Ancien Hopital"/>
    <x v="2"/>
    <x v="0"/>
    <x v="7"/>
    <m/>
    <s v="OET"/>
    <m/>
    <s v="Faisa"/>
    <m/>
    <s v="ET 909 / 1256"/>
    <m/>
    <m/>
    <m/>
    <m/>
    <n v="4801"/>
    <n v="473822"/>
    <n v="473822"/>
    <n v="15794.066666666668"/>
    <n v="98.692355759216824"/>
    <n v="98.692355759216824"/>
    <e v="#DIV/0!"/>
    <n v="15794.066666666668"/>
    <n v="160.03333333333333"/>
    <m/>
    <n v="0"/>
    <m/>
    <m/>
    <m/>
    <s v="LLTS"/>
    <n v="30"/>
    <m/>
    <n v="30"/>
    <n v="1708.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8-01-1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3803779.2429890437"/>
    <m/>
    <n v="-3803779.2429890437"/>
    <n v="2226.6328962477792"/>
    <n v="126792.64143296813"/>
    <m/>
    <m/>
    <n v="0"/>
    <e v="#DIV/0!"/>
    <n v="0.4"/>
    <n v="1081657"/>
    <m/>
    <n v="36055.23333333333"/>
    <n v="-1081657"/>
    <n v="2022122.2429890437"/>
    <m/>
    <m/>
    <m/>
    <n v="-2022122.2429890437"/>
    <n v="67404.074766301463"/>
    <m/>
    <n v="700000"/>
    <m/>
    <m/>
    <n v="0.18402750403830842"/>
    <m/>
    <m/>
    <n v="-700000"/>
    <n v="23333.333333333332"/>
    <n v="59388.566666666666"/>
    <n v="-23333.333333333332"/>
    <m/>
    <m/>
    <m/>
    <m/>
    <n v="59388.566666666666"/>
    <m/>
    <n v="0"/>
    <n v="0.46839127251768636"/>
    <m/>
    <m/>
    <m/>
    <n v="3803779.24298904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7-02-23T00:00:00"/>
    <m/>
    <m/>
    <m/>
    <m/>
    <m/>
    <m/>
    <m/>
    <m/>
    <m/>
    <m/>
    <m/>
    <m/>
    <m/>
    <m/>
    <m/>
    <m/>
    <m/>
    <m/>
  </r>
  <r>
    <s v="VEFA EQUILIBRE"/>
    <x v="5"/>
    <x v="1"/>
    <x v="7"/>
    <m/>
    <m/>
    <m/>
    <m/>
    <m/>
    <s v="CI 192"/>
    <m/>
    <m/>
    <m/>
    <m/>
    <m/>
    <m/>
    <m/>
    <m/>
    <m/>
    <m/>
    <m/>
    <m/>
    <m/>
    <m/>
    <m/>
    <m/>
    <m/>
    <m/>
    <s v="LLTS"/>
    <n v="37"/>
    <m/>
    <n v="37"/>
    <n v="3196.53"/>
    <m/>
    <m/>
    <m/>
    <m/>
    <m/>
    <m/>
    <m/>
    <m/>
    <m/>
    <m/>
    <m/>
    <m/>
    <m/>
    <m/>
    <m/>
    <d v="2016-03-15T00:00:00"/>
    <d v="2017-01-26T00:00:00"/>
    <d v="2017-01-26T00:00:00"/>
    <d v="2016-11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8-01-1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6545033"/>
    <n v="3915125"/>
    <n v="-2629908"/>
    <n v="2047.5431170675699"/>
    <n v="176892.78378378379"/>
    <m/>
    <m/>
    <n v="0"/>
    <n v="0"/>
    <n v="0.4"/>
    <n v="1969908"/>
    <m/>
    <n v="53240.75675675676"/>
    <n v="-1969908"/>
    <n v="3915125"/>
    <n v="3915125"/>
    <m/>
    <m/>
    <n v="0"/>
    <n v="105814.18918918919"/>
    <m/>
    <n v="660000"/>
    <m/>
    <m/>
    <n v="0.10083982769834773"/>
    <m/>
    <m/>
    <n v="-660000"/>
    <n v="17837.837837837837"/>
    <n v="71078.5945945946"/>
    <n v="-17837.837837837837"/>
    <m/>
    <m/>
    <m/>
    <m/>
    <n v="71078.5945945946"/>
    <m/>
    <n v="0"/>
    <n v="0.4018173781553126"/>
    <m/>
    <m/>
    <m/>
    <n v="65450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7-02-23T00:00:00"/>
    <m/>
    <m/>
    <m/>
    <m/>
    <m/>
    <m/>
    <m/>
    <m/>
    <m/>
    <m/>
    <m/>
    <m/>
    <m/>
    <m/>
    <m/>
    <m/>
    <m/>
    <m/>
    <m/>
    <m/>
    <m/>
    <d v="2017-02-23T00:00:00"/>
    <m/>
    <m/>
    <m/>
    <m/>
    <m/>
    <m/>
    <m/>
    <m/>
    <m/>
    <m/>
    <m/>
    <m/>
    <m/>
    <m/>
    <m/>
    <m/>
    <m/>
    <m/>
  </r>
  <r>
    <s v="CAPRICORNE"/>
    <x v="11"/>
    <x v="0"/>
    <x v="7"/>
    <s v="PRLC 0189"/>
    <s v="OET"/>
    <s v="VAF"/>
    <m/>
    <m/>
    <s v="EN 1892"/>
    <s v="bornage OK_x000a_compromis signé"/>
    <m/>
    <m/>
    <m/>
    <m/>
    <m/>
    <m/>
    <m/>
    <m/>
    <m/>
    <m/>
    <m/>
    <m/>
    <m/>
    <m/>
    <m/>
    <m/>
    <m/>
    <s v="LLS"/>
    <n v="29"/>
    <n v="29"/>
    <m/>
    <n v="2702.1"/>
    <m/>
    <m/>
    <m/>
    <m/>
    <m/>
    <m/>
    <m/>
    <m/>
    <m/>
    <m/>
    <m/>
    <m/>
    <m/>
    <m/>
    <m/>
    <d v="2017-01-17T00:00:00"/>
    <m/>
    <m/>
    <m/>
    <m/>
    <s v="INTERVENANC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8-07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5522950"/>
    <n v="0"/>
    <n v="-5522950"/>
    <n v="2043.9473002479554"/>
    <n v="190446.55172413794"/>
    <m/>
    <m/>
    <n v="0"/>
    <e v="#DIV/0!"/>
    <n v="0.4"/>
    <n v="1883035"/>
    <m/>
    <n v="64932.241379310348"/>
    <m/>
    <n v="3389915"/>
    <m/>
    <m/>
    <m/>
    <n v="-3389915"/>
    <n v="116893.62068965517"/>
    <m/>
    <n v="250000"/>
    <m/>
    <m/>
    <n v="4.5265664183090561E-2"/>
    <m/>
    <m/>
    <n v="-250000"/>
    <n v="8620.689655172413"/>
    <n v="73552.931034482754"/>
    <n v="-8620.689655172413"/>
    <n v="6.31"/>
    <m/>
    <m/>
    <m/>
    <n v="73552.931034482754"/>
    <m/>
    <n v="0"/>
    <n v="0.38621298400311427"/>
    <m/>
    <m/>
    <m/>
    <n v="5522950"/>
    <n v="268985"/>
    <n v="26898"/>
    <d v="2016-12-21T00:00:00"/>
    <n v="26898"/>
    <d v="2017-02-23T00:00:00"/>
    <d v="2017-03-16T00:00:00"/>
    <d v="2017-03-16T00:00:00"/>
    <n v="0"/>
    <d v="2017-03-16T00:00:00"/>
    <n v="0"/>
    <n v="-30"/>
    <n v="21"/>
    <d v="2017-04-15T00:00:00"/>
    <n v="30"/>
    <d v="2017-05-15T00:00:00"/>
    <d v="2017-05-15T00:00:00"/>
    <n v="0"/>
    <d v="2017-06-14T00:00:00"/>
    <n v="30"/>
    <n v="0"/>
    <n v="60"/>
    <m/>
    <n v="13449.25"/>
    <d v="2017-06-29T00:00:00"/>
    <d v="2017-07-06T00:00:00"/>
    <m/>
    <n v="26898.5"/>
    <d v="2017-07-27T00:00:00"/>
    <n v="43"/>
    <d v="2017-08-26T00:00:00"/>
    <d v="2017-08-26T00:00:00"/>
    <m/>
    <m/>
    <m/>
    <m/>
    <m/>
    <m/>
    <m/>
    <d v="1899-12-30T00:00:00"/>
    <s v="0"/>
    <d v="1900-01-29T00:00:00"/>
    <d v="2017-02-23T00:00:00"/>
    <n v="42759"/>
    <d v="1900-02-28T00:00:00"/>
    <n v="-42729"/>
    <n v="-42759"/>
    <s v="0"/>
    <m/>
    <m/>
    <d v="1900-02-28T00:00:00"/>
    <n v="0"/>
    <d v="1900-03-15T00:00:00"/>
    <d v="2017-02-23T00:00:00"/>
    <n v="42714"/>
    <d v="2017-04-09T00:00:00"/>
    <d v="2017-04-09T00:00:00"/>
    <n v="0"/>
    <n v="42774"/>
    <d v="2017-06-08T00:00:00"/>
    <n v="60"/>
    <n v="0"/>
    <n v="9.6999999999999993"/>
    <n v="1421.2333333333333"/>
    <m/>
    <m/>
    <m/>
    <m/>
    <m/>
    <m/>
    <m/>
    <m/>
  </r>
  <r>
    <s v="Californie"/>
    <x v="1"/>
    <x v="1"/>
    <x v="7"/>
    <s v="PRLC 0186"/>
    <s v="ADE"/>
    <s v="EGI"/>
    <s v="Faisa"/>
    <m/>
    <s v="EK 286"/>
    <s v="portage EPFR à mettre en place / attente CA pour valider portage"/>
    <m/>
    <m/>
    <m/>
    <m/>
    <m/>
    <m/>
    <m/>
    <m/>
    <m/>
    <m/>
    <m/>
    <m/>
    <m/>
    <e v="#DIV/0!"/>
    <m/>
    <m/>
    <m/>
    <s v="LLTS"/>
    <n v="24"/>
    <m/>
    <n v="24"/>
    <n v="1779.08"/>
    <m/>
    <m/>
    <n v="0.125"/>
    <n v="0.375"/>
    <n v="0.25"/>
    <n v="0.125"/>
    <n v="0.125"/>
    <m/>
    <m/>
    <m/>
    <m/>
    <m/>
    <m/>
    <m/>
    <m/>
    <d v="2016-09-26T00:00:00"/>
    <d v="2017-01-26T00:00:00"/>
    <m/>
    <d v="2016-10-31T00:00:00"/>
    <m/>
    <m/>
    <s v="DIDES"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8-07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3866130.6767742028"/>
    <m/>
    <n v="-3866130.6767742028"/>
    <n v="2173.106705024059"/>
    <n v="161088.77819892511"/>
    <n v="3537549.5398594467"/>
    <m/>
    <n v="-3537549.5398594467"/>
    <e v="#DIV/0!"/>
    <n v="0.4"/>
    <n v="1224437.8025662941"/>
    <m/>
    <n v="51018.24177359559"/>
    <m/>
    <n v="2131692.8742079088"/>
    <m/>
    <m/>
    <m/>
    <n v="-2131692.8742079088"/>
    <n v="88820.536425329527"/>
    <m/>
    <n v="480000"/>
    <m/>
    <m/>
    <n v="0.12415514118123376"/>
    <m/>
    <n v="30000"/>
    <n v="-480000"/>
    <n v="20000"/>
    <n v="71018.241773595582"/>
    <n v="-20000"/>
    <n v="5.38"/>
    <n v="5.38"/>
    <m/>
    <m/>
    <n v="71018.241773595582"/>
    <m/>
    <n v="0"/>
    <n v="0.44086399169218771"/>
    <m/>
    <m/>
    <m/>
    <n v="3866130.6767742028"/>
    <n v="190789"/>
    <n v="47697"/>
    <d v="2016-07-11T00:00:00"/>
    <n v="19202"/>
    <d v="2016-08-01T00:00:00"/>
    <d v="2016-08-22T00:00:00"/>
    <d v="2016-08-08T00:00:00"/>
    <n v="-14"/>
    <d v="2016-10-04T00:00:00"/>
    <n v="57"/>
    <n v="27"/>
    <n v="64"/>
    <d v="2016-10-05T00:00:00"/>
    <n v="1"/>
    <d v="2016-11-04T00:00:00"/>
    <d v="2016-10-31T00:00:00"/>
    <n v="-4"/>
    <d v="2016-10-31T00:00:00"/>
    <n v="0"/>
    <n v="-30"/>
    <n v="26"/>
    <s v="14/12/2016_x000a_21/02/17"/>
    <n v="9745"/>
    <d v="2016-11-17T00:00:00"/>
    <d v="2016-11-21T00:00:00"/>
    <d v="2016-11-22T00:00:00"/>
    <n v="18750"/>
    <d v="2017-01-23T00:00:00"/>
    <n v="84"/>
    <d v="2017-02-22T00:00:00"/>
    <d v="2017-02-23T00:00:00"/>
    <n v="1"/>
    <d v="2017-03-24T00:00:00"/>
    <n v="29"/>
    <n v="-1"/>
    <n v="60"/>
    <m/>
    <n v="19078.900000000001"/>
    <d v="2017-03-24T00:00:00"/>
    <n v="0"/>
    <d v="2017-04-23T00:00:00"/>
    <d v="2017-04-23T00:00:00"/>
    <n v="0"/>
    <d v="2017-05-23T00:00:00"/>
    <n v="30"/>
    <n v="0"/>
    <n v="60"/>
    <m/>
    <n v="34029.599999999999"/>
    <d v="2017-05-23T00:00:00"/>
    <n v="0"/>
    <d v="2017-06-07T00:00:00"/>
    <d v="2017-06-07T00:00:00"/>
    <n v="0"/>
    <d v="2017-07-22T00:00:00"/>
    <d v="2017-07-22T00:00:00"/>
    <n v="0"/>
    <n v="60"/>
    <d v="2017-09-20T00:00:00"/>
    <n v="60"/>
    <n v="0"/>
    <n v="9.6999999999999993"/>
    <n v="2.1333333333333346"/>
    <m/>
    <m/>
    <m/>
    <m/>
    <m/>
    <m/>
    <m/>
    <m/>
  </r>
  <r>
    <s v="Dakota "/>
    <x v="1"/>
    <x v="1"/>
    <x v="7"/>
    <s v="PRLC 0187"/>
    <s v="ADE"/>
    <s v="DBE"/>
    <s v="Faisa"/>
    <m/>
    <s v="EK 250"/>
    <s v="portage EPFR à mettre en place / attente CA pour valider portage"/>
    <m/>
    <m/>
    <m/>
    <m/>
    <m/>
    <m/>
    <m/>
    <m/>
    <m/>
    <m/>
    <m/>
    <m/>
    <m/>
    <e v="#DIV/0!"/>
    <m/>
    <m/>
    <m/>
    <s v="LLTS"/>
    <n v="26"/>
    <m/>
    <n v="26"/>
    <n v="1730.4"/>
    <m/>
    <n v="66.553846153846152"/>
    <m/>
    <n v="1"/>
    <m/>
    <m/>
    <m/>
    <m/>
    <m/>
    <m/>
    <m/>
    <m/>
    <m/>
    <m/>
    <m/>
    <d v="2016-09-26T00:00:00"/>
    <d v="2016-11-17T00:00:00"/>
    <m/>
    <d v="2016-10-31T00:00:00"/>
    <m/>
    <s v="INTERVENANCE"/>
    <s v="DIDES"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8-07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4112412.99"/>
    <n v="15600"/>
    <n v="-4096812.99"/>
    <n v="2376.5678398058253"/>
    <n v="158169.7303846154"/>
    <n v="3207102"/>
    <m/>
    <n v="-3207102"/>
    <n v="0"/>
    <n v="0.4"/>
    <n v="1296385.9099999999"/>
    <m/>
    <n v="49860.996538461535"/>
    <n v="-1296385.9099999999"/>
    <n v="2030427.08"/>
    <m/>
    <m/>
    <m/>
    <n v="-2030427.08"/>
    <n v="78093.349230769236"/>
    <m/>
    <n v="520000"/>
    <m/>
    <m/>
    <n v="0.12644644428087948"/>
    <m/>
    <n v="15600"/>
    <n v="-520000"/>
    <n v="20000"/>
    <n v="69860.996538461535"/>
    <n v="-20000"/>
    <n v="5.56"/>
    <n v="5.55"/>
    <m/>
    <m/>
    <n v="69860.996538461535"/>
    <m/>
    <n v="0"/>
    <n v="0.44168373031036451"/>
    <m/>
    <m/>
    <n v="250000"/>
    <n v="4112412.99"/>
    <n v="226864"/>
    <n v="56716"/>
    <d v="2016-07-11T00:00:00"/>
    <n v="23880"/>
    <d v="2016-07-25T00:00:00"/>
    <d v="2016-08-15T00:00:00"/>
    <d v="2016-09-16T00:00:00"/>
    <n v="32"/>
    <d v="2016-10-06T00:00:00"/>
    <n v="20"/>
    <n v="-10"/>
    <n v="73"/>
    <d v="2016-10-07T00:00:00"/>
    <n v="1"/>
    <d v="2016-11-06T00:00:00"/>
    <d v="2016-11-07T00:00:00"/>
    <n v="1"/>
    <d v="2016-11-07T00:00:00"/>
    <n v="0"/>
    <n v="-30"/>
    <n v="31"/>
    <s v="14/12/2016_x000a_21/02/17"/>
    <n v="15414"/>
    <d v="2016-11-16T00:00:00"/>
    <d v="2016-11-30T00:00:00"/>
    <d v="2016-11-23T00:00:00"/>
    <n v="17422"/>
    <d v="2017-01-23T00:00:00"/>
    <n v="77"/>
    <d v="2017-02-22T00:00:00"/>
    <d v="2017-02-23T00:00:00"/>
    <n v="1"/>
    <d v="2017-03-24T00:00:00"/>
    <n v="29"/>
    <n v="-1"/>
    <n v="60"/>
    <m/>
    <n v="22686.400000000001"/>
    <d v="2017-03-24T00:00:00"/>
    <n v="0"/>
    <d v="2017-04-23T00:00:00"/>
    <d v="2017-04-23T00:00:00"/>
    <n v="0"/>
    <d v="2017-05-23T00:00:00"/>
    <n v="30"/>
    <n v="0"/>
    <n v="60"/>
    <m/>
    <n v="34029.599999999999"/>
    <d v="2017-05-23T00:00:00"/>
    <n v="0"/>
    <d v="2017-06-07T00:00:00"/>
    <d v="2017-06-07T00:00:00"/>
    <n v="0"/>
    <d v="2017-07-22T00:00:00"/>
    <d v="2017-07-22T00:00:00"/>
    <n v="0"/>
    <n v="60"/>
    <d v="2017-09-20T00:00:00"/>
    <n v="60"/>
    <n v="0"/>
    <n v="9.6999999999999993"/>
    <n v="2.3666666666666671"/>
    <m/>
    <m/>
    <m/>
    <m/>
    <m/>
    <m/>
    <m/>
    <m/>
  </r>
  <r>
    <s v="INDIGO Tranche 1"/>
    <x v="3"/>
    <x v="2"/>
    <x v="7"/>
    <s v="PRLC 0185"/>
    <s v="APU"/>
    <s v="DBE"/>
    <s v="Consult"/>
    <m/>
    <s v="DD783 / 1298"/>
    <s v="portage EPFR à mettre en place / attente CA pour valider portage"/>
    <m/>
    <m/>
    <m/>
    <m/>
    <m/>
    <m/>
    <m/>
    <m/>
    <m/>
    <m/>
    <m/>
    <m/>
    <m/>
    <e v="#DIV/0!"/>
    <m/>
    <m/>
    <m/>
    <s v="LLTS"/>
    <n v="84"/>
    <m/>
    <n v="84"/>
    <n v="6502.48"/>
    <m/>
    <n v="0"/>
    <m/>
    <m/>
    <m/>
    <m/>
    <m/>
    <m/>
    <m/>
    <m/>
    <m/>
    <m/>
    <m/>
    <m/>
    <m/>
    <m/>
    <s v="30/08/2016_x000a_01/02/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8-07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2677324"/>
    <n v="0"/>
    <n v="-12677324"/>
    <n v="1949.6136858552431"/>
    <n v="150920.52380952382"/>
    <n v="14981542.360255377"/>
    <m/>
    <n v="-14981542.360255377"/>
    <e v="#DIV/0!"/>
    <n v="0.4"/>
    <n v="3890729"/>
    <m/>
    <n v="46318.202380952382"/>
    <n v="-3890729"/>
    <n v="7274595"/>
    <m/>
    <m/>
    <m/>
    <n v="-7274595"/>
    <n v="86602.321428571435"/>
    <m/>
    <n v="1512000"/>
    <m/>
    <m/>
    <n v="0.11926807266265341"/>
    <m/>
    <m/>
    <n v="-1512000"/>
    <n v="18000"/>
    <n v="64318.202380952382"/>
    <n v="-18000"/>
    <n v="5.31"/>
    <n v="5.05"/>
    <m/>
    <m/>
    <n v="64318.202380952382"/>
    <m/>
    <n v="0"/>
    <n v="0.42617266861681535"/>
    <m/>
    <m/>
    <m/>
    <n v="12677324"/>
    <m/>
    <m/>
    <d v="2016-08-23T00:00:00"/>
    <m/>
    <d v="2016-09-06T00:00:00"/>
    <d v="2016-09-27T00:00:00"/>
    <d v="2016-10-31T00:00:00"/>
    <n v="34"/>
    <d v="2016-11-02T00:00:00"/>
    <n v="2"/>
    <n v="-28"/>
    <n v="57"/>
    <d v="2016-11-14T00:00:00"/>
    <n v="12"/>
    <d v="2016-12-14T00:00:00"/>
    <d v="2016-12-13T00:00:00"/>
    <n v="-1"/>
    <d v="2016-12-29T00:00:00"/>
    <n v="16"/>
    <n v="-14"/>
    <n v="45"/>
    <m/>
    <m/>
    <d v="2017-01-13T00:00:00"/>
    <d v="2017-01-20T00:00:00"/>
    <m/>
    <n v="0"/>
    <d v="2017-02-10T00:00:00"/>
    <n v="43"/>
    <d v="2017-03-12T00:00:00"/>
    <d v="2017-03-12T00:00:00"/>
    <n v="0"/>
    <d v="2017-04-11T00:00:00"/>
    <n v="30"/>
    <n v="0"/>
    <n v="60"/>
    <m/>
    <n v="0"/>
    <d v="2017-04-11T00:00:00"/>
    <n v="0"/>
    <d v="2017-05-11T00:00:00"/>
    <d v="2017-05-11T00:00:00"/>
    <n v="0"/>
    <d v="2017-06-10T00:00:00"/>
    <n v="30"/>
    <n v="0"/>
    <n v="60"/>
    <m/>
    <m/>
    <d v="2017-06-10T00:00:00"/>
    <n v="0"/>
    <d v="2017-06-25T00:00:00"/>
    <d v="2017-06-25T00:00:00"/>
    <n v="0"/>
    <d v="2017-08-09T00:00:00"/>
    <d v="2017-08-09T00:00:00"/>
    <n v="0"/>
    <n v="60"/>
    <d v="2017-10-08T00:00:00"/>
    <n v="60"/>
    <n v="0"/>
    <n v="9.6999999999999993"/>
    <n v="1.5333333333333332"/>
    <m/>
    <m/>
    <m/>
    <m/>
    <m/>
    <m/>
    <m/>
    <m/>
  </r>
  <r>
    <s v="Les Fourragères (Odyssée)"/>
    <x v="10"/>
    <x v="0"/>
    <x v="7"/>
    <s v="PRLC 0184"/>
    <s v="FVA"/>
    <s v="SAR"/>
    <s v="Consult"/>
    <m/>
    <s v="AD 133"/>
    <s v="portage EPFR à mettre en place / attente CA pour valider portage"/>
    <m/>
    <m/>
    <m/>
    <m/>
    <m/>
    <m/>
    <m/>
    <m/>
    <m/>
    <m/>
    <m/>
    <m/>
    <m/>
    <e v="#DIV/0!"/>
    <m/>
    <m/>
    <m/>
    <s v="LLTS"/>
    <n v="21"/>
    <m/>
    <n v="21"/>
    <n v="1580.35"/>
    <m/>
    <n v="0"/>
    <m/>
    <m/>
    <m/>
    <m/>
    <m/>
    <m/>
    <m/>
    <m/>
    <m/>
    <m/>
    <m/>
    <m/>
    <m/>
    <d v="2016-09-26T00:00:00"/>
    <d v="2017-01-26T00:00:00"/>
    <m/>
    <d v="2016-11-17T00:00:00"/>
    <m/>
    <s v="M2BRUN"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06-30T00:00:00"/>
    <m/>
    <m/>
    <m/>
    <m/>
    <m/>
    <d v="2018-07-01T00:00:00"/>
    <m/>
    <n v="18"/>
    <n v="20"/>
    <n v="18"/>
    <n v="19"/>
    <n v="0"/>
    <m/>
    <m/>
    <m/>
    <m/>
    <m/>
    <m/>
    <d v="2020-01-01T00:00:00"/>
    <d v="1901-12-31T00:00:00"/>
    <m/>
    <m/>
    <m/>
    <m/>
    <m/>
    <d v="2020-02-01T00:00:00"/>
    <d v="2020-02-01T00:00:00"/>
    <m/>
    <m/>
    <m/>
    <m/>
    <m/>
    <m/>
    <m/>
    <m/>
    <m/>
    <m/>
    <m/>
    <m/>
    <m/>
    <m/>
    <m/>
    <m/>
    <m/>
    <m/>
    <m/>
    <m/>
    <n v="3874931.87"/>
    <n v="114303"/>
    <n v="-3760628.87"/>
    <n v="2451.9453728604426"/>
    <n v="184520.56523809524"/>
    <m/>
    <m/>
    <n v="0"/>
    <n v="0"/>
    <m/>
    <n v="1246192.3500000001"/>
    <m/>
    <n v="59342.492857142861"/>
    <n v="-1246192.3500000001"/>
    <n v="1810436.52"/>
    <n v="0"/>
    <m/>
    <m/>
    <n v="-1810436.52"/>
    <n v="86211.262857142865"/>
    <m/>
    <n v="504000"/>
    <m/>
    <m/>
    <n v="0.1300668029551704"/>
    <m/>
    <n v="114303"/>
    <n v="-504000"/>
    <n v="24000"/>
    <n v="83342.492857142861"/>
    <n v="-24000"/>
    <n v="5.35"/>
    <n v="5.34"/>
    <m/>
    <m/>
    <n v="83342.492857142861"/>
    <m/>
    <n v="0"/>
    <n v="0.45167048317677905"/>
    <m/>
    <m/>
    <n v="200000"/>
    <n v="3874931.87"/>
    <n v="181806"/>
    <n v="45452"/>
    <d v="2016-07-28T00:00:00"/>
    <n v="17147"/>
    <d v="2016-08-03T00:00:00"/>
    <d v="2016-08-24T00:00:00"/>
    <d v="2016-08-23T00:00:00"/>
    <n v="-1"/>
    <d v="2016-10-04T00:00:00"/>
    <n v="42"/>
    <n v="12"/>
    <n v="62"/>
    <d v="2016-10-10T00:00:00"/>
    <n v="6"/>
    <d v="2016-11-09T00:00:00"/>
    <d v="2016-11-09T00:00:00"/>
    <n v="0"/>
    <d v="2017-01-09T00:00:00"/>
    <n v="61"/>
    <n v="31"/>
    <n v="91"/>
    <d v="2016-12-12T00:00:00"/>
    <n v="0"/>
    <d v="2017-01-24T00:00:00"/>
    <d v="2017-01-31T00:00:00"/>
    <d v="2016-12-12T00:00:00"/>
    <n v="28305"/>
    <d v="2017-01-09T00:00:00"/>
    <n v="0"/>
    <d v="2017-02-08T00:00:00"/>
    <d v="2017-02-16T00:00:00"/>
    <n v="8"/>
    <d v="2017-03-10T00:00:00"/>
    <n v="22"/>
    <n v="-8"/>
    <n v="60"/>
    <m/>
    <n v="18180.600000000002"/>
    <d v="2017-03-31T00:00:00"/>
    <n v="21"/>
    <d v="2017-04-30T00:00:00"/>
    <d v="2017-04-30T00:00:00"/>
    <n v="0"/>
    <d v="2017-05-30T00:00:00"/>
    <n v="30"/>
    <n v="0"/>
    <n v="60"/>
    <m/>
    <n v="34029.599999999999"/>
    <d v="2017-05-30T00:00:00"/>
    <n v="0"/>
    <d v="2017-06-14T00:00:00"/>
    <d v="2017-06-14T00:00:00"/>
    <n v="0"/>
    <d v="2017-07-29T00:00:00"/>
    <d v="2017-07-29T00:00:00"/>
    <n v="0"/>
    <n v="60"/>
    <d v="2017-09-27T00:00:00"/>
    <n v="60"/>
    <n v="0"/>
    <n v="9.6999999999999993"/>
    <n v="2.3000000000000007"/>
    <m/>
    <m/>
    <m/>
    <m/>
    <m/>
    <m/>
    <m/>
    <m/>
  </r>
  <r>
    <s v="VEFA GIRDARY"/>
    <x v="11"/>
    <x v="0"/>
    <x v="7"/>
    <m/>
    <m/>
    <m/>
    <m/>
    <m/>
    <s v="DH 111"/>
    <m/>
    <m/>
    <m/>
    <m/>
    <m/>
    <m/>
    <m/>
    <m/>
    <m/>
    <m/>
    <m/>
    <m/>
    <m/>
    <m/>
    <e v="#DIV/0!"/>
    <m/>
    <m/>
    <m/>
    <s v="LLTS"/>
    <n v="59"/>
    <m/>
    <n v="59"/>
    <n v="3438.3249999999998"/>
    <m/>
    <n v="0"/>
    <m/>
    <m/>
    <m/>
    <m/>
    <m/>
    <m/>
    <m/>
    <m/>
    <m/>
    <m/>
    <m/>
    <m/>
    <m/>
    <d v="2015-10-20T00:00:00"/>
    <d v="2016-01-2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9-02-01T00:00:00"/>
    <m/>
    <n v="16"/>
    <n v="18"/>
    <n v="16"/>
    <n v="17"/>
    <n v="0"/>
    <m/>
    <m/>
    <m/>
    <m/>
    <m/>
    <m/>
    <d v="2020-06-01T00:00:00"/>
    <d v="1901-12-31T00:00:00"/>
    <m/>
    <m/>
    <m/>
    <m/>
    <m/>
    <d v="2020-07-01T00:00:00"/>
    <d v="2020-07-01T00:00:00"/>
    <m/>
    <m/>
    <m/>
    <m/>
    <m/>
    <m/>
    <m/>
    <m/>
    <m/>
    <m/>
    <m/>
    <m/>
    <m/>
    <m/>
    <m/>
    <m/>
    <m/>
    <m/>
    <m/>
    <m/>
    <n v="7116741.2516585328"/>
    <n v="0"/>
    <n v="-7116741.2516585328"/>
    <n v="2069.8279690426393"/>
    <n v="120622.73307895818"/>
    <m/>
    <m/>
    <n v="0"/>
    <e v="#DIV/0!"/>
    <m/>
    <n v="2026406.2043719999"/>
    <m/>
    <n v="34345.867870711867"/>
    <m/>
    <n v="4116835.0472865333"/>
    <m/>
    <m/>
    <m/>
    <n v="-4116835.0472865333"/>
    <n v="69776.865208246323"/>
    <m/>
    <n v="973500"/>
    <m/>
    <m/>
    <n v="0.13679013548133834"/>
    <m/>
    <m/>
    <n v="-973500"/>
    <n v="16500"/>
    <n v="50845.867870711867"/>
    <n v="-16500"/>
    <m/>
    <m/>
    <m/>
    <m/>
    <n v="50845.867870711867"/>
    <m/>
    <n v="0"/>
    <n v="0.42152806998187292"/>
    <m/>
    <m/>
    <m/>
    <n v="7116741.2516585328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m/>
    <d v="2017-02-23T00:00:00"/>
    <s v="0"/>
    <m/>
    <s v="0"/>
    <n v="-30"/>
    <s v="0"/>
    <m/>
    <m/>
    <m/>
    <s v="0"/>
    <m/>
    <m/>
    <s v="0"/>
    <m/>
    <s v="0"/>
    <n v="-30"/>
    <s v="0"/>
    <m/>
    <m/>
    <m/>
    <s v="0"/>
    <d v="1900-01-14T00:00:00"/>
    <d v="2017-02-23T00:00:00"/>
    <n v="42774"/>
    <d v="2017-03-10T00:00:00"/>
    <m/>
    <s v="0"/>
    <s v="0"/>
    <d v="1900-02-28T00:00:00"/>
    <s v="0"/>
    <n v="-60"/>
    <n v="9.6999999999999993"/>
    <n v="-9.6999999999999993"/>
    <m/>
    <m/>
    <m/>
    <m/>
    <m/>
    <m/>
    <m/>
    <m/>
  </r>
  <r>
    <s v="BRAS CANOT"/>
    <x v="9"/>
    <x v="2"/>
    <x v="8"/>
    <m/>
    <m/>
    <m/>
    <m/>
    <m/>
    <s v="DP 61 - 65- 66"/>
    <m/>
    <m/>
    <m/>
    <m/>
    <m/>
    <m/>
    <m/>
    <m/>
    <m/>
    <m/>
    <m/>
    <m/>
    <m/>
    <m/>
    <e v="#DIV/0!"/>
    <m/>
    <m/>
    <m/>
    <s v="LLTS"/>
    <n v="0"/>
    <m/>
    <n v="48"/>
    <n v="3960"/>
    <m/>
    <e v="#DIV/0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9-02-01T00:00:00"/>
    <m/>
    <n v="16"/>
    <n v="18"/>
    <n v="16"/>
    <n v="17"/>
    <n v="0"/>
    <m/>
    <m/>
    <m/>
    <m/>
    <m/>
    <m/>
    <d v="2020-06-01T00:00:00"/>
    <d v="1901-12-31T00:00:00"/>
    <m/>
    <m/>
    <m/>
    <m/>
    <m/>
    <d v="2020-07-01T00:00:00"/>
    <d v="2020-07-01T00:00:00"/>
    <m/>
    <m/>
    <m/>
    <m/>
    <m/>
    <m/>
    <m/>
    <m/>
    <m/>
    <m/>
    <m/>
    <m/>
    <m/>
    <m/>
    <m/>
    <m/>
    <m/>
    <m/>
    <m/>
    <m/>
    <n v="960000"/>
    <n v="0"/>
    <n v="-960000"/>
    <n v="242.42424242424244"/>
    <e v="#DIV/0!"/>
    <m/>
    <m/>
    <n v="0"/>
    <e v="#DIV/0!"/>
    <m/>
    <m/>
    <m/>
    <e v="#DIV/0!"/>
    <n v="0"/>
    <m/>
    <n v="0"/>
    <m/>
    <m/>
    <n v="0"/>
    <e v="#DIV/0!"/>
    <m/>
    <n v="960000"/>
    <m/>
    <m/>
    <n v="1"/>
    <m/>
    <m/>
    <n v="-960000"/>
    <e v="#DIV/0!"/>
    <e v="#DIV/0!"/>
    <e v="#DIV/0!"/>
    <m/>
    <m/>
    <m/>
    <m/>
    <e v="#DIV/0!"/>
    <m/>
    <e v="#DIV/0!"/>
    <n v="1"/>
    <m/>
    <m/>
    <m/>
    <n v="960000"/>
    <m/>
    <m/>
    <m/>
    <n v="0"/>
    <d v="2017-02-23T00:00:00"/>
    <d v="2017-03-16T00:00:00"/>
    <d v="2017-03-16T00:00:00"/>
    <n v="0"/>
    <d v="2017-03-16T00:00:00"/>
    <n v="0"/>
    <n v="-30"/>
    <n v="21"/>
    <d v="2017-04-15T00:00:00"/>
    <n v="30"/>
    <d v="2017-05-15T00:00:00"/>
    <d v="2017-05-15T00:00:00"/>
    <n v="0"/>
    <d v="2017-06-14T00:00:00"/>
    <n v="30"/>
    <n v="0"/>
    <n v="60"/>
    <m/>
    <n v="0"/>
    <d v="2017-06-29T00:00:00"/>
    <d v="2017-07-06T00:00:00"/>
    <m/>
    <n v="0"/>
    <d v="2017-07-27T00:00:00"/>
    <n v="43"/>
    <d v="2017-08-26T00:00:00"/>
    <d v="2017-08-26T00:00:00"/>
    <n v="0"/>
    <m/>
    <s v="0"/>
    <n v="-30"/>
    <s v="0"/>
    <m/>
    <m/>
    <d v="1899-12-30T00:00:00"/>
    <s v="0"/>
    <d v="1900-01-29T00:00:00"/>
    <d v="2017-02-23T00:00:00"/>
    <n v="42759"/>
    <d v="1900-02-28T00:00:00"/>
    <n v="-42729"/>
    <n v="-42759"/>
    <s v="0"/>
    <m/>
    <m/>
    <d v="1900-02-28T00:00:00"/>
    <n v="0"/>
    <d v="1900-03-15T00:00:00"/>
    <d v="2017-02-23T00:00:00"/>
    <n v="42714"/>
    <d v="2017-04-09T00:00:00"/>
    <d v="2017-04-09T00:00:00"/>
    <n v="0"/>
    <n v="42774"/>
    <d v="2017-06-08T00:00:00"/>
    <n v="60"/>
    <n v="0"/>
    <n v="9.6999999999999993"/>
    <n v="1421.2333333333333"/>
    <m/>
    <m/>
    <m/>
    <m/>
    <m/>
    <m/>
    <m/>
    <m/>
  </r>
  <r>
    <s v="Gallien"/>
    <x v="7"/>
    <x v="1"/>
    <x v="8"/>
    <m/>
    <m/>
    <m/>
    <s v="Faisa"/>
    <m/>
    <s v="AT 1146, 1030, 1031"/>
    <s v="capacité en cours par JLC : mettre dossier foncier complet à disposition en vue du lancement consultation archi"/>
    <m/>
    <m/>
    <m/>
    <m/>
    <m/>
    <m/>
    <n v="0"/>
    <e v="#DIV/0!"/>
    <e v="#DIV/0!"/>
    <e v="#DIV/0!"/>
    <n v="0"/>
    <n v="0"/>
    <m/>
    <e v="#DIV/0!"/>
    <m/>
    <m/>
    <m/>
    <s v="LLTS"/>
    <n v="18"/>
    <m/>
    <n v="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9-02-01T00:00:00"/>
    <m/>
    <n v="14"/>
    <n v="16"/>
    <n v="14"/>
    <n v="15"/>
    <n v="0"/>
    <m/>
    <m/>
    <m/>
    <m/>
    <m/>
    <m/>
    <d v="2020-04-01T00:00:00"/>
    <d v="1901-12-31T00:00:00"/>
    <m/>
    <m/>
    <m/>
    <m/>
    <m/>
    <d v="2020-05-01T00:00:00"/>
    <d v="2020-05-01T00:00:00"/>
    <m/>
    <m/>
    <m/>
    <m/>
    <m/>
    <m/>
    <m/>
    <m/>
    <m/>
    <m/>
    <m/>
    <m/>
    <m/>
    <m/>
    <m/>
    <m/>
    <m/>
    <m/>
    <m/>
    <m/>
    <n v="2343364.2150658444"/>
    <n v="1259621.2150658446"/>
    <n v="-1083742.9999999998"/>
    <e v="#DIV/0!"/>
    <n v="130186.90083699135"/>
    <m/>
    <m/>
    <n v="0"/>
    <n v="0"/>
    <m/>
    <n v="723743"/>
    <m/>
    <n v="40207.944444444445"/>
    <n v="-723743"/>
    <n v="1259621.2150658446"/>
    <n v="1259621.2150658446"/>
    <m/>
    <m/>
    <n v="0"/>
    <n v="69978.956392546927"/>
    <m/>
    <n v="360000"/>
    <m/>
    <m/>
    <n v="0.1536252869637188"/>
    <m/>
    <m/>
    <n v="-360000"/>
    <n v="20000"/>
    <n v="60207.944444444445"/>
    <n v="-20000"/>
    <m/>
    <m/>
    <m/>
    <m/>
    <n v="60207.944444444445"/>
    <m/>
    <n v="0"/>
    <n v="0.46247313713867083"/>
    <m/>
    <m/>
    <m/>
    <n v="2343364.2150658444"/>
    <m/>
    <m/>
    <m/>
    <n v="0"/>
    <d v="2017-02-23T00:00:00"/>
    <d v="2017-03-16T00:00:00"/>
    <d v="2017-03-16T00:00:00"/>
    <n v="0"/>
    <d v="2017-03-16T00:00:00"/>
    <n v="0"/>
    <n v="-30"/>
    <n v="21"/>
    <d v="2017-04-15T00:00:00"/>
    <n v="30"/>
    <d v="2017-05-15T00:00:00"/>
    <d v="2017-05-15T00:00:00"/>
    <n v="0"/>
    <d v="2017-06-14T00:00:00"/>
    <n v="30"/>
    <n v="0"/>
    <n v="60"/>
    <m/>
    <n v="0"/>
    <d v="2017-06-29T00:00:00"/>
    <d v="2017-07-06T00:00:00"/>
    <m/>
    <n v="0"/>
    <d v="2017-07-27T00:00:00"/>
    <n v="43"/>
    <d v="2017-08-26T00:00:00"/>
    <d v="2017-08-26T00:00:00"/>
    <n v="0"/>
    <d v="2017-09-25T00:00:00"/>
    <n v="30"/>
    <n v="0"/>
    <n v="60"/>
    <m/>
    <n v="0"/>
    <d v="2017-09-25T00:00:00"/>
    <n v="0"/>
    <d v="2017-10-25T00:00:00"/>
    <d v="2017-10-25T00:00:00"/>
    <n v="0"/>
    <d v="2017-11-24T00:00:00"/>
    <n v="30"/>
    <n v="0"/>
    <n v="60"/>
    <m/>
    <n v="34029.599999999999"/>
    <d v="2017-11-24T00:00:00"/>
    <n v="0"/>
    <d v="2017-12-09T00:00:00"/>
    <d v="2017-12-09T00:00:00"/>
    <n v="0"/>
    <d v="2018-01-23T00:00:00"/>
    <d v="2018-01-23T00:00:00"/>
    <n v="0"/>
    <n v="60"/>
    <d v="2018-03-24T00:00:00"/>
    <n v="60"/>
    <n v="0"/>
    <n v="9.6999999999999993"/>
    <n v="1.4333333333333336"/>
    <m/>
    <m/>
    <m/>
    <m/>
    <m/>
    <m/>
    <m/>
    <m/>
  </r>
  <r>
    <s v="Jamalac"/>
    <x v="2"/>
    <x v="0"/>
    <x v="8"/>
    <m/>
    <m/>
    <m/>
    <s v="Prosp"/>
    <m/>
    <m/>
    <m/>
    <m/>
    <m/>
    <m/>
    <m/>
    <n v="800000"/>
    <n v="800000"/>
    <n v="16000"/>
    <e v="#DIV/0!"/>
    <e v="#DIV/0!"/>
    <n v="248.75621890547265"/>
    <n v="16000"/>
    <n v="0"/>
    <m/>
    <e v="#DIV/0!"/>
    <m/>
    <m/>
    <m/>
    <s v="LLS"/>
    <n v="50"/>
    <m/>
    <n v="50"/>
    <n v="3216"/>
    <n v="3216"/>
    <n v="64.3199999999999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06-30T00:00:00"/>
    <m/>
    <m/>
    <m/>
    <m/>
    <m/>
    <d v="2019-02-01T00:00:00"/>
    <m/>
    <n v="16"/>
    <n v="18"/>
    <n v="16"/>
    <n v="17"/>
    <n v="0"/>
    <m/>
    <m/>
    <m/>
    <m/>
    <m/>
    <m/>
    <d v="2020-06-01T00:00:00"/>
    <d v="1901-12-31T00:00:00"/>
    <m/>
    <m/>
    <m/>
    <m/>
    <m/>
    <d v="2020-07-01T00:00:00"/>
    <d v="2020-07-01T00:00:00"/>
    <m/>
    <m/>
    <m/>
    <m/>
    <m/>
    <m/>
    <m/>
    <m/>
    <m/>
    <m/>
    <m/>
    <m/>
    <m/>
    <m/>
    <m/>
    <m/>
    <m/>
    <m/>
    <m/>
    <m/>
    <n v="0"/>
    <n v="0"/>
    <n v="0"/>
    <n v="0"/>
    <n v="0"/>
    <m/>
    <m/>
    <n v="0"/>
    <e v="#DIV/0!"/>
    <m/>
    <m/>
    <n v="0"/>
    <n v="0"/>
    <n v="0"/>
    <m/>
    <n v="0"/>
    <m/>
    <m/>
    <n v="0"/>
    <n v="0"/>
    <m/>
    <m/>
    <n v="0"/>
    <m/>
    <e v="#DIV/0!"/>
    <m/>
    <m/>
    <n v="0"/>
    <n v="0"/>
    <n v="0"/>
    <n v="0"/>
    <m/>
    <m/>
    <m/>
    <m/>
    <n v="0"/>
    <m/>
    <n v="0"/>
    <e v="#DIV/0!"/>
    <m/>
    <m/>
    <m/>
    <n v="0"/>
    <m/>
    <m/>
    <m/>
    <n v="0"/>
    <d v="2017-02-23T00:00:00"/>
    <d v="2017-03-16T00:00:00"/>
    <d v="2017-03-16T00:00:00"/>
    <n v="0"/>
    <d v="2017-03-16T00:00:00"/>
    <n v="0"/>
    <n v="-30"/>
    <n v="21"/>
    <d v="2017-04-15T00:00:00"/>
    <n v="30"/>
    <d v="2017-05-15T00:00:00"/>
    <d v="2017-05-15T00:00:00"/>
    <n v="0"/>
    <d v="2017-06-14T00:00:00"/>
    <n v="30"/>
    <n v="0"/>
    <n v="60"/>
    <m/>
    <n v="0"/>
    <d v="2017-06-29T00:00:00"/>
    <d v="2017-07-06T00:00:00"/>
    <m/>
    <n v="0"/>
    <d v="2017-07-27T00:00:00"/>
    <n v="43"/>
    <d v="2017-08-26T00:00:00"/>
    <d v="2017-08-26T00:00:00"/>
    <n v="0"/>
    <m/>
    <s v="0"/>
    <n v="-30"/>
    <s v="0"/>
    <m/>
    <m/>
    <d v="1899-12-30T00:00:00"/>
    <s v="0"/>
    <d v="1900-01-29T00:00:00"/>
    <d v="2017-02-23T00:00:00"/>
    <n v="42759"/>
    <d v="1900-02-28T00:00:00"/>
    <n v="-42729"/>
    <n v="-42759"/>
    <s v="0"/>
    <m/>
    <m/>
    <d v="1900-02-28T00:00:00"/>
    <n v="0"/>
    <d v="1900-03-15T00:00:00"/>
    <d v="2017-02-23T00:00:00"/>
    <n v="42714"/>
    <d v="2017-04-09T00:00:00"/>
    <d v="2017-04-09T00:00:00"/>
    <n v="0"/>
    <n v="42774"/>
    <d v="2017-06-08T00:00:00"/>
    <n v="60"/>
    <n v="0"/>
    <n v="9.6999999999999993"/>
    <n v="1421.2333333333333"/>
    <m/>
    <m/>
    <m/>
    <m/>
    <m/>
    <m/>
    <m/>
    <m/>
  </r>
  <r>
    <s v="VEFA APAYA"/>
    <x v="3"/>
    <x v="2"/>
    <x v="8"/>
    <m/>
    <m/>
    <m/>
    <m/>
    <m/>
    <s v="CX 1220"/>
    <m/>
    <m/>
    <m/>
    <m/>
    <m/>
    <m/>
    <m/>
    <m/>
    <m/>
    <m/>
    <m/>
    <m/>
    <m/>
    <m/>
    <e v="#DIV/0!"/>
    <m/>
    <m/>
    <m/>
    <s v="LLTS"/>
    <n v="49"/>
    <m/>
    <n v="49"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9-02-01T00:00:00"/>
    <m/>
    <n v="16"/>
    <n v="18"/>
    <n v="16"/>
    <n v="17"/>
    <n v="0"/>
    <m/>
    <m/>
    <m/>
    <m/>
    <m/>
    <m/>
    <d v="2020-06-01T00:00:00"/>
    <d v="1901-12-31T00:00:00"/>
    <m/>
    <m/>
    <m/>
    <m/>
    <m/>
    <d v="2020-07-01T00:00:00"/>
    <d v="2020-07-01T00:00:00"/>
    <m/>
    <m/>
    <m/>
    <m/>
    <m/>
    <m/>
    <m/>
    <m/>
    <m/>
    <m/>
    <m/>
    <m/>
    <m/>
    <m/>
    <m/>
    <m/>
    <m/>
    <m/>
    <m/>
    <m/>
    <n v="980000"/>
    <n v="980000"/>
    <n v="0"/>
    <e v="#DIV/0!"/>
    <n v="20000"/>
    <m/>
    <m/>
    <n v="0"/>
    <n v="0"/>
    <m/>
    <m/>
    <m/>
    <n v="0"/>
    <n v="0"/>
    <m/>
    <n v="0"/>
    <m/>
    <m/>
    <n v="0"/>
    <n v="0"/>
    <m/>
    <n v="980000"/>
    <n v="980000"/>
    <m/>
    <n v="1"/>
    <m/>
    <m/>
    <n v="0"/>
    <n v="20000"/>
    <n v="20000"/>
    <n v="0"/>
    <m/>
    <m/>
    <m/>
    <m/>
    <n v="20000"/>
    <m/>
    <n v="20000"/>
    <n v="1"/>
    <m/>
    <m/>
    <m/>
    <n v="980000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m/>
    <d v="2017-02-23T00:00:00"/>
    <s v="0"/>
    <m/>
    <s v="0"/>
    <n v="-30"/>
    <s v="0"/>
    <m/>
    <m/>
    <m/>
    <s v="0"/>
    <m/>
    <m/>
    <s v="0"/>
    <m/>
    <s v="0"/>
    <n v="-30"/>
    <s v="0"/>
    <m/>
    <m/>
    <m/>
    <s v="0"/>
    <d v="1900-01-14T00:00:00"/>
    <d v="2017-02-23T00:00:00"/>
    <n v="42774"/>
    <d v="2017-03-10T00:00:00"/>
    <m/>
    <s v="0"/>
    <s v="0"/>
    <d v="1900-02-28T00:00:00"/>
    <s v="0"/>
    <n v="-60"/>
    <n v="9.6999999999999993"/>
    <n v="-9.6999999999999993"/>
    <m/>
    <m/>
    <m/>
    <m/>
    <m/>
    <m/>
    <m/>
    <m/>
  </r>
  <r>
    <s v="VEFA EPERON"/>
    <x v="9"/>
    <x v="2"/>
    <x v="8"/>
    <m/>
    <m/>
    <m/>
    <m/>
    <m/>
    <s v="CT 1816-1817-2241"/>
    <m/>
    <m/>
    <m/>
    <m/>
    <m/>
    <m/>
    <m/>
    <m/>
    <m/>
    <m/>
    <m/>
    <m/>
    <m/>
    <m/>
    <e v="#DIV/0!"/>
    <m/>
    <m/>
    <m/>
    <s v="LLTS"/>
    <n v="47"/>
    <m/>
    <n v="47"/>
    <n v="3357.36"/>
    <m/>
    <n v="0"/>
    <m/>
    <m/>
    <m/>
    <m/>
    <m/>
    <m/>
    <m/>
    <m/>
    <m/>
    <m/>
    <m/>
    <m/>
    <m/>
    <d v="2016-01-1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9-02-01T00:00:00"/>
    <m/>
    <n v="16"/>
    <n v="18"/>
    <n v="16"/>
    <n v="17"/>
    <n v="0"/>
    <m/>
    <m/>
    <m/>
    <m/>
    <m/>
    <m/>
    <d v="2020-06-01T00:00:00"/>
    <d v="1901-12-31T00:00:00"/>
    <m/>
    <m/>
    <m/>
    <m/>
    <m/>
    <d v="2020-07-01T00:00:00"/>
    <d v="2020-07-01T00:00:00"/>
    <m/>
    <m/>
    <m/>
    <m/>
    <m/>
    <m/>
    <m/>
    <m/>
    <m/>
    <m/>
    <m/>
    <m/>
    <m/>
    <m/>
    <m/>
    <m/>
    <m/>
    <m/>
    <m/>
    <m/>
    <n v="846000"/>
    <n v="846000"/>
    <n v="0"/>
    <n v="251.98370147973407"/>
    <n v="18000"/>
    <m/>
    <m/>
    <n v="0"/>
    <n v="0"/>
    <m/>
    <m/>
    <m/>
    <n v="0"/>
    <n v="0"/>
    <m/>
    <n v="0"/>
    <m/>
    <m/>
    <n v="0"/>
    <n v="0"/>
    <m/>
    <n v="846000"/>
    <n v="846000"/>
    <m/>
    <n v="1"/>
    <m/>
    <m/>
    <n v="0"/>
    <n v="18000"/>
    <n v="18000"/>
    <n v="0"/>
    <m/>
    <m/>
    <m/>
    <m/>
    <n v="18000"/>
    <m/>
    <n v="18000"/>
    <n v="1"/>
    <m/>
    <m/>
    <m/>
    <n v="846000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m/>
    <d v="2017-02-23T00:00:00"/>
    <s v="0"/>
    <m/>
    <s v="0"/>
    <n v="-30"/>
    <s v="0"/>
    <m/>
    <m/>
    <m/>
    <s v="0"/>
    <m/>
    <m/>
    <s v="0"/>
    <m/>
    <s v="0"/>
    <n v="-30"/>
    <s v="0"/>
    <m/>
    <m/>
    <m/>
    <s v="0"/>
    <d v="1900-01-14T00:00:00"/>
    <d v="2017-02-23T00:00:00"/>
    <n v="42774"/>
    <d v="2017-03-10T00:00:00"/>
    <m/>
    <s v="0"/>
    <s v="0"/>
    <d v="1900-02-28T00:00:00"/>
    <s v="0"/>
    <n v="-60"/>
    <n v="9.6999999999999993"/>
    <n v="-9.6999999999999993"/>
    <m/>
    <m/>
    <m/>
    <m/>
    <m/>
    <m/>
    <m/>
    <m/>
  </r>
  <r>
    <s v="VEFA PISCINE"/>
    <x v="11"/>
    <x v="0"/>
    <x v="8"/>
    <m/>
    <m/>
    <m/>
    <m/>
    <m/>
    <m/>
    <m/>
    <m/>
    <m/>
    <m/>
    <m/>
    <m/>
    <m/>
    <m/>
    <m/>
    <m/>
    <m/>
    <m/>
    <m/>
    <m/>
    <e v="#DIV/0!"/>
    <m/>
    <m/>
    <m/>
    <s v="LLTS"/>
    <n v="0"/>
    <m/>
    <n v="0"/>
    <n v="2905"/>
    <n v="2905"/>
    <e v="#DIV/0!"/>
    <m/>
    <m/>
    <m/>
    <m/>
    <m/>
    <m/>
    <m/>
    <m/>
    <m/>
    <m/>
    <m/>
    <m/>
    <m/>
    <d v="2016-01-19T00:00:00"/>
    <d v="2016-01-2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9-02-01T00:00:00"/>
    <m/>
    <n v="16"/>
    <n v="18"/>
    <n v="16"/>
    <n v="17"/>
    <n v="0"/>
    <m/>
    <m/>
    <m/>
    <m/>
    <m/>
    <m/>
    <d v="2020-06-01T00:00:00"/>
    <d v="1901-12-31T00:00:00"/>
    <m/>
    <m/>
    <m/>
    <m/>
    <m/>
    <d v="2020-07-01T00:00:00"/>
    <d v="2020-07-01T00:00:00"/>
    <m/>
    <m/>
    <m/>
    <m/>
    <m/>
    <m/>
    <m/>
    <m/>
    <m/>
    <m/>
    <m/>
    <m/>
    <m/>
    <m/>
    <m/>
    <m/>
    <m/>
    <m/>
    <m/>
    <m/>
    <n v="1000000"/>
    <n v="1000000"/>
    <n v="0"/>
    <n v="344.23407917383821"/>
    <e v="#DIV/0!"/>
    <m/>
    <m/>
    <n v="0"/>
    <n v="0"/>
    <m/>
    <m/>
    <m/>
    <e v="#DIV/0!"/>
    <m/>
    <m/>
    <m/>
    <m/>
    <m/>
    <n v="0"/>
    <e v="#DIV/0!"/>
    <m/>
    <n v="1000000"/>
    <n v="1000000"/>
    <m/>
    <n v="1"/>
    <m/>
    <m/>
    <n v="0"/>
    <e v="#DIV/0!"/>
    <e v="#DIV/0!"/>
    <e v="#DIV/0!"/>
    <m/>
    <m/>
    <m/>
    <m/>
    <e v="#DIV/0!"/>
    <m/>
    <e v="#DIV/0!"/>
    <n v="1"/>
    <m/>
    <m/>
    <m/>
    <n v="1000000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m/>
    <d v="2017-02-23T00:00:00"/>
    <s v="0"/>
    <m/>
    <s v="0"/>
    <n v="-30"/>
    <s v="0"/>
    <m/>
    <m/>
    <m/>
    <s v="0"/>
    <m/>
    <m/>
    <s v="0"/>
    <m/>
    <s v="0"/>
    <n v="-30"/>
    <s v="0"/>
    <m/>
    <m/>
    <m/>
    <s v="0"/>
    <d v="1900-01-14T00:00:00"/>
    <d v="2017-02-23T00:00:00"/>
    <n v="42774"/>
    <d v="2017-03-10T00:00:00"/>
    <m/>
    <s v="0"/>
    <s v="0"/>
    <d v="1900-02-28T00:00:00"/>
    <s v="0"/>
    <n v="-60"/>
    <n v="9.6999999999999993"/>
    <n v="-9.6999999999999993"/>
    <m/>
    <m/>
    <m/>
    <m/>
    <m/>
    <m/>
    <m/>
    <m/>
  </r>
  <r>
    <s v="VEFA TRISCOTTE"/>
    <x v="11"/>
    <x v="0"/>
    <x v="8"/>
    <m/>
    <m/>
    <m/>
    <m/>
    <m/>
    <s v="EM 512"/>
    <m/>
    <m/>
    <m/>
    <m/>
    <m/>
    <m/>
    <m/>
    <m/>
    <m/>
    <m/>
    <m/>
    <m/>
    <m/>
    <m/>
    <e v="#DIV/0!"/>
    <m/>
    <m/>
    <m/>
    <s v="LLTS"/>
    <n v="0"/>
    <m/>
    <n v="0"/>
    <n v="6176.04"/>
    <n v="6176.04"/>
    <e v="#DIV/0!"/>
    <m/>
    <m/>
    <m/>
    <m/>
    <m/>
    <m/>
    <m/>
    <m/>
    <m/>
    <m/>
    <m/>
    <m/>
    <m/>
    <d v="2016-01-1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9-02-01T00:00:00"/>
    <m/>
    <n v="16"/>
    <n v="18"/>
    <n v="16"/>
    <n v="17"/>
    <n v="0"/>
    <m/>
    <m/>
    <m/>
    <m/>
    <m/>
    <m/>
    <d v="2020-06-01T00:00:00"/>
    <d v="1901-12-31T00:00:00"/>
    <m/>
    <m/>
    <m/>
    <m/>
    <m/>
    <d v="2020-07-01T00:00:00"/>
    <d v="2020-07-01T00:00:00"/>
    <m/>
    <m/>
    <m/>
    <m/>
    <m/>
    <m/>
    <m/>
    <m/>
    <m/>
    <m/>
    <m/>
    <m/>
    <m/>
    <m/>
    <m/>
    <m/>
    <m/>
    <m/>
    <m/>
    <m/>
    <n v="1700000"/>
    <n v="1700000"/>
    <n v="0"/>
    <n v="275.25728460307897"/>
    <e v="#DIV/0!"/>
    <m/>
    <m/>
    <n v="0"/>
    <n v="0"/>
    <m/>
    <m/>
    <m/>
    <e v="#DIV/0!"/>
    <m/>
    <m/>
    <m/>
    <m/>
    <m/>
    <n v="0"/>
    <e v="#DIV/0!"/>
    <m/>
    <n v="1700000"/>
    <n v="1700000"/>
    <m/>
    <n v="1"/>
    <m/>
    <m/>
    <n v="0"/>
    <e v="#DIV/0!"/>
    <e v="#DIV/0!"/>
    <e v="#DIV/0!"/>
    <m/>
    <m/>
    <m/>
    <m/>
    <e v="#DIV/0!"/>
    <m/>
    <e v="#DIV/0!"/>
    <n v="1"/>
    <m/>
    <m/>
    <m/>
    <n v="1700000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m/>
    <d v="2017-02-23T00:00:00"/>
    <s v="0"/>
    <m/>
    <s v="0"/>
    <n v="-30"/>
    <s v="0"/>
    <m/>
    <m/>
    <m/>
    <s v="0"/>
    <m/>
    <m/>
    <s v="0"/>
    <m/>
    <s v="0"/>
    <n v="-30"/>
    <s v="0"/>
    <m/>
    <m/>
    <m/>
    <s v="0"/>
    <d v="1900-01-14T00:00:00"/>
    <d v="2017-02-23T00:00:00"/>
    <n v="42774"/>
    <d v="2017-03-10T00:00:00"/>
    <m/>
    <s v="0"/>
    <s v="0"/>
    <d v="1900-02-28T00:00:00"/>
    <s v="0"/>
    <n v="-60"/>
    <n v="9.6999999999999993"/>
    <n v="-9.6999999999999993"/>
    <m/>
    <m/>
    <m/>
    <m/>
    <m/>
    <m/>
    <m/>
    <m/>
  </r>
  <r>
    <s v="BY 100"/>
    <x v="1"/>
    <x v="1"/>
    <x v="9"/>
    <s v="PRLC 0171"/>
    <s v="APU"/>
    <s v="SAR"/>
    <s v="ESQ"/>
    <m/>
    <m/>
    <m/>
    <m/>
    <m/>
    <m/>
    <n v="5300"/>
    <n v="533400"/>
    <n v="533400"/>
    <n v="6061.363636363636"/>
    <n v="100.64150943396227"/>
    <n v="100.64150943396227"/>
    <n v="81.033042157235087"/>
    <n v="6061.363636363636"/>
    <n v="60.227272727272727"/>
    <m/>
    <n v="1.2419811320754717"/>
    <s v="UB"/>
    <n v="560"/>
    <n v="0.1"/>
    <s v="LLTS"/>
    <n v="78"/>
    <m/>
    <n v="78"/>
    <n v="6582.5"/>
    <n v="6582.5"/>
    <n v="84.391025641025635"/>
    <n v="0.15"/>
    <n v="0.3"/>
    <n v="0.3"/>
    <n v="0.2"/>
    <n v="0.06"/>
    <m/>
    <n v="0"/>
    <n v="0"/>
    <m/>
    <n v="5"/>
    <s v="B"/>
    <m/>
    <s v="oui"/>
    <d v="2014-11-18T00:00:00"/>
    <m/>
    <m/>
    <m/>
    <m/>
    <m/>
    <m/>
    <m/>
    <m/>
    <m/>
    <m/>
    <m/>
    <m/>
    <m/>
    <m/>
    <m/>
    <m/>
    <m/>
    <m/>
    <m/>
    <m/>
    <m/>
    <m/>
    <m/>
    <d v="2014-11-13T00:00:00"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06-30T00:00:00"/>
    <m/>
    <m/>
    <m/>
    <m/>
    <m/>
    <d v="2019-02-01T00:00:00"/>
    <m/>
    <n v="24"/>
    <n v="26"/>
    <n v="24"/>
    <n v="25"/>
    <n v="0"/>
    <m/>
    <m/>
    <m/>
    <m/>
    <m/>
    <m/>
    <d v="2021-02-01T00:00:00"/>
    <d v="1901-12-31T00:00:00"/>
    <m/>
    <m/>
    <m/>
    <m/>
    <m/>
    <d v="2021-03-01T00:00:00"/>
    <d v="2021-03-01T00:00:00"/>
    <m/>
    <m/>
    <m/>
    <m/>
    <m/>
    <m/>
    <m/>
    <m/>
    <m/>
    <m/>
    <m/>
    <m/>
    <m/>
    <m/>
    <m/>
    <m/>
    <m/>
    <m/>
    <m/>
    <m/>
    <n v="12848489.337011022"/>
    <n v="0"/>
    <n v="-12848489.337011022"/>
    <n v="1951.9163443996995"/>
    <n v="164724.22226937208"/>
    <m/>
    <m/>
    <n v="0"/>
    <n v="0"/>
    <m/>
    <n v="4247922.3040114455"/>
    <m/>
    <n v="54460.542359121093"/>
    <n v="-4247922.3040114455"/>
    <n v="7600567.032999577"/>
    <n v="0"/>
    <m/>
    <m/>
    <n v="-7600567.032999577"/>
    <n v="97443.16708973817"/>
    <m/>
    <n v="1000000"/>
    <m/>
    <m/>
    <n v="7.7830161489835709E-2"/>
    <m/>
    <n v="0"/>
    <n v="-1000000"/>
    <n v="12820.51282051282"/>
    <n v="67281.055179633913"/>
    <n v="-11363.636363636364"/>
    <m/>
    <m/>
    <n v="0"/>
    <n v="0"/>
    <n v="67281.055179633913"/>
    <n v="0"/>
    <n v="0"/>
    <n v="0.40844664040732148"/>
    <n v="0"/>
    <m/>
    <n v="0"/>
    <n v="12848489.337011022"/>
    <m/>
    <m/>
    <m/>
    <n v="0"/>
    <d v="2017-02-23T00:00:00"/>
    <d v="2017-03-16T00:00:00"/>
    <d v="2017-03-16T00:00:00"/>
    <n v="0"/>
    <d v="2017-03-16T00:00:00"/>
    <n v="0"/>
    <n v="-30"/>
    <n v="21"/>
    <d v="2017-04-15T00:00:00"/>
    <n v="30"/>
    <d v="2017-05-15T00:00:00"/>
    <d v="2017-05-15T00:00:00"/>
    <n v="0"/>
    <d v="2017-06-14T00:00:00"/>
    <n v="30"/>
    <n v="0"/>
    <n v="60"/>
    <m/>
    <n v="0"/>
    <d v="2017-06-29T00:00:00"/>
    <d v="2017-07-06T00:00:00"/>
    <m/>
    <n v="0"/>
    <d v="2017-07-27T00:00:00"/>
    <n v="43"/>
    <d v="2017-08-26T00:00:00"/>
    <d v="2017-08-26T00:00:00"/>
    <n v="0"/>
    <m/>
    <s v="0"/>
    <n v="-30"/>
    <s v="0"/>
    <m/>
    <m/>
    <d v="1899-12-30T00:00:00"/>
    <s v="0"/>
    <d v="1900-01-29T00:00:00"/>
    <d v="2017-02-23T00:00:00"/>
    <n v="42759"/>
    <d v="1900-02-28T00:00:00"/>
    <n v="-42729"/>
    <n v="-42759"/>
    <s v="0"/>
    <m/>
    <m/>
    <d v="1900-02-28T00:00:00"/>
    <n v="0"/>
    <d v="1900-03-15T00:00:00"/>
    <d v="2017-02-23T00:00:00"/>
    <n v="42714"/>
    <d v="2017-04-09T00:00:00"/>
    <d v="2017-04-09T00:00:00"/>
    <n v="0"/>
    <n v="42774"/>
    <d v="2017-06-08T00:00:00"/>
    <n v="60"/>
    <n v="0"/>
    <n v="9.6999999999999993"/>
    <n v="1421.2333333333333"/>
    <m/>
    <m/>
    <m/>
    <m/>
    <m/>
    <m/>
    <m/>
    <m/>
  </r>
  <r>
    <s v="MONSEIGNEURE DE BEAUMONT"/>
    <x v="1"/>
    <x v="1"/>
    <x v="8"/>
    <m/>
    <m/>
    <m/>
    <m/>
    <m/>
    <s v="EN 575"/>
    <m/>
    <m/>
    <m/>
    <m/>
    <m/>
    <m/>
    <m/>
    <m/>
    <m/>
    <m/>
    <m/>
    <m/>
    <m/>
    <m/>
    <m/>
    <m/>
    <m/>
    <m/>
    <s v="LLTS"/>
    <n v="37"/>
    <m/>
    <n v="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9-05-1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d v="2017-02-23T00:00:00"/>
    <d v="2017-03-16T00:00:00"/>
    <d v="2017-03-16T00:00:00"/>
    <n v="0"/>
    <d v="2017-03-16T00:00:00"/>
    <n v="0"/>
    <n v="-30"/>
    <n v="21"/>
    <d v="2017-04-15T00:00:00"/>
    <n v="30"/>
    <d v="2017-05-15T00:00:00"/>
    <d v="2017-05-15T00:00:00"/>
    <n v="0"/>
    <d v="2017-06-14T00:00:00"/>
    <n v="30"/>
    <n v="0"/>
    <n v="60"/>
    <m/>
    <n v="0"/>
    <d v="2017-06-29T00:00:00"/>
    <d v="2017-07-06T00:00:00"/>
    <m/>
    <n v="0"/>
    <d v="2017-07-27T00:00:00"/>
    <n v="43"/>
    <d v="2017-08-26T00:00:00"/>
    <d v="2017-08-26T00:00:00"/>
    <m/>
    <m/>
    <m/>
    <m/>
    <m/>
    <m/>
    <m/>
    <d v="1899-12-30T00:00:00"/>
    <s v="0"/>
    <d v="1900-01-29T00:00:00"/>
    <d v="2017-02-23T00:00:00"/>
    <n v="42759"/>
    <d v="1900-02-28T00:00:00"/>
    <n v="-42729"/>
    <n v="-42759"/>
    <s v="0"/>
    <m/>
    <m/>
    <d v="1900-02-28T00:00:00"/>
    <n v="0"/>
    <d v="1900-03-15T00:00:00"/>
    <d v="2017-02-23T00:00:00"/>
    <n v="42714"/>
    <d v="2017-04-09T00:00:00"/>
    <d v="2017-04-09T00:00:00"/>
    <n v="0"/>
    <n v="42774"/>
    <d v="2017-06-08T00:00:00"/>
    <n v="60"/>
    <n v="0"/>
    <n v="9.6999999999999993"/>
    <n v="1421.2333333333333"/>
    <m/>
    <m/>
    <m/>
    <m/>
    <m/>
    <m/>
    <m/>
    <m/>
  </r>
  <r>
    <s v="INDIGO LLS"/>
    <x v="3"/>
    <x v="2"/>
    <x v="8"/>
    <s v="PRLC 0185"/>
    <s v="APU"/>
    <m/>
    <s v="APS"/>
    <m/>
    <s v="DD783 / 1298"/>
    <s v="portage EPFR à mettre en place"/>
    <m/>
    <m/>
    <m/>
    <m/>
    <m/>
    <m/>
    <m/>
    <m/>
    <m/>
    <m/>
    <m/>
    <m/>
    <m/>
    <e v="#DIV/0!"/>
    <m/>
    <m/>
    <m/>
    <s v="LLS"/>
    <n v="22"/>
    <n v="22"/>
    <m/>
    <n v="2028.9499999999998"/>
    <m/>
    <n v="0"/>
    <m/>
    <m/>
    <m/>
    <m/>
    <m/>
    <m/>
    <m/>
    <m/>
    <m/>
    <m/>
    <m/>
    <m/>
    <m/>
    <m/>
    <s v="30/08/2016_x000a_01/02/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9-07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3896937.4952389677"/>
    <n v="0"/>
    <n v="-3896937.4952389677"/>
    <n v="1920.6670914704493"/>
    <n v="177133.52251086218"/>
    <n v="3277537.4877446182"/>
    <m/>
    <n v="-3277537.4877446182"/>
    <e v="#DIV/0!"/>
    <n v="0.4"/>
    <n v="1259491.9858582849"/>
    <m/>
    <n v="57249.635720831131"/>
    <n v="-1259491.9858582849"/>
    <n v="2487445.5093806828"/>
    <m/>
    <m/>
    <m/>
    <n v="-2487445.5093806828"/>
    <n v="113065.70497184922"/>
    <m/>
    <n v="150000"/>
    <m/>
    <m/>
    <n v="3.8491764413275946E-2"/>
    <m/>
    <m/>
    <n v="-150000"/>
    <n v="6818.181818181818"/>
    <n v="64067.817539012947"/>
    <n v="-6818.181818181818"/>
    <m/>
    <m/>
    <m/>
    <m/>
    <n v="64067.817539012947"/>
    <m/>
    <n v="0"/>
    <n v="0.36169222308038385"/>
    <m/>
    <m/>
    <m/>
    <n v="3896937.4952389677"/>
    <n v="1069949.6500000001"/>
    <n v="133744"/>
    <d v="2016-08-23T00:00:00"/>
    <n v="110767"/>
    <d v="2016-09-06T00:00:00"/>
    <d v="2016-09-27T00:00:00"/>
    <d v="2016-10-31T00:00:00"/>
    <n v="34"/>
    <d v="2016-11-02T00:00:00"/>
    <n v="2"/>
    <n v="-28"/>
    <n v="57"/>
    <d v="2016-11-14T00:00:00"/>
    <n v="12"/>
    <d v="2016-12-14T00:00:00"/>
    <d v="2016-12-13T00:00:00"/>
    <n v="-1"/>
    <d v="2016-12-29T00:00:00"/>
    <n v="16"/>
    <n v="-14"/>
    <n v="45"/>
    <d v="2016-12-12T00:00:00"/>
    <n v="22977"/>
    <d v="2017-01-13T00:00:00"/>
    <d v="2017-01-20T00:00:00"/>
    <m/>
    <n v="106994.96500000003"/>
    <d v="2017-02-10T00:00:00"/>
    <n v="43"/>
    <d v="2017-03-12T00:00:00"/>
    <d v="2017-03-12T00:00:00"/>
    <n v="0"/>
    <d v="2017-04-11T00:00:00"/>
    <n v="30"/>
    <n v="0"/>
    <n v="60"/>
    <m/>
    <n v="106994.96500000003"/>
    <d v="2017-04-11T00:00:00"/>
    <n v="0"/>
    <d v="2017-05-11T00:00:00"/>
    <d v="2017-05-11T00:00:00"/>
    <n v="0"/>
    <d v="2017-06-10T00:00:00"/>
    <n v="30"/>
    <n v="0"/>
    <n v="60"/>
    <m/>
    <n v="34029.599999999999"/>
    <d v="2017-06-10T00:00:00"/>
    <n v="0"/>
    <d v="2017-06-25T00:00:00"/>
    <d v="2017-06-25T00:00:00"/>
    <n v="0"/>
    <d v="2017-08-09T00:00:00"/>
    <d v="2017-08-09T00:00:00"/>
    <n v="0"/>
    <n v="60"/>
    <d v="2017-10-08T00:00:00"/>
    <n v="60"/>
    <n v="0"/>
    <n v="9.6999999999999993"/>
    <n v="1.5333333333333332"/>
    <m/>
    <m/>
    <m/>
    <m/>
    <m/>
    <m/>
    <m/>
    <m/>
  </r>
  <r>
    <s v="INDIGO LLTS"/>
    <x v="3"/>
    <x v="2"/>
    <x v="8"/>
    <s v="PRLC 0185"/>
    <s v="APU"/>
    <m/>
    <s v="APS"/>
    <m/>
    <s v="DD783 / 1298"/>
    <s v="portage EPFR à mettre en place"/>
    <m/>
    <m/>
    <m/>
    <m/>
    <m/>
    <m/>
    <m/>
    <m/>
    <m/>
    <m/>
    <m/>
    <m/>
    <m/>
    <e v="#DIV/0!"/>
    <m/>
    <m/>
    <m/>
    <s v="LLTS"/>
    <n v="34"/>
    <m/>
    <n v="34"/>
    <n v="2028.9499999999998"/>
    <m/>
    <n v="0"/>
    <m/>
    <m/>
    <m/>
    <m/>
    <m/>
    <m/>
    <m/>
    <m/>
    <m/>
    <m/>
    <m/>
    <m/>
    <m/>
    <m/>
    <s v="30/08/2016_x000a_01/02/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9-07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3896937.4952389677"/>
    <n v="0"/>
    <n v="-3896937.4952389677"/>
    <n v="1920.6670914704493"/>
    <n v="114615.80868349905"/>
    <n v="3277537.4877446182"/>
    <m/>
    <n v="-3277537.4877446182"/>
    <e v="#DIV/0!"/>
    <n v="0.4"/>
    <n v="1259491.9858582849"/>
    <m/>
    <n v="37043.88193700838"/>
    <n v="-1259491.9858582849"/>
    <n v="2487445.5093806828"/>
    <m/>
    <m/>
    <m/>
    <n v="-2487445.5093806828"/>
    <n v="73160.162040608324"/>
    <m/>
    <n v="150000"/>
    <m/>
    <m/>
    <n v="3.8491764413275946E-2"/>
    <m/>
    <m/>
    <n v="-150000"/>
    <n v="4411.7647058823532"/>
    <n v="41455.64664289073"/>
    <n v="-4411.7647058823532"/>
    <m/>
    <m/>
    <m/>
    <m/>
    <n v="41455.64664289073"/>
    <m/>
    <n v="0"/>
    <n v="0.36169222308038385"/>
    <m/>
    <m/>
    <m/>
    <n v="3896937.4952389677"/>
    <n v="1069949.6500000001"/>
    <n v="133744"/>
    <d v="2016-08-23T00:00:00"/>
    <n v="110767"/>
    <d v="2016-09-06T00:00:00"/>
    <d v="2016-09-27T00:00:00"/>
    <d v="2016-10-31T00:00:00"/>
    <n v="34"/>
    <d v="2016-11-02T00:00:00"/>
    <n v="2"/>
    <n v="-28"/>
    <n v="57"/>
    <d v="2016-11-14T00:00:00"/>
    <n v="12"/>
    <d v="2016-12-14T00:00:00"/>
    <d v="2016-12-13T00:00:00"/>
    <n v="-1"/>
    <d v="2016-12-29T00:00:00"/>
    <n v="16"/>
    <n v="-14"/>
    <n v="45"/>
    <d v="2016-12-12T00:00:00"/>
    <n v="22977"/>
    <d v="2017-01-13T00:00:00"/>
    <d v="2017-01-20T00:00:00"/>
    <m/>
    <n v="106994.96500000003"/>
    <d v="2017-02-10T00:00:00"/>
    <n v="43"/>
    <d v="2017-03-12T00:00:00"/>
    <d v="2017-03-12T00:00:00"/>
    <n v="0"/>
    <d v="2017-04-11T00:00:00"/>
    <n v="30"/>
    <n v="0"/>
    <n v="60"/>
    <m/>
    <n v="106994.96500000003"/>
    <d v="2017-04-11T00:00:00"/>
    <n v="0"/>
    <d v="2017-05-11T00:00:00"/>
    <d v="2017-05-11T00:00:00"/>
    <n v="0"/>
    <d v="2017-06-10T00:00:00"/>
    <n v="30"/>
    <n v="0"/>
    <n v="60"/>
    <m/>
    <n v="34029.599999999999"/>
    <d v="2017-06-10T00:00:00"/>
    <n v="0"/>
    <d v="2017-06-25T00:00:00"/>
    <d v="2017-06-25T00:00:00"/>
    <n v="0"/>
    <d v="2017-08-09T00:00:00"/>
    <d v="2017-08-09T00:00:00"/>
    <n v="0"/>
    <n v="60"/>
    <d v="2017-10-08T00:00:00"/>
    <n v="60"/>
    <n v="0"/>
    <n v="9.6999999999999993"/>
    <n v="1.5333333333333332"/>
    <m/>
    <m/>
    <m/>
    <m/>
    <m/>
    <m/>
    <m/>
    <m/>
  </r>
  <r>
    <s v="VEFA Galabert"/>
    <x v="9"/>
    <x v="2"/>
    <x v="8"/>
    <m/>
    <m/>
    <s v="SAR"/>
    <s v="PC"/>
    <m/>
    <m/>
    <m/>
    <m/>
    <m/>
    <m/>
    <m/>
    <m/>
    <m/>
    <n v="0"/>
    <e v="#DIV/0!"/>
    <e v="#DIV/0!"/>
    <n v="0"/>
    <n v="0"/>
    <n v="0"/>
    <m/>
    <e v="#DIV/0!"/>
    <m/>
    <n v="895"/>
    <m/>
    <s v="LLTS"/>
    <n v="48"/>
    <m/>
    <n v="48"/>
    <n v="3995.18"/>
    <n v="3995.18"/>
    <n v="83.232916666666668"/>
    <n v="0"/>
    <n v="0.14583333333333334"/>
    <n v="0.35416666666666669"/>
    <n v="0.29166666666666669"/>
    <n v="8.3333333333333329E-2"/>
    <m/>
    <m/>
    <m/>
    <n v="2.5"/>
    <m/>
    <m/>
    <m/>
    <m/>
    <d v="2015-05-19T00:00:00"/>
    <d v="2015-08-26T00:00:00"/>
    <d v="2016-04-15T00:00:00"/>
    <m/>
    <m/>
    <m/>
    <m/>
    <m/>
    <s v="dde 05/02/16"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06-30T00:00:00"/>
    <m/>
    <m/>
    <m/>
    <m/>
    <m/>
    <d v="2020-01-15T00:00:00"/>
    <m/>
    <n v="16"/>
    <n v="18"/>
    <n v="16"/>
    <n v="17"/>
    <n v="0"/>
    <m/>
    <m/>
    <m/>
    <m/>
    <m/>
    <m/>
    <d v="2021-05-15T00:00:00"/>
    <d v="1901-12-31T00:00:00"/>
    <m/>
    <m/>
    <m/>
    <m/>
    <m/>
    <d v="2021-06-15T00:00:00"/>
    <d v="2021-06-15T00:00:00"/>
    <m/>
    <m/>
    <m/>
    <m/>
    <m/>
    <m/>
    <m/>
    <m/>
    <m/>
    <m/>
    <m/>
    <m/>
    <m/>
    <m/>
    <m/>
    <m/>
    <m/>
    <m/>
    <m/>
    <m/>
    <n v="8528169"/>
    <n v="8528169"/>
    <n v="0"/>
    <n v="2134.614460424812"/>
    <n v="177670.1875"/>
    <m/>
    <m/>
    <n v="0"/>
    <n v="0"/>
    <n v="0.39316000000000001"/>
    <n v="2453047"/>
    <n v="2453047"/>
    <n v="51105.145833333336"/>
    <n v="0"/>
    <n v="4950122"/>
    <n v="4950122"/>
    <m/>
    <m/>
    <n v="0"/>
    <n v="103127.54166666667"/>
    <m/>
    <n v="1125000"/>
    <n v="1125000"/>
    <m/>
    <n v="0.13191577230704504"/>
    <m/>
    <m/>
    <n v="0"/>
    <n v="23437.5"/>
    <n v="74542.645833333328"/>
    <n v="0"/>
    <n v="5.2"/>
    <n v="5.2"/>
    <m/>
    <m/>
    <n v="74542.645833333328"/>
    <m/>
    <n v="74542.645833333328"/>
    <n v="0.41955629631636054"/>
    <m/>
    <m/>
    <m/>
    <n v="8528169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m/>
    <m/>
    <s v="0"/>
    <m/>
    <s v="0"/>
    <n v="-30"/>
    <s v="0"/>
    <m/>
    <m/>
    <m/>
    <s v="0"/>
    <m/>
    <m/>
    <s v="0"/>
    <m/>
    <s v="0"/>
    <n v="-30"/>
    <s v="0"/>
    <m/>
    <m/>
    <m/>
    <s v="0"/>
    <d v="1900-01-14T00:00:00"/>
    <d v="2017-02-23T00:00:00"/>
    <n v="42774"/>
    <d v="2017-03-10T00:00:00"/>
    <m/>
    <s v="0"/>
    <s v="0"/>
    <d v="1900-02-28T00:00:00"/>
    <s v="0"/>
    <n v="-60"/>
    <n v="9.6999999999999993"/>
    <n v="-9.6999999999999993"/>
    <m/>
    <m/>
    <m/>
    <m/>
    <m/>
    <m/>
    <m/>
    <m/>
  </r>
  <r>
    <s v="RPA Chaloupe"/>
    <x v="3"/>
    <x v="2"/>
    <x v="5"/>
    <s v="PRLC 0142"/>
    <s v="FVA"/>
    <s v="DBE"/>
    <s v="AO"/>
    <m/>
    <s v="CH 401"/>
    <s v="prorogation signée "/>
    <s v="Commune"/>
    <s v="BARET"/>
    <m/>
    <n v="4971"/>
    <n v="209480"/>
    <n v="104251"/>
    <n v="14962.857142857143"/>
    <n v="42.140414403540532"/>
    <n v="20.971836652584994"/>
    <n v="139.22223260907307"/>
    <n v="7446.5"/>
    <n v="355.07142857142856"/>
    <m/>
    <n v="0.15063568698451016"/>
    <s v="UD"/>
    <n v="850"/>
    <m/>
    <s v="LLTS"/>
    <n v="14"/>
    <m/>
    <n v="14"/>
    <n v="807.53"/>
    <n v="748.81"/>
    <n v="53.486428571428569"/>
    <n v="0.5714285714285714"/>
    <m/>
    <n v="0.42857142857142855"/>
    <m/>
    <m/>
    <n v="3037"/>
    <m/>
    <n v="0"/>
    <n v="1.5"/>
    <m/>
    <m/>
    <m/>
    <s v="non"/>
    <d v="2012-07-31T00:00:00"/>
    <s v="ok"/>
    <m/>
    <m/>
    <m/>
    <s v="L'Hospitalier"/>
    <s v="VERITAS"/>
    <m/>
    <d v="2013-05-07T00:00:00"/>
    <d v="2013-07-15T00:00:00"/>
    <d v="2013-08-16T00:00:00"/>
    <d v="2013-09-16T00:00:00"/>
    <m/>
    <m/>
    <m/>
    <m/>
    <m/>
    <s v="OFOI"/>
    <s v="Oui"/>
    <m/>
    <s v="Oui"/>
    <s v="Oui"/>
    <s v="LOGIS 4"/>
    <m/>
    <d v="2013-10-19T00:00:00"/>
    <m/>
    <m/>
    <s v="oui"/>
    <d v="2013-10-25T00:00:00"/>
    <d v="2013-10-29T00:00:00"/>
    <m/>
    <d v="2013-10-03T00:00:00"/>
    <d v="2013-11-05T00:00:00"/>
    <m/>
    <m/>
    <m/>
    <d v="1901-12-31T00:00:00"/>
    <d v="1902-12-31T00:00:00"/>
    <m/>
    <m/>
    <d v="2014-01-20T00:00:00"/>
    <s v="SO"/>
    <s v="SO"/>
    <s v="SO"/>
    <m/>
    <s v="SO"/>
    <s v="SO"/>
    <s v="SO"/>
    <m/>
    <s v="04/11/13 + 06/11/13"/>
    <d v="2013-12-16T00:00:00"/>
    <d v="2014-01-15T00:00:00"/>
    <m/>
    <s v="SO"/>
    <s v="SO"/>
    <s v="SO"/>
    <m/>
    <s v="QUINOT"/>
    <n v="34254"/>
    <n v="20552.400000000001"/>
    <s v="CR ok"/>
    <m/>
    <m/>
    <m/>
    <m/>
    <m/>
    <m/>
    <m/>
    <m/>
    <m/>
    <m/>
    <m/>
    <m/>
    <m/>
    <m/>
    <m/>
    <d v="1901-06-30T00:00:00"/>
    <m/>
    <m/>
    <m/>
    <m/>
    <m/>
    <m/>
    <m/>
    <n v="18"/>
    <n v="20"/>
    <n v="0"/>
    <n v="0"/>
    <n v="-18"/>
    <m/>
    <m/>
    <m/>
    <m/>
    <m/>
    <m/>
    <m/>
    <d v="1901-12-31T00:00:00"/>
    <m/>
    <m/>
    <m/>
    <m/>
    <m/>
    <d v="1900-01-30T00:00:00"/>
    <m/>
    <m/>
    <m/>
    <m/>
    <m/>
    <m/>
    <m/>
    <m/>
    <m/>
    <m/>
    <m/>
    <m/>
    <m/>
    <m/>
    <m/>
    <m/>
    <m/>
    <m/>
    <m/>
    <m/>
    <s v="oui"/>
    <n v="1500522.6257952091"/>
    <n v="1609567"/>
    <n v="109044.37420479092"/>
    <n v="1993.1977759340211"/>
    <n v="114969.07142857143"/>
    <n v="1293228.53"/>
    <n v="1456965.7441400001"/>
    <n v="163737.21414000005"/>
    <n v="0.92420012634885029"/>
    <n v="0.37990000000000002"/>
    <n v="396820.60513454932"/>
    <n v="479276"/>
    <n v="34234"/>
    <n v="82455.394865450682"/>
    <n v="823702.02066065976"/>
    <n v="850291"/>
    <n v="163692"/>
    <n v="686599"/>
    <n v="26588.979339340236"/>
    <n v="60735.071428571428"/>
    <m/>
    <n v="280000"/>
    <n v="280000"/>
    <m/>
    <n v="0.18660165144235175"/>
    <m/>
    <n v="0"/>
    <n v="0"/>
    <n v="20000"/>
    <n v="48344.328938182094"/>
    <n v="0"/>
    <n v="5.99"/>
    <n v="5.75"/>
    <n v="811033.48819999991"/>
    <n v="280000"/>
    <n v="68344.328938182094"/>
    <n v="413623.7"/>
    <n v="103778.55"/>
    <n v="0.61626560522264773"/>
    <n v="87767.712499999994"/>
    <m/>
    <n v="0"/>
    <n v="2311556.1139952089"/>
    <n v="64925"/>
    <n v="29250"/>
    <d v="2012-06-30T00:00:00"/>
    <n v="5850"/>
    <d v="2012-05-03T00:00:00"/>
    <d v="2012-05-24T00:00:00"/>
    <d v="2012-06-25T00:00:00"/>
    <n v="32"/>
    <d v="2012-07-03T00:00:00"/>
    <n v="8"/>
    <n v="-22"/>
    <n v="61"/>
    <d v="2012-07-04T00:00:00"/>
    <n v="1"/>
    <d v="2012-07-25T00:00:00"/>
    <d v="2012-07-26T00:00:00"/>
    <n v="1"/>
    <d v="2013-01-31T00:00:00"/>
    <n v="189"/>
    <n v="159"/>
    <n v="211"/>
    <m/>
    <m/>
    <m/>
    <d v="2013-02-06T00:00:00"/>
    <d v="2013-02-06T00:00:00"/>
    <n v="8775"/>
    <d v="2013-03-18T00:00:00"/>
    <n v="46"/>
    <d v="2013-04-17T00:00:00"/>
    <d v="2013-05-17T00:00:00"/>
    <n v="30"/>
    <d v="2013-09-30T00:00:00"/>
    <n v="136"/>
    <n v="106"/>
    <n v="196"/>
    <m/>
    <m/>
    <d v="2013-08-27T00:00:00"/>
    <n v="-34"/>
    <d v="2013-09-26T00:00:00"/>
    <d v="2013-10-07T00:00:00"/>
    <n v="11"/>
    <d v="2013-10-11T00:00:00"/>
    <n v="4"/>
    <n v="-26"/>
    <n v="45"/>
    <d v="2013-09-30T00:00:00"/>
    <n v="14625"/>
    <d v="2013-10-11T00:00:00"/>
    <n v="0"/>
    <d v="2013-10-26T00:00:00"/>
    <d v="2013-12-17T00:00:00"/>
    <n v="52"/>
    <d v="2014-01-01T00:00:00"/>
    <d v="2015-12-16T00:00:00"/>
    <n v="714"/>
    <n v="796"/>
    <d v="2017-05-24T00:00:00"/>
    <n v="525"/>
    <n v="465"/>
    <n v="9.6999999999999993"/>
    <n v="9.5666666666666664"/>
    <m/>
    <m/>
    <m/>
    <m/>
    <m/>
    <m/>
    <m/>
    <m/>
  </r>
  <r>
    <s v="VEFA KASKAVEL"/>
    <x v="12"/>
    <x v="2"/>
    <x v="7"/>
    <m/>
    <m/>
    <m/>
    <m/>
    <m/>
    <s v="AP 1220"/>
    <m/>
    <m/>
    <m/>
    <m/>
    <m/>
    <m/>
    <m/>
    <m/>
    <m/>
    <m/>
    <m/>
    <m/>
    <m/>
    <m/>
    <m/>
    <m/>
    <m/>
    <m/>
    <s v="LLS"/>
    <n v="55"/>
    <n v="55"/>
    <m/>
    <n v="4958.2299999999996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0205262"/>
    <n v="6365299"/>
    <n v="-3839963"/>
    <n v="2058.2469953995683"/>
    <n v="185550.21818181817"/>
    <m/>
    <m/>
    <n v="0"/>
    <n v="0"/>
    <n v="0.4"/>
    <n v="3329700"/>
    <m/>
    <n v="60540"/>
    <n v="-3329700"/>
    <n v="6365299"/>
    <n v="6365299"/>
    <m/>
    <m/>
    <n v="0"/>
    <n v="115732.70909090909"/>
    <m/>
    <n v="510263"/>
    <m/>
    <m/>
    <n v="4.9999990201133493E-2"/>
    <m/>
    <m/>
    <n v="-510263"/>
    <n v="9277.5090909090904"/>
    <n v="69817.509090909094"/>
    <n v="-9277.5090909090904"/>
    <m/>
    <m/>
    <m/>
    <m/>
    <n v="69817.509090909094"/>
    <m/>
    <n v="0"/>
    <n v="0.37627284826200447"/>
    <m/>
    <m/>
    <m/>
    <n v="102052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CROUS St Pierre"/>
    <x v="2"/>
    <x v="0"/>
    <x v="7"/>
    <m/>
    <m/>
    <m/>
    <m/>
    <m/>
    <s v="EN 1337 p"/>
    <m/>
    <m/>
    <m/>
    <m/>
    <m/>
    <m/>
    <m/>
    <m/>
    <m/>
    <m/>
    <m/>
    <m/>
    <m/>
    <m/>
    <m/>
    <m/>
    <m/>
    <m/>
    <s v="PLS"/>
    <n v="200"/>
    <m/>
    <n v="200"/>
    <n v="4327.35999999999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2921593"/>
    <m/>
    <n v="-12921593"/>
    <n v="2986.0221936700436"/>
    <n v="64607.964999999997"/>
    <m/>
    <m/>
    <n v="0"/>
    <e v="#DIV/0!"/>
    <m/>
    <n v="0"/>
    <m/>
    <n v="0"/>
    <n v="0"/>
    <n v="10921593"/>
    <m/>
    <m/>
    <m/>
    <n v="-10921593"/>
    <n v="54607.964999999997"/>
    <m/>
    <n v="2000000"/>
    <m/>
    <m/>
    <n v="0.1547796777069205"/>
    <m/>
    <m/>
    <n v="-2000000"/>
    <n v="10000"/>
    <n v="10000"/>
    <n v="-10000"/>
    <m/>
    <m/>
    <m/>
    <m/>
    <n v="10000"/>
    <m/>
    <n v="0"/>
    <n v="0.1547796777069205"/>
    <m/>
    <m/>
    <m/>
    <n v="12921593"/>
    <m/>
    <m/>
    <m/>
    <n v="0"/>
    <d v="2017-02-23T00:00:00"/>
    <d v="2017-03-16T00:00:00"/>
    <d v="2017-03-16T00:00:00"/>
    <n v="0"/>
    <d v="2017-03-16T00:00:00"/>
    <n v="0"/>
    <n v="-30"/>
    <n v="21"/>
    <d v="2017-04-15T00:00:00"/>
    <n v="30"/>
    <d v="2017-05-15T00:00:00"/>
    <d v="2017-05-15T00:00:00"/>
    <n v="0"/>
    <d v="2017-06-14T00:00:00"/>
    <n v="30"/>
    <n v="0"/>
    <n v="60"/>
    <m/>
    <n v="0"/>
    <d v="2017-06-29T00:00:00"/>
    <d v="2017-07-06T00:00:00"/>
    <m/>
    <n v="0"/>
    <d v="2017-07-27T00:00:00"/>
    <n v="43"/>
    <d v="2017-08-26T00:00:00"/>
    <d v="2017-08-26T00:00:00"/>
    <m/>
    <m/>
    <m/>
    <m/>
    <m/>
    <m/>
    <m/>
    <d v="1899-12-30T00:00:00"/>
    <s v="0"/>
    <d v="1900-01-29T00:00:00"/>
    <d v="2017-02-23T00:00:00"/>
    <n v="42759"/>
    <d v="1900-02-28T00:00:00"/>
    <n v="-42729"/>
    <n v="-42759"/>
    <s v="0"/>
    <m/>
    <m/>
    <d v="1900-02-28T00:00:00"/>
    <n v="0"/>
    <d v="1900-03-15T00:00:00"/>
    <d v="2017-02-23T00:00:00"/>
    <n v="42714"/>
    <d v="2017-04-09T00:00:00"/>
    <d v="2017-04-09T00:00:00"/>
    <n v="0"/>
    <n v="42774"/>
    <d v="2017-06-08T00:00:00"/>
    <n v="60"/>
    <n v="0"/>
    <n v="9.6999999999999993"/>
    <n v="1421.2333333333333"/>
    <m/>
    <m/>
    <m/>
    <m/>
    <m/>
    <m/>
    <m/>
    <m/>
  </r>
  <r>
    <s v="CROUS Tampon"/>
    <x v="1"/>
    <x v="1"/>
    <x v="7"/>
    <m/>
    <m/>
    <m/>
    <m/>
    <m/>
    <s v="BW 683 p"/>
    <m/>
    <m/>
    <m/>
    <m/>
    <m/>
    <m/>
    <m/>
    <m/>
    <m/>
    <m/>
    <m/>
    <m/>
    <m/>
    <m/>
    <m/>
    <m/>
    <m/>
    <m/>
    <s v="PLS"/>
    <n v="100"/>
    <m/>
    <n v="100"/>
    <n v="1868.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7092925"/>
    <m/>
    <n v="-7092925"/>
    <n v="3796.4390277844686"/>
    <n v="70929.25"/>
    <m/>
    <m/>
    <n v="0"/>
    <e v="#DIV/0!"/>
    <m/>
    <m/>
    <m/>
    <n v="0"/>
    <m/>
    <n v="6092925"/>
    <m/>
    <m/>
    <m/>
    <n v="-6092925"/>
    <n v="60929.25"/>
    <m/>
    <n v="1000000"/>
    <m/>
    <m/>
    <n v="0.14098555955406267"/>
    <m/>
    <m/>
    <n v="-1000000"/>
    <n v="10000"/>
    <n v="10000"/>
    <n v="-10000"/>
    <m/>
    <m/>
    <m/>
    <m/>
    <n v="10000"/>
    <m/>
    <n v="0"/>
    <n v="0.14098555955406267"/>
    <m/>
    <m/>
    <m/>
    <n v="7092925"/>
    <m/>
    <m/>
    <m/>
    <n v="0"/>
    <d v="2017-02-23T00:00:00"/>
    <d v="2017-03-16T00:00:00"/>
    <d v="2017-03-16T00:00:00"/>
    <n v="0"/>
    <d v="2017-03-16T00:00:00"/>
    <n v="0"/>
    <n v="-30"/>
    <n v="21"/>
    <d v="2017-04-15T00:00:00"/>
    <n v="30"/>
    <d v="2017-05-15T00:00:00"/>
    <d v="2017-05-15T00:00:00"/>
    <n v="0"/>
    <d v="2017-06-14T00:00:00"/>
    <n v="30"/>
    <n v="0"/>
    <n v="60"/>
    <m/>
    <n v="0"/>
    <d v="2017-06-29T00:00:00"/>
    <d v="2017-07-06T00:00:00"/>
    <m/>
    <n v="0"/>
    <d v="2017-07-27T00:00:00"/>
    <n v="43"/>
    <d v="2017-08-26T00:00:00"/>
    <d v="2017-08-26T00:00:00"/>
    <m/>
    <m/>
    <m/>
    <m/>
    <m/>
    <m/>
    <m/>
    <d v="1899-12-30T00:00:00"/>
    <s v="0"/>
    <d v="1900-01-29T00:00:00"/>
    <d v="2017-02-23T00:00:00"/>
    <n v="42759"/>
    <d v="1900-02-28T00:00:00"/>
    <n v="-42729"/>
    <n v="-42759"/>
    <s v="0"/>
    <m/>
    <m/>
    <d v="1900-02-28T00:00:00"/>
    <n v="0"/>
    <d v="1900-03-15T00:00:00"/>
    <d v="2017-02-23T00:00:00"/>
    <n v="42714"/>
    <d v="2017-04-09T00:00:00"/>
    <d v="2017-04-09T00:00:00"/>
    <n v="0"/>
    <n v="42774"/>
    <d v="2017-06-08T00:00:00"/>
    <n v="60"/>
    <n v="0"/>
    <n v="9.6999999999999993"/>
    <n v="1421.2333333333333"/>
    <m/>
    <m/>
    <m/>
    <m/>
    <m/>
    <m/>
    <m/>
    <m/>
  </r>
  <r>
    <s v="100 marches"/>
    <x v="5"/>
    <x v="1"/>
    <x v="7"/>
    <m/>
    <s v="JER"/>
    <s v="NLE"/>
    <m/>
    <m/>
    <s v="BR 617"/>
    <s v="manque beaucoup de justificatifs_x000a_acte sur BR 570 / 571 qui n'existent plus_x000a_récupérer fiche immeuble"/>
    <s v="SODEGIS"/>
    <s v="Esparon"/>
    <d v="1995-06-01T00:00:00"/>
    <m/>
    <m/>
    <m/>
    <m/>
    <m/>
    <m/>
    <m/>
    <m/>
    <m/>
    <m/>
    <m/>
    <m/>
    <m/>
    <m/>
    <s v="Rehab"/>
    <n v="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97036.08000000002"/>
    <m/>
    <m/>
    <e v="#DIV/0!"/>
    <n v="19703.608"/>
    <m/>
    <m/>
    <m/>
    <m/>
    <m/>
    <m/>
    <m/>
    <n v="0"/>
    <m/>
    <n v="77120.800000000003"/>
    <m/>
    <m/>
    <m/>
    <m/>
    <n v="7712.08"/>
    <m/>
    <n v="18200"/>
    <m/>
    <m/>
    <n v="9.236886970142727E-2"/>
    <n v="100000"/>
    <n v="1715.28"/>
    <n v="-18200"/>
    <n v="1820"/>
    <n v="1820"/>
    <n v="-1820"/>
    <m/>
    <m/>
    <m/>
    <m/>
    <n v="1820"/>
    <m/>
    <n v="1820"/>
    <n v="9.236886970142727E-2"/>
    <m/>
    <m/>
    <m/>
    <n v="197036.08000000002"/>
    <m/>
    <m/>
    <m/>
    <n v="0"/>
    <d v="2017-02-23T00:00:00"/>
    <d v="2017-03-16T00:00:00"/>
    <d v="2017-03-16T00:00:00"/>
    <n v="0"/>
    <d v="2017-03-16T00:00:00"/>
    <n v="0"/>
    <n v="-30"/>
    <n v="21"/>
    <d v="2017-04-15T00:00:00"/>
    <n v="30"/>
    <d v="2017-05-15T00:00:00"/>
    <d v="2017-05-15T00:00:00"/>
    <n v="0"/>
    <d v="2017-06-14T00:00:00"/>
    <n v="30"/>
    <n v="0"/>
    <n v="60"/>
    <m/>
    <n v="0"/>
    <d v="2017-06-29T00:00:00"/>
    <d v="2017-07-06T00:00:00"/>
    <m/>
    <n v="0"/>
    <d v="2017-07-27T00:00:00"/>
    <n v="43"/>
    <d v="2017-08-26T00:00:00"/>
    <d v="2017-08-26T00:00:00"/>
    <m/>
    <m/>
    <m/>
    <m/>
    <m/>
    <m/>
    <m/>
    <d v="1899-12-30T00:00:00"/>
    <s v="0"/>
    <d v="1900-01-29T00:00:00"/>
    <d v="2017-02-23T00:00:00"/>
    <n v="42759"/>
    <d v="1900-02-28T00:00:00"/>
    <n v="-42729"/>
    <n v="-42759"/>
    <s v="0"/>
    <m/>
    <m/>
    <d v="1900-02-28T00:00:00"/>
    <n v="0"/>
    <d v="1900-03-15T00:00:00"/>
    <d v="2017-02-23T00:00:00"/>
    <n v="42714"/>
    <d v="2017-04-09T00:00:00"/>
    <d v="2017-04-09T00:00:00"/>
    <n v="0"/>
    <n v="42774"/>
    <d v="2017-06-08T00:00:00"/>
    <n v="60"/>
    <n v="0"/>
    <n v="9.6999999999999993"/>
    <n v="1421.2333333333333"/>
    <m/>
    <m/>
    <m/>
    <m/>
    <m/>
    <m/>
    <m/>
    <m/>
  </r>
  <r>
    <s v="Bougainvillées"/>
    <x v="5"/>
    <x v="1"/>
    <x v="7"/>
    <m/>
    <s v="JER"/>
    <s v="EGI"/>
    <m/>
    <m/>
    <s v="BT 607"/>
    <s v="BT 130 / 319 / 111 : seule la BT 111 existe encore à ce jour_x000a_manque justificatifs des autres parcelles_x000a_récupérer fiche immeuble"/>
    <s v="SODEGIS"/>
    <s v="HOAREAU"/>
    <d v="1995-08-03T00:00:00"/>
    <m/>
    <m/>
    <m/>
    <m/>
    <m/>
    <m/>
    <m/>
    <m/>
    <m/>
    <m/>
    <m/>
    <m/>
    <m/>
    <m/>
    <s v="Rehab"/>
    <n v="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876580.21"/>
    <m/>
    <m/>
    <e v="#DIV/0!"/>
    <n v="33714.62346153846"/>
    <m/>
    <m/>
    <m/>
    <m/>
    <n v="0.4"/>
    <m/>
    <m/>
    <n v="0"/>
    <n v="0"/>
    <n v="617299.89"/>
    <m/>
    <m/>
    <m/>
    <m/>
    <n v="23742.30346153846"/>
    <m/>
    <n v="47320"/>
    <m/>
    <m/>
    <n v="5.3982510054613256E-2"/>
    <n v="210000"/>
    <n v="1960.32"/>
    <n v="-47320"/>
    <n v="1820"/>
    <n v="1820"/>
    <n v="-1820"/>
    <m/>
    <m/>
    <m/>
    <m/>
    <n v="1820"/>
    <m/>
    <n v="1820"/>
    <n v="5.3982510054613256E-2"/>
    <m/>
    <m/>
    <m/>
    <n v="876580.21"/>
    <m/>
    <m/>
    <m/>
    <n v="0"/>
    <d v="2016-11-14T00:00:00"/>
    <d v="2016-12-05T00:00:00"/>
    <d v="2016-12-12T00:00:00"/>
    <n v="7"/>
    <d v="2017-01-17T00:00:00"/>
    <n v="36"/>
    <n v="6"/>
    <n v="64"/>
    <d v="2017-02-16T00:00:00"/>
    <n v="30"/>
    <d v="2017-03-18T00:00:00"/>
    <d v="2017-03-18T00:00:00"/>
    <n v="0"/>
    <d v="2017-04-17T00:00:00"/>
    <n v="30"/>
    <n v="0"/>
    <n v="60"/>
    <m/>
    <n v="0"/>
    <d v="2017-05-02T00:00:00"/>
    <d v="2017-05-09T00:00:00"/>
    <m/>
    <n v="0"/>
    <d v="2017-05-30T00:00:00"/>
    <n v="43"/>
    <d v="2017-06-29T00:00:00"/>
    <d v="2017-06-29T00:00:00"/>
    <m/>
    <m/>
    <m/>
    <m/>
    <m/>
    <m/>
    <m/>
    <d v="1899-12-30T00:00:00"/>
    <s v="0"/>
    <d v="1900-01-29T00:00:00"/>
    <d v="2017-02-23T00:00:00"/>
    <n v="42759"/>
    <d v="1900-02-28T00:00:00"/>
    <n v="-42729"/>
    <n v="-42759"/>
    <s v="0"/>
    <m/>
    <m/>
    <d v="1900-02-28T00:00:00"/>
    <n v="0"/>
    <d v="1900-03-15T00:00:00"/>
    <d v="2017-02-23T00:00:00"/>
    <n v="42714"/>
    <d v="2017-04-09T00:00:00"/>
    <d v="2017-04-09T00:00:00"/>
    <n v="0"/>
    <n v="42774"/>
    <d v="2017-06-08T00:00:00"/>
    <n v="60"/>
    <n v="0"/>
    <n v="9.6999999999999993"/>
    <n v="1422.6666666666665"/>
    <m/>
    <m/>
    <m/>
    <m/>
    <m/>
    <m/>
    <m/>
    <m/>
  </r>
  <r>
    <s v="Bras des Etangs"/>
    <x v="13"/>
    <x v="0"/>
    <x v="7"/>
    <m/>
    <s v="JER"/>
    <s v="EGI"/>
    <m/>
    <m/>
    <s v="AI 1718"/>
    <s v="AE 44 / 45 /  46 / 48 n'existent plus au cadastre_x000a_récupérer fiche immeuble"/>
    <s v="SODEGIS"/>
    <s v="HOARAU"/>
    <d v="1997-05-19T00:00:00"/>
    <m/>
    <m/>
    <m/>
    <m/>
    <m/>
    <m/>
    <m/>
    <m/>
    <m/>
    <m/>
    <m/>
    <m/>
    <m/>
    <m/>
    <s v="Rehab"/>
    <n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692687.1400000001"/>
    <m/>
    <m/>
    <e v="#DIV/0!"/>
    <n v="54602.810967741942"/>
    <m/>
    <m/>
    <m/>
    <m/>
    <m/>
    <m/>
    <m/>
    <n v="0"/>
    <m/>
    <n v="1029089.3400000001"/>
    <m/>
    <m/>
    <m/>
    <m/>
    <n v="33196.430322580651"/>
    <m/>
    <n v="401760"/>
    <m/>
    <m/>
    <n v="0.23735041786871494"/>
    <n v="260000"/>
    <n v="1837.8"/>
    <n v="-401760"/>
    <n v="12960"/>
    <n v="12960"/>
    <n v="-12960"/>
    <m/>
    <m/>
    <m/>
    <m/>
    <n v="12960"/>
    <m/>
    <n v="12960"/>
    <n v="0.23735041786871494"/>
    <m/>
    <m/>
    <m/>
    <n v="1692687.1400000001"/>
    <m/>
    <m/>
    <m/>
    <n v="0"/>
    <d v="2016-11-15T00:00:00"/>
    <d v="2016-12-06T00:00:00"/>
    <d v="2016-12-15T00:00:00"/>
    <n v="9"/>
    <d v="2017-01-19T00:00:00"/>
    <n v="35"/>
    <n v="5"/>
    <n v="65"/>
    <d v="2017-02-18T00:00:00"/>
    <n v="30"/>
    <d v="2017-03-20T00:00:00"/>
    <d v="2017-03-20T00:00:00"/>
    <n v="0"/>
    <d v="2017-04-19T00:00:00"/>
    <n v="30"/>
    <n v="0"/>
    <n v="60"/>
    <m/>
    <n v="0"/>
    <d v="2017-05-04T00:00:00"/>
    <d v="2017-05-11T00:00:00"/>
    <m/>
    <n v="0"/>
    <d v="2017-06-01T00:00:00"/>
    <n v="43"/>
    <d v="2017-07-01T00:00:00"/>
    <d v="2017-07-01T00:00:00"/>
    <m/>
    <m/>
    <m/>
    <m/>
    <m/>
    <m/>
    <m/>
    <d v="1899-12-30T00:00:00"/>
    <s v="0"/>
    <d v="1900-01-29T00:00:00"/>
    <d v="2017-02-23T00:00:00"/>
    <n v="42759"/>
    <d v="1900-02-28T00:00:00"/>
    <n v="-42729"/>
    <n v="-42759"/>
    <s v="0"/>
    <m/>
    <m/>
    <d v="1900-02-28T00:00:00"/>
    <n v="0"/>
    <d v="1900-03-15T00:00:00"/>
    <d v="2017-02-23T00:00:00"/>
    <n v="42714"/>
    <d v="2017-04-09T00:00:00"/>
    <d v="2017-04-09T00:00:00"/>
    <n v="0"/>
    <n v="42774"/>
    <d v="2017-06-08T00:00:00"/>
    <n v="60"/>
    <n v="0"/>
    <n v="9.6999999999999993"/>
    <n v="1422.7"/>
    <m/>
    <m/>
    <m/>
    <m/>
    <m/>
    <m/>
    <m/>
    <m/>
  </r>
  <r>
    <s v="Caramboles"/>
    <x v="6"/>
    <x v="1"/>
    <x v="7"/>
    <m/>
    <s v="JER"/>
    <s v="KGI"/>
    <m/>
    <m/>
    <s v="AP 1375"/>
    <s v="AP 513 / AS 63 - 64 - n'existent plus au cadastre / manque des justificatifs_x000a_récupérer fiche immeuble"/>
    <s v="SODEGIS"/>
    <s v="HOARAU"/>
    <d v="1995-12-16T00:00:00"/>
    <m/>
    <m/>
    <m/>
    <m/>
    <m/>
    <m/>
    <m/>
    <m/>
    <m/>
    <m/>
    <m/>
    <m/>
    <m/>
    <m/>
    <s v="Rehab"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55209.97999999998"/>
    <m/>
    <m/>
    <e v="#DIV/0!"/>
    <n v="25868.329999999998"/>
    <m/>
    <m/>
    <m/>
    <m/>
    <m/>
    <m/>
    <m/>
    <n v="0"/>
    <m/>
    <n v="82574.7"/>
    <m/>
    <m/>
    <m/>
    <m/>
    <n v="13762.449999999999"/>
    <m/>
    <n v="10920"/>
    <m/>
    <m/>
    <n v="7.0356300542014125E-2"/>
    <n v="60000"/>
    <n v="1715.28"/>
    <n v="-10920"/>
    <n v="1820"/>
    <n v="1820"/>
    <n v="-1820"/>
    <m/>
    <m/>
    <m/>
    <m/>
    <n v="1820"/>
    <m/>
    <n v="1820"/>
    <n v="7.0356300542014125E-2"/>
    <m/>
    <m/>
    <m/>
    <n v="155209.97999999998"/>
    <m/>
    <m/>
    <m/>
    <n v="0"/>
    <d v="2016-11-28T00:00:00"/>
    <d v="2016-12-19T00:00:00"/>
    <d v="2016-12-16T00:00:00"/>
    <n v="-3"/>
    <d v="2016-12-19T00:00:00"/>
    <n v="3"/>
    <n v="-27"/>
    <n v="21"/>
    <d v="2017-01-18T00:00:00"/>
    <n v="30"/>
    <d v="2017-02-17T00:00:00"/>
    <d v="2017-02-23T00:00:00"/>
    <n v="6"/>
    <d v="2017-03-19T00:00:00"/>
    <n v="24"/>
    <n v="-6"/>
    <n v="60"/>
    <m/>
    <n v="0"/>
    <d v="2017-04-03T00:00:00"/>
    <d v="2017-04-10T00:00:00"/>
    <m/>
    <n v="0"/>
    <d v="2017-05-01T00:00:00"/>
    <n v="43"/>
    <d v="2017-05-31T00:00:00"/>
    <d v="2017-05-31T00:00:00"/>
    <m/>
    <m/>
    <m/>
    <m/>
    <m/>
    <m/>
    <m/>
    <d v="1899-12-30T00:00:00"/>
    <s v="0"/>
    <d v="1900-01-29T00:00:00"/>
    <d v="2017-02-23T00:00:00"/>
    <n v="42759"/>
    <d v="1900-02-28T00:00:00"/>
    <n v="-42729"/>
    <n v="-42759"/>
    <s v="0"/>
    <m/>
    <m/>
    <d v="1900-02-28T00:00:00"/>
    <n v="0"/>
    <d v="1900-03-15T00:00:00"/>
    <d v="2017-02-23T00:00:00"/>
    <n v="42714"/>
    <d v="2017-04-09T00:00:00"/>
    <d v="2017-04-09T00:00:00"/>
    <n v="0"/>
    <n v="42774"/>
    <d v="2017-06-08T00:00:00"/>
    <n v="60"/>
    <n v="0"/>
    <n v="9.6999999999999993"/>
    <n v="1421.2333333333333"/>
    <m/>
    <m/>
    <m/>
    <m/>
    <m/>
    <m/>
    <m/>
    <m/>
  </r>
  <r>
    <s v="Citronnelles"/>
    <x v="1"/>
    <x v="1"/>
    <x v="7"/>
    <m/>
    <s v="JER"/>
    <s v="NLE"/>
    <m/>
    <m/>
    <s v="BK 1082"/>
    <s v="RAS"/>
    <s v="SODEGIS"/>
    <s v="HOAREAU"/>
    <d v="1993-02-08T00:00:00"/>
    <m/>
    <m/>
    <m/>
    <m/>
    <m/>
    <m/>
    <m/>
    <m/>
    <m/>
    <m/>
    <m/>
    <m/>
    <m/>
    <m/>
    <s v="Rehab"/>
    <n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2090128.02"/>
    <m/>
    <m/>
    <e v="#DIV/0!"/>
    <n v="46447.289333333334"/>
    <m/>
    <m/>
    <m/>
    <m/>
    <m/>
    <m/>
    <m/>
    <n v="0"/>
    <m/>
    <n v="1398465.18"/>
    <m/>
    <m/>
    <m/>
    <m/>
    <n v="31077.003999999997"/>
    <m/>
    <n v="281250"/>
    <m/>
    <m/>
    <n v="0.1345611356379979"/>
    <n v="400000"/>
    <n v="10412.84"/>
    <n v="-281250"/>
    <n v="6250"/>
    <n v="6250"/>
    <n v="-6250"/>
    <m/>
    <m/>
    <m/>
    <m/>
    <n v="6250"/>
    <m/>
    <n v="6250"/>
    <n v="0.1345611356379979"/>
    <m/>
    <m/>
    <m/>
    <n v="2090128.02"/>
    <m/>
    <m/>
    <m/>
    <n v="0"/>
    <d v="2016-11-16T00:00:00"/>
    <d v="2016-12-06T00:00:00"/>
    <d v="2016-12-15T00:00:00"/>
    <n v="9"/>
    <d v="2017-01-31T00:00:00"/>
    <n v="47"/>
    <n v="17"/>
    <n v="76"/>
    <d v="2017-03-02T00:00:00"/>
    <n v="30"/>
    <d v="2017-04-01T00:00:00"/>
    <d v="2017-04-01T00:00:00"/>
    <n v="0"/>
    <d v="2017-05-01T00:00:00"/>
    <n v="30"/>
    <n v="0"/>
    <n v="60"/>
    <m/>
    <n v="0"/>
    <d v="2017-05-16T00:00:00"/>
    <d v="2017-05-23T00:00:00"/>
    <m/>
    <n v="0"/>
    <d v="2017-06-13T00:00:00"/>
    <n v="43"/>
    <d v="2017-07-13T00:00:00"/>
    <d v="2017-07-13T00:00:00"/>
    <m/>
    <m/>
    <m/>
    <m/>
    <m/>
    <m/>
    <m/>
    <d v="1899-12-30T00:00:00"/>
    <s v="0"/>
    <d v="1900-01-29T00:00:00"/>
    <d v="2017-02-23T00:00:00"/>
    <n v="42759"/>
    <d v="1900-02-28T00:00:00"/>
    <n v="-42729"/>
    <n v="-42759"/>
    <s v="0"/>
    <m/>
    <m/>
    <d v="1900-02-28T00:00:00"/>
    <n v="0"/>
    <d v="1900-03-15T00:00:00"/>
    <d v="2017-02-23T00:00:00"/>
    <n v="42714"/>
    <d v="2017-04-09T00:00:00"/>
    <d v="2017-04-09T00:00:00"/>
    <n v="0"/>
    <n v="42774"/>
    <d v="2017-06-08T00:00:00"/>
    <n v="60"/>
    <n v="0"/>
    <n v="9.6999999999999993"/>
    <n v="1423.0666666666666"/>
    <m/>
    <m/>
    <m/>
    <m/>
    <m/>
    <m/>
    <m/>
    <m/>
  </r>
  <r>
    <s v="Hubert Delisle"/>
    <x v="1"/>
    <x v="1"/>
    <x v="7"/>
    <m/>
    <s v="JER"/>
    <s v="KGI"/>
    <m/>
    <m/>
    <s v="BR 1091"/>
    <s v="pas de justificatif_x000a_récupérer fiche immeuble"/>
    <m/>
    <m/>
    <m/>
    <m/>
    <m/>
    <m/>
    <m/>
    <m/>
    <m/>
    <m/>
    <m/>
    <m/>
    <m/>
    <m/>
    <m/>
    <m/>
    <m/>
    <s v="Rehab"/>
    <n v="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3419294"/>
    <m/>
    <m/>
    <e v="#DIV/0!"/>
    <n v="46206.675675675673"/>
    <m/>
    <m/>
    <m/>
    <m/>
    <m/>
    <m/>
    <m/>
    <n v="0"/>
    <m/>
    <n v="2434712"/>
    <m/>
    <m/>
    <m/>
    <m/>
    <n v="32901.513513513513"/>
    <m/>
    <n v="462500"/>
    <m/>
    <m/>
    <n v="0.1352618406021828"/>
    <n v="520000"/>
    <n v="2082"/>
    <n v="-462500"/>
    <n v="6250"/>
    <n v="6250"/>
    <n v="-6250"/>
    <m/>
    <m/>
    <m/>
    <m/>
    <n v="6250"/>
    <m/>
    <n v="6250"/>
    <n v="0.1352618406021828"/>
    <m/>
    <m/>
    <m/>
    <n v="3419294"/>
    <m/>
    <m/>
    <m/>
    <n v="0"/>
    <d v="2016-11-28T00:00:00"/>
    <d v="2016-12-18T00:00:00"/>
    <d v="2016-12-23T00:00:00"/>
    <n v="5"/>
    <d v="2017-01-26T00:00:00"/>
    <n v="34"/>
    <n v="4"/>
    <n v="59"/>
    <d v="2017-02-25T00:00:00"/>
    <n v="30"/>
    <d v="2017-03-27T00:00:00"/>
    <d v="2017-03-27T00:00:00"/>
    <n v="0"/>
    <d v="2017-04-26T00:00:00"/>
    <n v="30"/>
    <n v="0"/>
    <n v="60"/>
    <m/>
    <n v="0"/>
    <d v="2017-05-11T00:00:00"/>
    <d v="2017-05-18T00:00:00"/>
    <m/>
    <n v="0"/>
    <d v="2017-06-08T00:00:00"/>
    <n v="43"/>
    <d v="2017-07-08T00:00:00"/>
    <d v="2017-07-08T00:00:00"/>
    <m/>
    <m/>
    <m/>
    <m/>
    <m/>
    <m/>
    <m/>
    <d v="1899-12-30T00:00:00"/>
    <s v="0"/>
    <d v="1900-01-29T00:00:00"/>
    <d v="2017-02-23T00:00:00"/>
    <n v="42759"/>
    <d v="1900-02-28T00:00:00"/>
    <n v="-42729"/>
    <n v="-42759"/>
    <s v="0"/>
    <m/>
    <m/>
    <d v="1900-02-28T00:00:00"/>
    <n v="0"/>
    <d v="1900-03-15T00:00:00"/>
    <d v="2017-02-23T00:00:00"/>
    <n v="42714"/>
    <d v="2017-04-09T00:00:00"/>
    <d v="2017-04-09T00:00:00"/>
    <n v="0"/>
    <n v="42774"/>
    <d v="2017-06-08T00:00:00"/>
    <n v="60"/>
    <n v="0"/>
    <n v="9.6999999999999993"/>
    <n v="1422.5"/>
    <m/>
    <m/>
    <m/>
    <m/>
    <m/>
    <m/>
    <m/>
    <m/>
  </r>
  <r>
    <s v="3 MARES"/>
    <x v="1"/>
    <x v="1"/>
    <x v="8"/>
    <m/>
    <m/>
    <m/>
    <m/>
    <m/>
    <s v="BT 920"/>
    <m/>
    <m/>
    <m/>
    <m/>
    <m/>
    <m/>
    <m/>
    <m/>
    <m/>
    <m/>
    <m/>
    <m/>
    <m/>
    <m/>
    <m/>
    <m/>
    <m/>
    <m/>
    <s v="LLTS"/>
    <n v="60"/>
    <m/>
    <n v="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d v="2017-02-23T00:00:00"/>
    <d v="2017-03-16T00:00:00"/>
    <d v="2017-03-16T00:00:00"/>
    <n v="0"/>
    <d v="2017-03-16T00:00:00"/>
    <n v="0"/>
    <n v="-30"/>
    <n v="21"/>
    <d v="2017-04-15T00:00:00"/>
    <n v="30"/>
    <d v="2017-05-15T00:00:00"/>
    <d v="2017-05-15T00:00:00"/>
    <n v="0"/>
    <d v="2017-06-14T00:00:00"/>
    <n v="30"/>
    <n v="0"/>
    <n v="60"/>
    <m/>
    <n v="0"/>
    <d v="2017-06-29T00:00:00"/>
    <d v="2017-07-06T00:00:00"/>
    <m/>
    <n v="0"/>
    <d v="2017-07-27T00:00:00"/>
    <n v="43"/>
    <d v="2017-08-26T00:00:00"/>
    <d v="2017-08-26T00:00:00"/>
    <m/>
    <m/>
    <m/>
    <m/>
    <m/>
    <m/>
    <m/>
    <d v="1899-12-30T00:00:00"/>
    <s v="0"/>
    <d v="1900-01-29T00:00:00"/>
    <d v="2017-02-23T00:00:00"/>
    <n v="42759"/>
    <d v="1900-02-28T00:00:00"/>
    <n v="-42729"/>
    <n v="-42759"/>
    <s v="0"/>
    <m/>
    <m/>
    <d v="1900-02-28T00:00:00"/>
    <n v="0"/>
    <d v="1900-03-15T00:00:00"/>
    <d v="2017-02-23T00:00:00"/>
    <n v="42714"/>
    <d v="2017-04-09T00:00:00"/>
    <d v="2017-04-09T00:00:00"/>
    <n v="0"/>
    <n v="42774"/>
    <d v="2017-06-08T00:00:00"/>
    <n v="60"/>
    <n v="0"/>
    <n v="9.6999999999999993"/>
    <n v="1421.2333333333333"/>
    <m/>
    <m/>
    <m/>
    <m/>
    <m/>
    <m/>
    <m/>
    <m/>
  </r>
  <r>
    <s v="Arizona"/>
    <x v="1"/>
    <x v="1"/>
    <x v="8"/>
    <m/>
    <s v="FVA"/>
    <m/>
    <s v="Faisa"/>
    <m/>
    <s v="CX 759 p"/>
    <s v="courrier envoyé à la Mairie sur prix du foncier : pas de réponse"/>
    <m/>
    <m/>
    <m/>
    <m/>
    <m/>
    <m/>
    <m/>
    <m/>
    <m/>
    <m/>
    <m/>
    <m/>
    <m/>
    <e v="#DIV/0!"/>
    <m/>
    <m/>
    <m/>
    <s v="LLTS"/>
    <n v="29"/>
    <m/>
    <n v="29"/>
    <n v="2492.96999999999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6279539.0745284017"/>
    <m/>
    <n v="-6279539.0745284017"/>
    <n v="2518.8987731614911"/>
    <n v="216535.83015615179"/>
    <n v="5654394.4334999993"/>
    <m/>
    <n v="-5654394.4334999993"/>
    <e v="#DIV/0!"/>
    <n v="0.4"/>
    <n v="2048467.0042442095"/>
    <m/>
    <n v="70636.793249800321"/>
    <n v="-2048467.0042442095"/>
    <n v="2952586.880284193"/>
    <m/>
    <m/>
    <m/>
    <n v="-2952586.880284193"/>
    <n v="101813.34069945493"/>
    <m/>
    <n v="580000"/>
    <m/>
    <m/>
    <n v="9.2363466986397955E-2"/>
    <m/>
    <m/>
    <n v="-580000"/>
    <n v="20000"/>
    <n v="90636.793249800321"/>
    <n v="-20000"/>
    <m/>
    <m/>
    <m/>
    <m/>
    <n v="90636.793249800321"/>
    <m/>
    <n v="0"/>
    <n v="0.41857642305404547"/>
    <m/>
    <m/>
    <n v="698485.19"/>
    <n v="6279539.0745284017"/>
    <n v="192726"/>
    <n v="19273"/>
    <d v="2016-07-28T00:00:00"/>
    <n v="19273"/>
    <d v="2016-09-06T00:00:00"/>
    <d v="2016-09-27T00:00:00"/>
    <d v="2016-09-22T00:00:00"/>
    <n v="-5"/>
    <d v="2016-09-27T00:00:00"/>
    <n v="5"/>
    <n v="-25"/>
    <n v="21"/>
    <d v="2016-10-02T00:00:00"/>
    <n v="5"/>
    <d v="2016-11-01T00:00:00"/>
    <d v="2016-11-01T00:00:00"/>
    <n v="0"/>
    <d v="2016-11-16T00:00:00"/>
    <n v="15"/>
    <n v="-15"/>
    <n v="45"/>
    <m/>
    <n v="9636.3000000000011"/>
    <d v="2016-12-01T00:00:00"/>
    <d v="2016-12-08T00:00:00"/>
    <m/>
    <n v="19272.600000000002"/>
    <d v="2016-12-29T00:00:00"/>
    <n v="43"/>
    <d v="2017-01-28T00:00:00"/>
    <d v="2017-02-23T00:00:00"/>
    <n v="26"/>
    <d v="2017-02-27T00:00:00"/>
    <n v="4"/>
    <n v="-26"/>
    <n v="60"/>
    <m/>
    <n v="19272.600000000002"/>
    <d v="2017-02-27T00:00:00"/>
    <n v="0"/>
    <d v="2017-03-29T00:00:00"/>
    <d v="2017-03-29T00:00:00"/>
    <n v="0"/>
    <d v="2017-04-28T00:00:00"/>
    <n v="30"/>
    <n v="0"/>
    <n v="60"/>
    <m/>
    <n v="34029.599999999999"/>
    <d v="2017-04-28T00:00:00"/>
    <n v="0"/>
    <d v="2017-05-13T00:00:00"/>
    <d v="2017-05-13T00:00:00"/>
    <n v="0"/>
    <d v="2017-06-27T00:00:00"/>
    <d v="2017-06-27T00:00:00"/>
    <n v="0"/>
    <n v="60"/>
    <d v="2017-08-26T00:00:00"/>
    <n v="60"/>
    <n v="0"/>
    <n v="9.6999999999999993"/>
    <n v="0.10000000000000142"/>
    <m/>
    <m/>
    <m/>
    <m/>
    <m/>
    <m/>
    <m/>
    <m/>
  </r>
  <r>
    <s v="JEAN PETIT"/>
    <x v="5"/>
    <x v="1"/>
    <x v="8"/>
    <m/>
    <m/>
    <m/>
    <m/>
    <m/>
    <s v="CE 1289-775"/>
    <m/>
    <m/>
    <m/>
    <m/>
    <m/>
    <m/>
    <m/>
    <m/>
    <m/>
    <m/>
    <m/>
    <m/>
    <m/>
    <m/>
    <m/>
    <m/>
    <m/>
    <m/>
    <s v="LLTS"/>
    <n v="22"/>
    <m/>
    <n v="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4182384"/>
    <n v="2298363"/>
    <n v="-1884021"/>
    <e v="#DIV/0!"/>
    <n v="104471.04545454546"/>
    <m/>
    <m/>
    <n v="0"/>
    <n v="0"/>
    <m/>
    <n v="1334021"/>
    <m/>
    <n v="0"/>
    <n v="-1334021"/>
    <n v="2298363"/>
    <n v="2298363"/>
    <m/>
    <m/>
    <n v="0"/>
    <n v="104471.04545454546"/>
    <m/>
    <n v="550000"/>
    <m/>
    <m/>
    <n v="0"/>
    <m/>
    <m/>
    <n v="-550000"/>
    <n v="0"/>
    <n v="85637.318181818177"/>
    <n v="-25000"/>
    <m/>
    <m/>
    <m/>
    <m/>
    <n v="85637.318181818177"/>
    <m/>
    <n v="0"/>
    <n v="0.45046581088680521"/>
    <m/>
    <m/>
    <m/>
    <n v="4182384"/>
    <m/>
    <m/>
    <m/>
    <n v="0"/>
    <d v="2017-02-23T00:00:00"/>
    <d v="2017-03-16T00:00:00"/>
    <d v="2017-03-16T00:00:00"/>
    <n v="0"/>
    <d v="2017-03-16T00:00:00"/>
    <n v="0"/>
    <n v="-30"/>
    <n v="21"/>
    <d v="2017-04-15T00:00:00"/>
    <n v="30"/>
    <d v="2017-05-15T00:00:00"/>
    <d v="2017-05-15T00:00:00"/>
    <n v="0"/>
    <d v="2017-06-14T00:00:00"/>
    <n v="30"/>
    <n v="0"/>
    <n v="60"/>
    <m/>
    <n v="0"/>
    <d v="2017-06-29T00:00:00"/>
    <d v="2017-07-06T00:00:00"/>
    <m/>
    <n v="0"/>
    <d v="2017-07-27T00:00:00"/>
    <n v="43"/>
    <d v="2017-08-26T00:00:00"/>
    <d v="2017-08-26T00:00:00"/>
    <m/>
    <m/>
    <m/>
    <m/>
    <m/>
    <m/>
    <m/>
    <d v="1899-12-30T00:00:00"/>
    <s v="0"/>
    <d v="1900-01-29T00:00:00"/>
    <d v="2017-02-23T00:00:00"/>
    <n v="42759"/>
    <d v="1900-02-28T00:00:00"/>
    <n v="-42729"/>
    <n v="-42759"/>
    <s v="0"/>
    <m/>
    <m/>
    <d v="1900-02-28T00:00:00"/>
    <n v="0"/>
    <d v="1900-03-15T00:00:00"/>
    <d v="2017-02-23T00:00:00"/>
    <n v="42714"/>
    <d v="2017-04-09T00:00:00"/>
    <d v="2017-04-09T00:00:00"/>
    <n v="0"/>
    <n v="42774"/>
    <d v="2017-06-08T00:00:00"/>
    <n v="60"/>
    <n v="0"/>
    <n v="9.6999999999999993"/>
    <n v="1421.2333333333333"/>
    <m/>
    <m/>
    <m/>
    <m/>
    <m/>
    <m/>
    <m/>
    <m/>
  </r>
  <r>
    <s v="RPA Alamandas"/>
    <x v="5"/>
    <x v="1"/>
    <x v="8"/>
    <m/>
    <m/>
    <m/>
    <m/>
    <m/>
    <m/>
    <m/>
    <m/>
    <m/>
    <m/>
    <m/>
    <m/>
    <m/>
    <m/>
    <m/>
    <m/>
    <m/>
    <m/>
    <m/>
    <m/>
    <m/>
    <m/>
    <m/>
    <m/>
    <s v="LLTS"/>
    <n v="15"/>
    <m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d v="2017-02-23T00:00:00"/>
    <d v="2017-03-16T00:00:00"/>
    <d v="2017-03-16T00:00:00"/>
    <n v="0"/>
    <d v="2017-03-16T00:00:00"/>
    <n v="0"/>
    <n v="-30"/>
    <n v="21"/>
    <d v="2017-04-15T00:00:00"/>
    <n v="30"/>
    <d v="2017-05-15T00:00:00"/>
    <d v="2017-05-15T00:00:00"/>
    <n v="0"/>
    <d v="2017-06-14T00:00:00"/>
    <n v="30"/>
    <n v="0"/>
    <n v="60"/>
    <m/>
    <n v="0"/>
    <d v="2017-06-29T00:00:00"/>
    <d v="2017-07-06T00:00:00"/>
    <m/>
    <n v="0"/>
    <d v="2017-07-27T00:00:00"/>
    <n v="43"/>
    <d v="2017-08-26T00:00:00"/>
    <d v="2017-08-26T00:00:00"/>
    <m/>
    <m/>
    <m/>
    <m/>
    <m/>
    <m/>
    <m/>
    <d v="1899-12-30T00:00:00"/>
    <s v="0"/>
    <d v="1900-01-29T00:00:00"/>
    <d v="2017-02-23T00:00:00"/>
    <n v="42759"/>
    <d v="1900-02-28T00:00:00"/>
    <n v="-42729"/>
    <n v="-42759"/>
    <s v="0"/>
    <m/>
    <m/>
    <d v="1900-02-28T00:00:00"/>
    <n v="0"/>
    <d v="1900-03-15T00:00:00"/>
    <d v="2017-02-23T00:00:00"/>
    <n v="42714"/>
    <d v="2017-04-09T00:00:00"/>
    <d v="2017-04-09T00:00:00"/>
    <n v="0"/>
    <n v="42774"/>
    <d v="2017-06-08T00:00:00"/>
    <n v="60"/>
    <n v="0"/>
    <n v="9.6999999999999993"/>
    <n v="1421.2333333333333"/>
    <m/>
    <m/>
    <m/>
    <m/>
    <m/>
    <m/>
    <m/>
    <m/>
  </r>
  <r>
    <s v="Bellevue A-B-C"/>
    <x v="1"/>
    <x v="1"/>
    <x v="8"/>
    <m/>
    <s v="JER"/>
    <m/>
    <m/>
    <m/>
    <s v="BW 2862"/>
    <s v="Acte sur BW 1750 / 1752 / 1789_x000a_manque les justificatifs sur les autres parcelles"/>
    <s v="SODEGIS"/>
    <s v="Poudroux"/>
    <d v="1995-08-01T00:00:00"/>
    <m/>
    <m/>
    <m/>
    <m/>
    <m/>
    <m/>
    <m/>
    <m/>
    <m/>
    <m/>
    <m/>
    <m/>
    <m/>
    <m/>
    <s v="Rehab"/>
    <n v="1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7248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n v="0"/>
    <n v="0"/>
    <m/>
    <m/>
    <m/>
    <n v="1724880"/>
    <m/>
    <m/>
    <m/>
    <n v="0"/>
    <d v="2017-02-23T00:00:00"/>
    <d v="2017-03-16T00:00:00"/>
    <d v="2017-03-16T00:00:00"/>
    <n v="0"/>
    <d v="2017-03-16T00:00:00"/>
    <n v="0"/>
    <n v="-30"/>
    <n v="21"/>
    <d v="2017-04-15T00:00:00"/>
    <n v="30"/>
    <d v="2017-05-15T00:00:00"/>
    <d v="2017-05-15T00:00:00"/>
    <n v="0"/>
    <d v="2017-06-14T00:00:00"/>
    <n v="30"/>
    <n v="0"/>
    <n v="60"/>
    <m/>
    <n v="0"/>
    <d v="2017-06-29T00:00:00"/>
    <d v="2017-07-06T00:00:00"/>
    <m/>
    <n v="0"/>
    <d v="2017-07-27T00:00:00"/>
    <n v="43"/>
    <d v="2017-08-26T00:00:00"/>
    <d v="2017-08-26T00:00:00"/>
    <m/>
    <m/>
    <m/>
    <m/>
    <m/>
    <m/>
    <m/>
    <d v="1899-12-30T00:00:00"/>
    <s v="0"/>
    <d v="1900-01-29T00:00:00"/>
    <d v="2017-02-23T00:00:00"/>
    <n v="42759"/>
    <d v="1900-02-28T00:00:00"/>
    <n v="-42729"/>
    <n v="-42759"/>
    <s v="0"/>
    <m/>
    <m/>
    <d v="1900-02-28T00:00:00"/>
    <n v="0"/>
    <d v="1900-03-15T00:00:00"/>
    <d v="2017-02-23T00:00:00"/>
    <n v="42714"/>
    <d v="2017-04-09T00:00:00"/>
    <d v="2017-04-09T00:00:00"/>
    <n v="0"/>
    <n v="42774"/>
    <d v="2017-06-08T00:00:00"/>
    <n v="60"/>
    <n v="0"/>
    <n v="9.6999999999999993"/>
    <n v="1421.2333333333333"/>
    <m/>
    <m/>
    <m/>
    <m/>
    <m/>
    <m/>
    <m/>
    <m/>
  </r>
  <r>
    <s v="BY 644"/>
    <x v="1"/>
    <x v="1"/>
    <x v="8"/>
    <m/>
    <m/>
    <m/>
    <m/>
    <m/>
    <s v="BY 644"/>
    <m/>
    <m/>
    <m/>
    <m/>
    <m/>
    <m/>
    <m/>
    <m/>
    <m/>
    <m/>
    <m/>
    <m/>
    <m/>
    <m/>
    <m/>
    <m/>
    <m/>
    <m/>
    <s v="LLTS"/>
    <n v="70"/>
    <m/>
    <n v="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d v="2017-02-23T00:00:00"/>
    <d v="2017-03-16T00:00:00"/>
    <d v="2017-03-16T00:00:00"/>
    <n v="0"/>
    <d v="2017-03-16T00:00:00"/>
    <n v="0"/>
    <n v="-30"/>
    <n v="21"/>
    <d v="2017-04-15T00:00:00"/>
    <n v="30"/>
    <d v="2017-05-15T00:00:00"/>
    <d v="2017-05-15T00:00:00"/>
    <n v="0"/>
    <d v="2017-06-14T00:00:00"/>
    <n v="30"/>
    <n v="0"/>
    <n v="60"/>
    <m/>
    <n v="0"/>
    <d v="2017-06-29T00:00:00"/>
    <d v="2017-07-06T00:00:00"/>
    <m/>
    <n v="0"/>
    <d v="2017-07-27T00:00:00"/>
    <n v="43"/>
    <d v="2017-08-26T00:00:00"/>
    <d v="2017-08-26T00:00:00"/>
    <m/>
    <m/>
    <m/>
    <m/>
    <m/>
    <m/>
    <m/>
    <d v="1899-12-30T00:00:00"/>
    <s v="0"/>
    <d v="1900-01-29T00:00:00"/>
    <d v="2017-02-23T00:00:00"/>
    <n v="42759"/>
    <d v="1900-02-28T00:00:00"/>
    <n v="-42729"/>
    <n v="-42759"/>
    <s v="0"/>
    <m/>
    <m/>
    <d v="1900-02-28T00:00:00"/>
    <n v="0"/>
    <d v="1900-03-15T00:00:00"/>
    <d v="2017-02-23T00:00:00"/>
    <n v="42714"/>
    <d v="2017-04-09T00:00:00"/>
    <d v="2017-04-09T00:00:00"/>
    <n v="0"/>
    <n v="42774"/>
    <d v="2017-06-08T00:00:00"/>
    <n v="60"/>
    <n v="0"/>
    <n v="9.6999999999999993"/>
    <n v="1421.2333333333333"/>
    <m/>
    <m/>
    <m/>
    <m/>
    <m/>
    <m/>
    <m/>
    <m/>
  </r>
  <r>
    <s v="Canal Lilis"/>
    <x v="5"/>
    <x v="1"/>
    <x v="8"/>
    <m/>
    <s v="JER"/>
    <m/>
    <m/>
    <m/>
    <s v="BN 1004"/>
    <s v="BN 787 / 789 n'existent plus au cadastre"/>
    <s v="SODEGIS"/>
    <s v="Esparon"/>
    <s v="29/04/1994_x000a_27/07/93"/>
    <m/>
    <m/>
    <m/>
    <m/>
    <m/>
    <m/>
    <m/>
    <m/>
    <m/>
    <m/>
    <m/>
    <m/>
    <m/>
    <m/>
    <s v="Rehab"/>
    <n v="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426835"/>
    <m/>
    <m/>
    <m/>
    <m/>
    <m/>
    <m/>
    <m/>
    <m/>
    <m/>
    <m/>
    <m/>
    <m/>
    <m/>
    <m/>
    <m/>
    <m/>
    <m/>
    <m/>
    <m/>
    <m/>
    <m/>
    <m/>
    <m/>
    <e v="#DIV/0!"/>
    <m/>
    <m/>
    <m/>
    <m/>
    <m/>
    <m/>
    <m/>
    <m/>
    <m/>
    <m/>
    <n v="0"/>
    <m/>
    <n v="0"/>
    <n v="0"/>
    <m/>
    <m/>
    <m/>
    <n v="426835"/>
    <m/>
    <m/>
    <m/>
    <n v="0"/>
    <d v="2017-02-23T00:00:00"/>
    <d v="2017-03-16T00:00:00"/>
    <d v="2017-03-16T00:00:00"/>
    <n v="0"/>
    <d v="2017-03-16T00:00:00"/>
    <n v="0"/>
    <n v="-30"/>
    <n v="21"/>
    <d v="2017-04-15T00:00:00"/>
    <n v="30"/>
    <d v="2017-05-15T00:00:00"/>
    <d v="2017-05-15T00:00:00"/>
    <n v="0"/>
    <d v="2017-06-14T00:00:00"/>
    <n v="30"/>
    <n v="0"/>
    <n v="60"/>
    <m/>
    <n v="0"/>
    <d v="2017-06-29T00:00:00"/>
    <d v="2017-07-06T00:00:00"/>
    <m/>
    <n v="0"/>
    <d v="2017-07-27T00:00:00"/>
    <n v="43"/>
    <d v="2017-08-26T00:00:00"/>
    <d v="2017-08-26T00:00:00"/>
    <m/>
    <m/>
    <m/>
    <m/>
    <m/>
    <m/>
    <m/>
    <d v="1899-12-30T00:00:00"/>
    <s v="0"/>
    <d v="1900-01-29T00:00:00"/>
    <d v="2017-02-23T00:00:00"/>
    <n v="42759"/>
    <d v="1900-02-28T00:00:00"/>
    <n v="-42729"/>
    <n v="-42759"/>
    <s v="0"/>
    <m/>
    <m/>
    <d v="1900-02-28T00:00:00"/>
    <n v="0"/>
    <d v="1900-03-15T00:00:00"/>
    <d v="2017-02-23T00:00:00"/>
    <n v="42714"/>
    <d v="2017-04-09T00:00:00"/>
    <d v="2017-04-09T00:00:00"/>
    <n v="0"/>
    <n v="42774"/>
    <d v="2017-06-08T00:00:00"/>
    <n v="60"/>
    <n v="0"/>
    <n v="9.6999999999999993"/>
    <n v="1421.2333333333333"/>
    <m/>
    <m/>
    <m/>
    <m/>
    <m/>
    <m/>
    <m/>
    <m/>
  </r>
  <r>
    <s v="La Cure"/>
    <x v="5"/>
    <x v="1"/>
    <x v="8"/>
    <m/>
    <s v="JER"/>
    <m/>
    <m/>
    <m/>
    <s v="BN 781"/>
    <s v="manque les autres parcelles"/>
    <s v="SODEGIS"/>
    <s v="LAGOURGUE"/>
    <d v="1993-01-25T00:00:00"/>
    <m/>
    <m/>
    <m/>
    <m/>
    <m/>
    <m/>
    <m/>
    <m/>
    <m/>
    <m/>
    <m/>
    <m/>
    <m/>
    <m/>
    <s v="Rehab"/>
    <n v="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648812.5"/>
    <m/>
    <m/>
    <m/>
    <m/>
    <m/>
    <m/>
    <m/>
    <m/>
    <m/>
    <m/>
    <m/>
    <m/>
    <m/>
    <m/>
    <m/>
    <m/>
    <m/>
    <m/>
    <m/>
    <m/>
    <m/>
    <m/>
    <m/>
    <e v="#DIV/0!"/>
    <m/>
    <m/>
    <m/>
    <m/>
    <m/>
    <m/>
    <m/>
    <m/>
    <m/>
    <m/>
    <n v="0"/>
    <m/>
    <n v="0"/>
    <n v="0"/>
    <m/>
    <m/>
    <m/>
    <n v="648812.5"/>
    <m/>
    <m/>
    <m/>
    <n v="0"/>
    <d v="2017-02-23T00:00:00"/>
    <d v="2017-03-16T00:00:00"/>
    <d v="2017-03-16T00:00:00"/>
    <n v="0"/>
    <d v="2017-03-16T00:00:00"/>
    <n v="0"/>
    <n v="-30"/>
    <n v="21"/>
    <d v="2017-04-15T00:00:00"/>
    <n v="30"/>
    <d v="2017-05-15T00:00:00"/>
    <d v="2017-05-15T00:00:00"/>
    <n v="0"/>
    <d v="2017-06-14T00:00:00"/>
    <n v="30"/>
    <n v="0"/>
    <n v="60"/>
    <m/>
    <n v="0"/>
    <d v="2017-06-29T00:00:00"/>
    <d v="2017-07-06T00:00:00"/>
    <m/>
    <n v="0"/>
    <d v="2017-07-27T00:00:00"/>
    <n v="43"/>
    <d v="2017-08-26T00:00:00"/>
    <d v="2017-08-26T00:00:00"/>
    <m/>
    <m/>
    <m/>
    <m/>
    <m/>
    <m/>
    <m/>
    <d v="1899-12-30T00:00:00"/>
    <s v="0"/>
    <d v="1900-01-29T00:00:00"/>
    <d v="2017-02-23T00:00:00"/>
    <n v="42759"/>
    <d v="1900-02-28T00:00:00"/>
    <n v="-42729"/>
    <n v="-42759"/>
    <s v="0"/>
    <m/>
    <m/>
    <d v="1900-02-28T00:00:00"/>
    <n v="0"/>
    <d v="1900-03-15T00:00:00"/>
    <d v="2017-02-23T00:00:00"/>
    <n v="42714"/>
    <d v="2017-04-09T00:00:00"/>
    <d v="2017-04-09T00:00:00"/>
    <n v="0"/>
    <n v="42774"/>
    <d v="2017-06-08T00:00:00"/>
    <n v="60"/>
    <n v="0"/>
    <n v="9.6999999999999993"/>
    <n v="1421.2333333333333"/>
    <m/>
    <m/>
    <m/>
    <m/>
    <m/>
    <m/>
    <m/>
    <m/>
  </r>
  <r>
    <s v="Poinsétias"/>
    <x v="6"/>
    <x v="1"/>
    <x v="8"/>
    <m/>
    <s v="JER"/>
    <m/>
    <m/>
    <m/>
    <s v="AS 1450"/>
    <s v="AS 62, 63, 64, 513 v n'existent plus au cadastre"/>
    <s v="SODEGIS"/>
    <s v="HOARAU"/>
    <d v="1993-12-16T00:00:00"/>
    <m/>
    <m/>
    <m/>
    <m/>
    <m/>
    <m/>
    <m/>
    <m/>
    <m/>
    <m/>
    <m/>
    <m/>
    <m/>
    <m/>
    <s v="Rehab"/>
    <n v="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420538.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n v="0"/>
    <n v="0"/>
    <m/>
    <m/>
    <m/>
    <n v="420538.46"/>
    <m/>
    <m/>
    <m/>
    <n v="0"/>
    <d v="2017-02-23T00:00:00"/>
    <d v="2017-03-16T00:00:00"/>
    <d v="2017-03-16T00:00:00"/>
    <n v="0"/>
    <d v="2017-03-16T00:00:00"/>
    <n v="0"/>
    <n v="-30"/>
    <n v="21"/>
    <d v="2017-04-15T00:00:00"/>
    <n v="30"/>
    <d v="2017-05-15T00:00:00"/>
    <d v="2017-05-15T00:00:00"/>
    <n v="0"/>
    <d v="2017-06-14T00:00:00"/>
    <n v="30"/>
    <n v="0"/>
    <n v="60"/>
    <m/>
    <n v="0"/>
    <d v="2017-06-29T00:00:00"/>
    <d v="2017-07-06T00:00:00"/>
    <m/>
    <n v="0"/>
    <d v="2017-07-27T00:00:00"/>
    <n v="43"/>
    <d v="2017-08-26T00:00:00"/>
    <d v="2017-08-26T00:00:00"/>
    <m/>
    <m/>
    <m/>
    <m/>
    <m/>
    <m/>
    <m/>
    <d v="1899-12-30T00:00:00"/>
    <s v="0"/>
    <d v="1900-01-29T00:00:00"/>
    <d v="2017-02-23T00:00:00"/>
    <n v="42759"/>
    <d v="1900-02-28T00:00:00"/>
    <n v="-42729"/>
    <n v="-42759"/>
    <s v="0"/>
    <m/>
    <m/>
    <d v="1900-02-28T00:00:00"/>
    <n v="0"/>
    <d v="1900-03-15T00:00:00"/>
    <d v="2017-02-23T00:00:00"/>
    <n v="42714"/>
    <d v="2017-04-09T00:00:00"/>
    <d v="2017-04-09T00:00:00"/>
    <n v="0"/>
    <n v="42774"/>
    <d v="2017-06-08T00:00:00"/>
    <n v="60"/>
    <n v="0"/>
    <n v="9.6999999999999993"/>
    <n v="1421.2333333333333"/>
    <m/>
    <m/>
    <m/>
    <m/>
    <m/>
    <m/>
    <m/>
    <m/>
  </r>
  <r>
    <s v="VEFA ANTARES"/>
    <x v="1"/>
    <x v="1"/>
    <x v="8"/>
    <m/>
    <m/>
    <m/>
    <m/>
    <m/>
    <m/>
    <m/>
    <m/>
    <m/>
    <m/>
    <m/>
    <m/>
    <m/>
    <m/>
    <m/>
    <m/>
    <m/>
    <m/>
    <m/>
    <m/>
    <m/>
    <m/>
    <m/>
    <m/>
    <s v="LLTS"/>
    <n v="43"/>
    <m/>
    <n v="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7310000"/>
    <m/>
    <m/>
    <e v="#DIV/0!"/>
    <n v="170000"/>
    <m/>
    <m/>
    <m/>
    <m/>
    <m/>
    <m/>
    <m/>
    <n v="0"/>
    <m/>
    <m/>
    <m/>
    <m/>
    <m/>
    <m/>
    <n v="0"/>
    <m/>
    <n v="860000"/>
    <m/>
    <m/>
    <n v="0.11764705882352941"/>
    <m/>
    <m/>
    <m/>
    <n v="20000"/>
    <n v="20000"/>
    <m/>
    <m/>
    <m/>
    <m/>
    <m/>
    <m/>
    <m/>
    <m/>
    <m/>
    <m/>
    <m/>
    <m/>
    <n v="73100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7-02-23T00:00:00"/>
    <m/>
    <m/>
    <m/>
    <m/>
    <m/>
    <m/>
    <m/>
    <m/>
    <m/>
    <m/>
    <m/>
    <m/>
    <m/>
    <m/>
    <m/>
    <m/>
    <m/>
    <m/>
  </r>
  <r>
    <s v="VEFA BOIS DE SOURCE"/>
    <x v="9"/>
    <x v="2"/>
    <x v="8"/>
    <m/>
    <m/>
    <m/>
    <m/>
    <m/>
    <m/>
    <m/>
    <m/>
    <m/>
    <m/>
    <m/>
    <m/>
    <m/>
    <m/>
    <m/>
    <m/>
    <m/>
    <m/>
    <m/>
    <m/>
    <m/>
    <m/>
    <m/>
    <m/>
    <s v="LLS"/>
    <n v="23"/>
    <m/>
    <n v="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0-01-20T00:00:00"/>
    <m/>
    <m/>
    <m/>
    <m/>
    <m/>
    <m/>
    <m/>
    <m/>
    <m/>
    <m/>
    <m/>
    <m/>
    <m/>
    <m/>
    <m/>
    <m/>
    <m/>
    <m/>
    <m/>
    <m/>
    <m/>
    <m/>
    <m/>
    <m/>
    <d v="2017-02-23T00:00:00"/>
    <m/>
    <m/>
    <m/>
    <m/>
    <m/>
    <m/>
    <m/>
    <m/>
    <m/>
    <m/>
    <m/>
    <m/>
    <m/>
    <m/>
    <m/>
    <m/>
    <m/>
    <m/>
    <m/>
    <m/>
    <m/>
    <d v="2017-02-23T00:00:00"/>
    <m/>
    <m/>
    <m/>
    <m/>
    <m/>
    <m/>
    <m/>
    <m/>
    <m/>
    <m/>
    <m/>
    <m/>
    <m/>
    <m/>
    <m/>
    <m/>
    <m/>
    <m/>
  </r>
  <r>
    <s v="VEFA ELISA"/>
    <x v="1"/>
    <x v="1"/>
    <x v="8"/>
    <m/>
    <m/>
    <m/>
    <m/>
    <m/>
    <s v="EN 339, 343, 568, 570"/>
    <m/>
    <m/>
    <m/>
    <m/>
    <m/>
    <m/>
    <m/>
    <m/>
    <m/>
    <m/>
    <m/>
    <m/>
    <m/>
    <m/>
    <m/>
    <m/>
    <m/>
    <m/>
    <s v="LLTS"/>
    <n v="40"/>
    <m/>
    <n v="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0-01-20T00:00:00"/>
    <m/>
    <m/>
    <m/>
    <m/>
    <m/>
    <m/>
    <m/>
    <m/>
    <m/>
    <m/>
    <m/>
    <m/>
    <m/>
    <m/>
    <m/>
    <m/>
    <m/>
    <m/>
    <m/>
    <m/>
    <m/>
    <m/>
    <m/>
    <m/>
    <d v="2017-02-23T00:00:00"/>
    <m/>
    <m/>
    <m/>
    <m/>
    <m/>
    <m/>
    <m/>
    <m/>
    <m/>
    <m/>
    <m/>
    <m/>
    <m/>
    <m/>
    <m/>
    <m/>
    <m/>
    <m/>
    <m/>
    <m/>
    <m/>
    <d v="2017-02-23T00:00:00"/>
    <m/>
    <m/>
    <m/>
    <m/>
    <m/>
    <m/>
    <m/>
    <m/>
    <m/>
    <m/>
    <m/>
    <m/>
    <m/>
    <m/>
    <m/>
    <m/>
    <m/>
    <m/>
  </r>
  <r>
    <s v="VEFA LES SERINS"/>
    <x v="9"/>
    <x v="0"/>
    <x v="8"/>
    <m/>
    <m/>
    <m/>
    <m/>
    <m/>
    <s v="EN 823"/>
    <m/>
    <m/>
    <m/>
    <m/>
    <m/>
    <m/>
    <m/>
    <m/>
    <m/>
    <m/>
    <m/>
    <m/>
    <m/>
    <m/>
    <m/>
    <m/>
    <m/>
    <m/>
    <s v="LLTS"/>
    <n v="38"/>
    <m/>
    <n v="38"/>
    <m/>
    <m/>
    <m/>
    <m/>
    <m/>
    <m/>
    <m/>
    <m/>
    <m/>
    <m/>
    <m/>
    <m/>
    <m/>
    <m/>
    <m/>
    <m/>
    <m/>
    <d v="2016-11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6404946.6225286881"/>
    <n v="0"/>
    <n v="-6404946.6225286881"/>
    <e v="#DIV/0!"/>
    <n v="168551.2269086497"/>
    <m/>
    <m/>
    <n v="0"/>
    <e v="#DIV/0!"/>
    <n v="0.4"/>
    <n v="1908737.2981168029"/>
    <m/>
    <n v="50229.928897810605"/>
    <n v="-1908737.2981168029"/>
    <n v="3855715.3244118853"/>
    <m/>
    <m/>
    <m/>
    <n v="-3855715.3244118853"/>
    <n v="101466.1927476812"/>
    <m/>
    <n v="640494"/>
    <m/>
    <m/>
    <n v="9.9999896602905869E-2"/>
    <m/>
    <m/>
    <n v="-640494"/>
    <n v="16855.105263157893"/>
    <n v="67085.034160968498"/>
    <n v="-16855.105263157893"/>
    <m/>
    <m/>
    <m/>
    <m/>
    <n v="67085.034160968498"/>
    <m/>
    <n v="0"/>
    <n v="0.39800976469501953"/>
    <m/>
    <m/>
    <m/>
    <n v="6404946.62252868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7-02-23T00:00:00"/>
    <m/>
    <m/>
    <m/>
    <m/>
    <m/>
    <m/>
    <m/>
    <m/>
    <m/>
    <m/>
    <m/>
    <m/>
    <m/>
    <m/>
    <m/>
    <m/>
    <m/>
    <m/>
    <m/>
    <m/>
    <m/>
    <d v="2017-02-23T00:00:00"/>
    <m/>
    <m/>
    <m/>
    <m/>
    <m/>
    <m/>
    <m/>
    <m/>
    <m/>
    <m/>
    <m/>
    <m/>
    <m/>
    <m/>
    <m/>
    <m/>
    <m/>
    <m/>
  </r>
  <r>
    <s v="VEFA TREFLES"/>
    <x v="5"/>
    <x v="1"/>
    <x v="8"/>
    <m/>
    <m/>
    <m/>
    <m/>
    <m/>
    <m/>
    <m/>
    <m/>
    <m/>
    <m/>
    <m/>
    <m/>
    <m/>
    <m/>
    <m/>
    <m/>
    <m/>
    <m/>
    <m/>
    <m/>
    <m/>
    <m/>
    <m/>
    <m/>
    <s v="LLTS"/>
    <n v="15"/>
    <m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0-01-20T00:00:00"/>
    <m/>
    <m/>
    <m/>
    <m/>
    <m/>
    <m/>
    <m/>
    <m/>
    <m/>
    <m/>
    <m/>
    <m/>
    <m/>
    <m/>
    <m/>
    <m/>
    <m/>
    <m/>
    <m/>
    <m/>
    <m/>
    <m/>
    <m/>
    <m/>
    <d v="2017-02-23T00:00:00"/>
    <m/>
    <m/>
    <m/>
    <m/>
    <m/>
    <m/>
    <m/>
    <m/>
    <m/>
    <m/>
    <m/>
    <m/>
    <m/>
    <m/>
    <m/>
    <m/>
    <m/>
    <m/>
    <m/>
    <m/>
    <m/>
    <d v="2017-02-23T00:00:00"/>
    <m/>
    <m/>
    <m/>
    <m/>
    <m/>
    <m/>
    <m/>
    <m/>
    <m/>
    <m/>
    <m/>
    <m/>
    <m/>
    <m/>
    <m/>
    <m/>
    <m/>
    <m/>
  </r>
  <r>
    <s v="Chataigners"/>
    <x v="1"/>
    <x v="1"/>
    <x v="9"/>
    <m/>
    <m/>
    <m/>
    <s v="Faisa"/>
    <m/>
    <s v="DE 22"/>
    <m/>
    <m/>
    <m/>
    <m/>
    <m/>
    <m/>
    <m/>
    <m/>
    <m/>
    <m/>
    <m/>
    <m/>
    <m/>
    <m/>
    <e v="#DIV/0!"/>
    <m/>
    <m/>
    <m/>
    <s v="LLTS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e v="#DIV/0!"/>
    <m/>
    <m/>
    <m/>
    <m/>
    <m/>
    <m/>
    <e v="#DIV/0!"/>
    <m/>
    <e v="#DIV/0!"/>
    <e v="#DIV/0!"/>
    <m/>
    <m/>
    <m/>
    <n v="0"/>
    <m/>
    <m/>
    <m/>
    <n v="0"/>
    <d v="2017-02-23T00:00:00"/>
    <d v="2017-03-16T00:00:00"/>
    <d v="2017-03-16T00:00:00"/>
    <n v="0"/>
    <d v="2017-03-16T00:00:00"/>
    <n v="0"/>
    <n v="-30"/>
    <n v="21"/>
    <d v="2017-04-15T00:00:00"/>
    <n v="30"/>
    <d v="2017-05-15T00:00:00"/>
    <d v="2017-05-15T00:00:00"/>
    <n v="0"/>
    <d v="2017-06-14T00:00:00"/>
    <n v="30"/>
    <n v="0"/>
    <n v="60"/>
    <m/>
    <n v="0"/>
    <d v="2017-06-29T00:00:00"/>
    <d v="2017-07-06T00:00:00"/>
    <m/>
    <n v="0"/>
    <d v="2017-07-27T00:00:00"/>
    <n v="43"/>
    <d v="2017-08-26T00:00:00"/>
    <d v="2017-08-26T00:00:00"/>
    <n v="0"/>
    <d v="2017-09-25T00:00:00"/>
    <n v="30"/>
    <n v="0"/>
    <n v="60"/>
    <m/>
    <n v="0"/>
    <d v="2017-09-25T00:00:00"/>
    <n v="0"/>
    <d v="2017-10-25T00:00:00"/>
    <d v="2017-10-25T00:00:00"/>
    <n v="0"/>
    <d v="2017-11-24T00:00:00"/>
    <n v="30"/>
    <n v="0"/>
    <n v="60"/>
    <m/>
    <n v="34029.599999999999"/>
    <d v="2017-11-24T00:00:00"/>
    <n v="0"/>
    <d v="2017-12-09T00:00:00"/>
    <d v="2017-12-09T00:00:00"/>
    <n v="0"/>
    <d v="2018-01-23T00:00:00"/>
    <d v="2018-01-23T00:00:00"/>
    <n v="0"/>
    <n v="60"/>
    <d v="2018-03-24T00:00:00"/>
    <n v="60"/>
    <n v="0"/>
    <n v="9.6999999999999993"/>
    <n v="1.4333333333333336"/>
    <m/>
    <m/>
    <m/>
    <m/>
    <m/>
    <m/>
    <m/>
    <m/>
  </r>
  <r>
    <s v="Casabianca"/>
    <x v="6"/>
    <x v="1"/>
    <x v="9"/>
    <m/>
    <s v="JER"/>
    <m/>
    <m/>
    <m/>
    <s v="AP 1535"/>
    <s v="bail à construction sur AP 1558 qui concerne Foyer Casabianca"/>
    <s v="Entre-Deux"/>
    <s v="LE GOFF"/>
    <d v="2008-12-16T00:00:00"/>
    <m/>
    <m/>
    <m/>
    <m/>
    <m/>
    <m/>
    <m/>
    <m/>
    <m/>
    <m/>
    <m/>
    <m/>
    <m/>
    <m/>
    <s v="Rehab"/>
    <n v="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n v="0"/>
    <e v="#DIV/0!"/>
    <m/>
    <m/>
    <m/>
    <n v="0"/>
    <m/>
    <m/>
    <m/>
    <n v="0"/>
    <d v="2017-02-23T00:00:00"/>
    <d v="2017-03-16T00:00:00"/>
    <d v="2017-03-16T00:00:00"/>
    <n v="0"/>
    <d v="2017-03-16T00:00:00"/>
    <n v="0"/>
    <n v="-30"/>
    <n v="21"/>
    <d v="2017-04-15T00:00:00"/>
    <n v="30"/>
    <d v="2017-05-15T00:00:00"/>
    <d v="2017-05-15T00:00:00"/>
    <n v="0"/>
    <d v="2017-06-14T00:00:00"/>
    <n v="30"/>
    <n v="0"/>
    <n v="60"/>
    <m/>
    <n v="0"/>
    <d v="2017-06-29T00:00:00"/>
    <d v="2017-07-06T00:00:00"/>
    <m/>
    <n v="0"/>
    <d v="2017-07-27T00:00:00"/>
    <n v="43"/>
    <d v="2017-08-26T00:00:00"/>
    <d v="2017-08-26T00:00:00"/>
    <m/>
    <m/>
    <m/>
    <m/>
    <m/>
    <m/>
    <m/>
    <d v="1899-12-30T00:00:00"/>
    <s v="0"/>
    <d v="1900-01-29T00:00:00"/>
    <d v="2017-02-23T00:00:00"/>
    <n v="42759"/>
    <d v="1900-02-28T00:00:00"/>
    <n v="-42729"/>
    <n v="-42759"/>
    <s v="0"/>
    <m/>
    <m/>
    <d v="1900-02-28T00:00:00"/>
    <n v="0"/>
    <d v="1900-03-15T00:00:00"/>
    <d v="2017-02-23T00:00:00"/>
    <n v="42714"/>
    <d v="2017-04-09T00:00:00"/>
    <d v="2017-04-09T00:00:00"/>
    <n v="0"/>
    <n v="42774"/>
    <d v="2017-06-08T00:00:00"/>
    <n v="60"/>
    <n v="0"/>
    <n v="9.6999999999999993"/>
    <n v="1421.2333333333333"/>
    <m/>
    <m/>
    <m/>
    <m/>
    <m/>
    <m/>
    <m/>
    <m/>
  </r>
  <r>
    <s v="CESARIA"/>
    <x v="1"/>
    <x v="1"/>
    <x v="9"/>
    <m/>
    <m/>
    <m/>
    <s v="ESQ"/>
    <m/>
    <m/>
    <m/>
    <m/>
    <m/>
    <m/>
    <m/>
    <m/>
    <m/>
    <m/>
    <m/>
    <m/>
    <m/>
    <m/>
    <m/>
    <m/>
    <m/>
    <m/>
    <m/>
    <m/>
    <s v="LLTS"/>
    <n v="37"/>
    <m/>
    <n v="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n v="0"/>
    <e v="#DIV/0!"/>
    <m/>
    <m/>
    <m/>
    <n v="0"/>
    <m/>
    <m/>
    <m/>
    <n v="0"/>
    <d v="2017-02-23T00:00:00"/>
    <d v="2017-03-16T00:00:00"/>
    <d v="2017-03-16T00:00:00"/>
    <n v="0"/>
    <d v="2017-03-16T00:00:00"/>
    <n v="0"/>
    <n v="-30"/>
    <n v="21"/>
    <d v="2017-04-15T00:00:00"/>
    <n v="30"/>
    <d v="2017-05-15T00:00:00"/>
    <d v="2017-05-15T00:00:00"/>
    <n v="0"/>
    <d v="2017-06-14T00:00:00"/>
    <n v="30"/>
    <n v="0"/>
    <n v="60"/>
    <m/>
    <n v="0"/>
    <d v="2017-06-29T00:00:00"/>
    <d v="2017-07-06T00:00:00"/>
    <m/>
    <n v="0"/>
    <d v="2017-07-27T00:00:00"/>
    <n v="43"/>
    <d v="2017-08-26T00:00:00"/>
    <d v="2017-08-26T00:00:00"/>
    <m/>
    <m/>
    <m/>
    <m/>
    <m/>
    <m/>
    <m/>
    <d v="1899-12-30T00:00:00"/>
    <s v="0"/>
    <d v="1900-01-29T00:00:00"/>
    <d v="2017-02-23T00:00:00"/>
    <n v="42759"/>
    <d v="1900-02-28T00:00:00"/>
    <n v="-42729"/>
    <n v="-42759"/>
    <s v="0"/>
    <m/>
    <m/>
    <d v="1900-02-28T00:00:00"/>
    <n v="0"/>
    <d v="1900-03-15T00:00:00"/>
    <d v="2017-02-23T00:00:00"/>
    <n v="42714"/>
    <d v="2017-04-09T00:00:00"/>
    <d v="2017-04-09T00:00:00"/>
    <n v="0"/>
    <n v="42774"/>
    <d v="2017-06-08T00:00:00"/>
    <n v="60"/>
    <n v="0"/>
    <n v="9.6999999999999993"/>
    <n v="1421.2333333333333"/>
    <m/>
    <m/>
    <m/>
    <m/>
    <m/>
    <m/>
    <m/>
    <m/>
  </r>
  <r>
    <s v="Chapelle"/>
    <x v="1"/>
    <x v="1"/>
    <x v="9"/>
    <m/>
    <s v="JER"/>
    <m/>
    <m/>
    <m/>
    <s v="CN 286"/>
    <s v="RAS"/>
    <s v="SODEGIS"/>
    <s v="MOUTIEN"/>
    <d v="1997-05-21T00:00:00"/>
    <m/>
    <m/>
    <m/>
    <m/>
    <m/>
    <m/>
    <m/>
    <m/>
    <m/>
    <m/>
    <m/>
    <m/>
    <m/>
    <m/>
    <s v="Rehab"/>
    <n v="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n v="0"/>
    <e v="#DIV/0!"/>
    <m/>
    <m/>
    <m/>
    <n v="0"/>
    <m/>
    <m/>
    <m/>
    <n v="0"/>
    <d v="2017-02-23T00:00:00"/>
    <d v="2017-03-16T00:00:00"/>
    <d v="2017-03-16T00:00:00"/>
    <n v="0"/>
    <d v="2017-03-16T00:00:00"/>
    <n v="0"/>
    <n v="-30"/>
    <n v="21"/>
    <d v="2017-04-15T00:00:00"/>
    <n v="30"/>
    <d v="2017-05-15T00:00:00"/>
    <d v="2017-05-15T00:00:00"/>
    <n v="0"/>
    <d v="2017-06-14T00:00:00"/>
    <n v="30"/>
    <n v="0"/>
    <n v="60"/>
    <m/>
    <n v="0"/>
    <d v="2017-06-29T00:00:00"/>
    <d v="2017-07-06T00:00:00"/>
    <m/>
    <n v="0"/>
    <d v="2017-07-27T00:00:00"/>
    <n v="43"/>
    <d v="2017-08-26T00:00:00"/>
    <d v="2017-08-26T00:00:00"/>
    <m/>
    <m/>
    <m/>
    <m/>
    <m/>
    <m/>
    <m/>
    <d v="1899-12-30T00:00:00"/>
    <s v="0"/>
    <d v="1900-01-29T00:00:00"/>
    <d v="2017-02-23T00:00:00"/>
    <n v="42759"/>
    <d v="1900-02-28T00:00:00"/>
    <n v="-42729"/>
    <n v="-42759"/>
    <s v="0"/>
    <m/>
    <m/>
    <d v="1900-02-28T00:00:00"/>
    <n v="0"/>
    <d v="1900-03-15T00:00:00"/>
    <d v="2017-02-23T00:00:00"/>
    <n v="42714"/>
    <d v="2017-04-09T00:00:00"/>
    <d v="2017-04-09T00:00:00"/>
    <n v="0"/>
    <n v="42774"/>
    <d v="2017-06-08T00:00:00"/>
    <n v="60"/>
    <n v="0"/>
    <n v="9.6999999999999993"/>
    <n v="1421.2333333333333"/>
    <m/>
    <m/>
    <m/>
    <m/>
    <m/>
    <m/>
    <m/>
    <m/>
  </r>
  <r>
    <s v="Chemin Galet 1"/>
    <x v="5"/>
    <x v="1"/>
    <x v="9"/>
    <m/>
    <s v="JER"/>
    <m/>
    <m/>
    <m/>
    <s v="BY 1389 …"/>
    <s v="BY 105_x000a_BY 1045_x000a_BY 888_x000a_manque bcp de justificatifs"/>
    <s v="SODEGIS"/>
    <s v="HOARAU_x000a_HOARAU_x000a_ESPARON"/>
    <s v="13/05/1992_x000a_09/08/96_x000a_22/08/94"/>
    <m/>
    <m/>
    <m/>
    <m/>
    <m/>
    <m/>
    <m/>
    <m/>
    <m/>
    <m/>
    <m/>
    <m/>
    <m/>
    <m/>
    <s v="Rehab"/>
    <n v="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n v="0"/>
    <m/>
    <m/>
    <m/>
    <m/>
    <m/>
    <m/>
    <m/>
    <m/>
    <n v="0"/>
    <d v="2017-02-23T00:00:00"/>
    <d v="2017-03-16T00:00:00"/>
    <d v="2017-03-16T00:00:00"/>
    <n v="0"/>
    <d v="2017-03-16T00:00:00"/>
    <n v="0"/>
    <n v="-30"/>
    <n v="21"/>
    <d v="2017-04-15T00:00:00"/>
    <n v="30"/>
    <d v="2017-05-15T00:00:00"/>
    <d v="2017-05-15T00:00:00"/>
    <n v="0"/>
    <d v="2017-06-14T00:00:00"/>
    <n v="30"/>
    <n v="0"/>
    <n v="60"/>
    <m/>
    <n v="0"/>
    <d v="2017-06-29T00:00:00"/>
    <d v="2017-07-06T00:00:00"/>
    <m/>
    <n v="0"/>
    <d v="2017-07-27T00:00:00"/>
    <n v="43"/>
    <d v="2017-08-26T00:00:00"/>
    <d v="2017-08-26T00:00:00"/>
    <m/>
    <m/>
    <m/>
    <m/>
    <m/>
    <m/>
    <m/>
    <d v="1899-12-30T00:00:00"/>
    <s v="0"/>
    <d v="1900-01-29T00:00:00"/>
    <d v="2017-02-23T00:00:00"/>
    <n v="42759"/>
    <d v="1900-02-28T00:00:00"/>
    <n v="-42729"/>
    <n v="-42759"/>
    <s v="0"/>
    <m/>
    <m/>
    <d v="1900-02-28T00:00:00"/>
    <n v="0"/>
    <d v="1900-03-15T00:00:00"/>
    <d v="2017-02-23T00:00:00"/>
    <n v="42714"/>
    <d v="2017-04-09T00:00:00"/>
    <d v="2017-04-09T00:00:00"/>
    <n v="0"/>
    <n v="42774"/>
    <d v="2017-06-08T00:00:00"/>
    <n v="60"/>
    <n v="0"/>
    <n v="9.6999999999999993"/>
    <n v="1421.2333333333333"/>
    <m/>
    <m/>
    <m/>
    <m/>
    <m/>
    <m/>
    <m/>
    <m/>
  </r>
  <r>
    <s v="Chemin Galet 2"/>
    <x v="5"/>
    <x v="1"/>
    <x v="9"/>
    <m/>
    <s v="JER"/>
    <m/>
    <m/>
    <m/>
    <s v="BY 1385 …"/>
    <s v="BY 105_x000a_BY 1045_x000a_BY 888_x000a_manque bcp de justificatifs"/>
    <s v="SODEGIS"/>
    <s v="HOARAU_x000a_HOARAU_x000a_ESPARON"/>
    <s v="13/05/1992_x000a_09/08/96_x000a_22/08/94"/>
    <m/>
    <m/>
    <m/>
    <m/>
    <m/>
    <m/>
    <m/>
    <m/>
    <m/>
    <m/>
    <m/>
    <m/>
    <m/>
    <m/>
    <s v="Rehab"/>
    <n v="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n v="0"/>
    <m/>
    <m/>
    <m/>
    <m/>
    <m/>
    <m/>
    <m/>
    <m/>
    <n v="0"/>
    <d v="2017-02-23T00:00:00"/>
    <d v="2017-03-16T00:00:00"/>
    <d v="2017-03-16T00:00:00"/>
    <n v="0"/>
    <d v="2017-03-16T00:00:00"/>
    <n v="0"/>
    <n v="-30"/>
    <n v="21"/>
    <d v="2017-04-15T00:00:00"/>
    <n v="30"/>
    <d v="2017-05-15T00:00:00"/>
    <d v="2017-05-15T00:00:00"/>
    <n v="0"/>
    <d v="2017-06-14T00:00:00"/>
    <n v="30"/>
    <n v="0"/>
    <n v="60"/>
    <m/>
    <n v="0"/>
    <d v="2017-06-29T00:00:00"/>
    <d v="2017-07-06T00:00:00"/>
    <m/>
    <n v="0"/>
    <d v="2017-07-27T00:00:00"/>
    <n v="43"/>
    <d v="2017-08-26T00:00:00"/>
    <d v="2017-08-26T00:00:00"/>
    <m/>
    <m/>
    <m/>
    <m/>
    <m/>
    <m/>
    <m/>
    <d v="1899-12-30T00:00:00"/>
    <s v="0"/>
    <d v="1900-01-29T00:00:00"/>
    <d v="2017-02-23T00:00:00"/>
    <n v="42759"/>
    <d v="1900-02-28T00:00:00"/>
    <n v="-42729"/>
    <n v="-42759"/>
    <s v="0"/>
    <m/>
    <m/>
    <d v="1900-02-28T00:00:00"/>
    <n v="0"/>
    <d v="1900-03-15T00:00:00"/>
    <d v="2017-02-23T00:00:00"/>
    <n v="42714"/>
    <d v="2017-04-09T00:00:00"/>
    <d v="2017-04-09T00:00:00"/>
    <n v="0"/>
    <n v="42774"/>
    <d v="2017-06-08T00:00:00"/>
    <n v="60"/>
    <n v="0"/>
    <n v="9.6999999999999993"/>
    <n v="1421.2333333333333"/>
    <m/>
    <m/>
    <m/>
    <m/>
    <m/>
    <m/>
    <m/>
    <m/>
  </r>
  <r>
    <s v="La Cure 2"/>
    <x v="5"/>
    <x v="1"/>
    <x v="9"/>
    <m/>
    <s v="JER"/>
    <m/>
    <m/>
    <m/>
    <m/>
    <s v="dépôt de pièces divisant BN 419/420/421/422/423/782/783/825_x000a_manque titre de propriété des parcelles divisées"/>
    <s v="SODEGIS"/>
    <s v="BASTI"/>
    <d v="2001-08-22T00:00:00"/>
    <m/>
    <m/>
    <m/>
    <m/>
    <m/>
    <m/>
    <m/>
    <m/>
    <m/>
    <m/>
    <m/>
    <m/>
    <m/>
    <m/>
    <s v="Rehab"/>
    <n v="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n v="0"/>
    <m/>
    <m/>
    <m/>
    <m/>
    <m/>
    <m/>
    <m/>
    <m/>
    <n v="0"/>
    <d v="2017-02-23T00:00:00"/>
    <d v="2017-03-16T00:00:00"/>
    <d v="2017-03-16T00:00:00"/>
    <n v="0"/>
    <d v="2017-03-16T00:00:00"/>
    <n v="0"/>
    <n v="-30"/>
    <n v="21"/>
    <d v="2017-04-15T00:00:00"/>
    <n v="30"/>
    <d v="2017-05-15T00:00:00"/>
    <d v="2017-05-15T00:00:00"/>
    <n v="0"/>
    <d v="2017-06-14T00:00:00"/>
    <n v="30"/>
    <n v="0"/>
    <n v="60"/>
    <m/>
    <n v="0"/>
    <d v="2017-06-29T00:00:00"/>
    <d v="2017-07-06T00:00:00"/>
    <m/>
    <n v="0"/>
    <d v="2017-07-27T00:00:00"/>
    <n v="43"/>
    <d v="2017-08-26T00:00:00"/>
    <d v="2017-08-26T00:00:00"/>
    <m/>
    <m/>
    <m/>
    <m/>
    <m/>
    <m/>
    <m/>
    <d v="1899-12-30T00:00:00"/>
    <s v="0"/>
    <d v="1900-01-29T00:00:00"/>
    <d v="2017-02-23T00:00:00"/>
    <n v="42759"/>
    <d v="1900-02-28T00:00:00"/>
    <n v="-42729"/>
    <n v="-42759"/>
    <s v="0"/>
    <m/>
    <m/>
    <d v="1900-02-28T00:00:00"/>
    <n v="0"/>
    <d v="1900-03-15T00:00:00"/>
    <d v="2017-02-23T00:00:00"/>
    <n v="42714"/>
    <d v="2017-04-09T00:00:00"/>
    <d v="2017-04-09T00:00:00"/>
    <n v="0"/>
    <n v="42774"/>
    <d v="2017-06-08T00:00:00"/>
    <n v="60"/>
    <n v="0"/>
    <n v="9.6999999999999993"/>
    <n v="1421.2333333333333"/>
    <m/>
    <m/>
    <m/>
    <m/>
    <m/>
    <m/>
    <m/>
    <m/>
  </r>
  <r>
    <s v="Le Choka Bleu"/>
    <x v="5"/>
    <x v="1"/>
    <x v="9"/>
    <m/>
    <s v="JER"/>
    <m/>
    <m/>
    <m/>
    <s v="BN 813 / 812"/>
    <s v="manque justificatif BN 812"/>
    <s v="SODEGIS"/>
    <s v="Esparon"/>
    <d v="1996-11-27T00:00:00"/>
    <m/>
    <m/>
    <m/>
    <m/>
    <m/>
    <m/>
    <m/>
    <m/>
    <m/>
    <m/>
    <m/>
    <m/>
    <m/>
    <m/>
    <s v="Rehab"/>
    <n v="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n v="0"/>
    <m/>
    <m/>
    <m/>
    <m/>
    <m/>
    <m/>
    <m/>
    <m/>
    <n v="0"/>
    <d v="2017-02-23T00:00:00"/>
    <d v="2017-03-16T00:00:00"/>
    <d v="2017-03-16T00:00:00"/>
    <n v="0"/>
    <d v="2017-03-16T00:00:00"/>
    <n v="0"/>
    <n v="-30"/>
    <n v="21"/>
    <d v="2017-04-15T00:00:00"/>
    <n v="30"/>
    <d v="2017-05-15T00:00:00"/>
    <d v="2017-05-15T00:00:00"/>
    <n v="0"/>
    <d v="2017-06-14T00:00:00"/>
    <n v="30"/>
    <n v="0"/>
    <n v="60"/>
    <m/>
    <n v="0"/>
    <d v="2017-06-29T00:00:00"/>
    <d v="2017-07-06T00:00:00"/>
    <m/>
    <n v="0"/>
    <d v="2017-07-27T00:00:00"/>
    <n v="43"/>
    <d v="2017-08-26T00:00:00"/>
    <d v="2017-08-26T00:00:00"/>
    <m/>
    <m/>
    <m/>
    <m/>
    <m/>
    <m/>
    <m/>
    <d v="1899-12-30T00:00:00"/>
    <s v="0"/>
    <d v="1900-01-29T00:00:00"/>
    <d v="2017-02-23T00:00:00"/>
    <n v="42759"/>
    <d v="1900-02-28T00:00:00"/>
    <n v="-42729"/>
    <n v="-42759"/>
    <s v="0"/>
    <m/>
    <m/>
    <d v="1900-02-28T00:00:00"/>
    <n v="0"/>
    <d v="1900-03-15T00:00:00"/>
    <d v="2017-02-23T00:00:00"/>
    <n v="42714"/>
    <d v="2017-04-09T00:00:00"/>
    <d v="2017-04-09T00:00:00"/>
    <n v="0"/>
    <n v="42774"/>
    <d v="2017-06-08T00:00:00"/>
    <n v="60"/>
    <n v="0"/>
    <n v="9.6999999999999993"/>
    <n v="1421.2333333333333"/>
    <m/>
    <m/>
    <m/>
    <m/>
    <m/>
    <m/>
    <m/>
    <m/>
  </r>
  <r>
    <s v="Les Orchidées"/>
    <x v="1"/>
    <x v="1"/>
    <x v="9"/>
    <m/>
    <s v="JER"/>
    <m/>
    <m/>
    <m/>
    <s v="?"/>
    <s v="pas de justificatif"/>
    <m/>
    <m/>
    <m/>
    <m/>
    <m/>
    <m/>
    <m/>
    <m/>
    <m/>
    <m/>
    <m/>
    <m/>
    <m/>
    <m/>
    <m/>
    <m/>
    <m/>
    <s v="Rehab"/>
    <n v="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n v="0"/>
    <m/>
    <m/>
    <m/>
    <m/>
    <m/>
    <m/>
    <m/>
    <m/>
    <n v="0"/>
    <d v="2017-02-23T00:00:00"/>
    <d v="2017-03-16T00:00:00"/>
    <d v="2017-03-16T00:00:00"/>
    <n v="0"/>
    <d v="2017-03-16T00:00:00"/>
    <n v="0"/>
    <n v="-30"/>
    <n v="21"/>
    <d v="2017-04-15T00:00:00"/>
    <n v="30"/>
    <d v="2017-05-15T00:00:00"/>
    <d v="2017-05-15T00:00:00"/>
    <n v="0"/>
    <d v="2017-06-14T00:00:00"/>
    <n v="30"/>
    <n v="0"/>
    <n v="60"/>
    <m/>
    <n v="0"/>
    <d v="2017-06-29T00:00:00"/>
    <d v="2017-07-06T00:00:00"/>
    <m/>
    <n v="0"/>
    <d v="2017-07-27T00:00:00"/>
    <n v="43"/>
    <d v="2017-08-26T00:00:00"/>
    <d v="2017-08-26T00:00:00"/>
    <m/>
    <m/>
    <m/>
    <m/>
    <m/>
    <m/>
    <m/>
    <d v="1899-12-30T00:00:00"/>
    <s v="0"/>
    <d v="1900-01-29T00:00:00"/>
    <d v="2017-02-23T00:00:00"/>
    <n v="42759"/>
    <d v="1900-02-28T00:00:00"/>
    <n v="-42729"/>
    <n v="-42759"/>
    <s v="0"/>
    <m/>
    <m/>
    <d v="1900-02-28T00:00:00"/>
    <n v="0"/>
    <d v="1900-03-15T00:00:00"/>
    <d v="2017-02-23T00:00:00"/>
    <n v="42714"/>
    <d v="2017-04-09T00:00:00"/>
    <d v="2017-04-09T00:00:00"/>
    <n v="0"/>
    <n v="42774"/>
    <d v="2017-06-08T00:00:00"/>
    <n v="60"/>
    <n v="0"/>
    <n v="9.6999999999999993"/>
    <n v="1421.2333333333333"/>
    <m/>
    <m/>
    <m/>
    <m/>
    <m/>
    <m/>
    <m/>
    <m/>
  </r>
  <r>
    <s v="Terre des chènes"/>
    <x v="2"/>
    <x v="0"/>
    <x v="10"/>
    <m/>
    <s v="BBL"/>
    <m/>
    <m/>
    <m/>
    <m/>
    <s v="à présenter au CA de Janvier 2017_x000a_faire demande de prorogation du compromi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VEFA NORSA INVEST"/>
    <x v="1"/>
    <x v="1"/>
    <x v="10"/>
    <m/>
    <m/>
    <m/>
    <m/>
    <m/>
    <s v="BE 2236"/>
    <m/>
    <m/>
    <m/>
    <m/>
    <m/>
    <m/>
    <m/>
    <m/>
    <m/>
    <m/>
    <m/>
    <m/>
    <m/>
    <m/>
    <m/>
    <m/>
    <m/>
    <m/>
    <s v="LLS"/>
    <n v="31"/>
    <n v="31"/>
    <m/>
    <m/>
    <m/>
    <m/>
    <m/>
    <m/>
    <m/>
    <m/>
    <m/>
    <m/>
    <m/>
    <m/>
    <m/>
    <m/>
    <m/>
    <m/>
    <m/>
    <m/>
    <d v="2016-11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5493565.2401729496"/>
    <n v="0"/>
    <n v="-5493565.2401729496"/>
    <e v="#DIV/0!"/>
    <n v="177211.78194106289"/>
    <m/>
    <m/>
    <n v="0"/>
    <e v="#DIV/0!"/>
    <n v="0.4"/>
    <n v="1727458.414456333"/>
    <m/>
    <n v="55724.464982462356"/>
    <n v="-1727458.414456333"/>
    <n v="3491428.5530569493"/>
    <m/>
    <m/>
    <m/>
    <n v="-3491428.5530569493"/>
    <n v="112626.72751796611"/>
    <m/>
    <n v="274678.27265966812"/>
    <m/>
    <m/>
    <n v="5.000000193881754E-2"/>
    <m/>
    <m/>
    <n v="-274678.27265966812"/>
    <n v="8860.589440634456"/>
    <n v="64585.054423096815"/>
    <n v="-8860.589440634456"/>
    <m/>
    <m/>
    <m/>
    <m/>
    <n v="64585.054423096815"/>
    <m/>
    <n v="0"/>
    <n v="0.36445124424388736"/>
    <m/>
    <m/>
    <m/>
    <n v="5493565.24017294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D10" firstHeaderRow="0" firstDataRow="1" firstDataCol="1"/>
  <pivotFields count="101"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numFmtId="165" showAll="0" defaultSubtota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14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N" fld="5" baseField="14" baseItem="0"/>
    <dataField name="Somme de LBU y/c CAF 2" fld="83" baseField="14" baseItem="0"/>
    <dataField name="Somme de DEFISC 2" fld="72" baseField="14" baseItem="0"/>
  </dataFields>
  <formats count="1">
    <format dxfId="86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4" indent="0" outline="1" outlineData="1" multipleFieldFilters="0" rowHeaderCaption="Prog">
  <location ref="A3:E15" firstHeaderRow="0" firstDataRow="1" firstDataCol="1"/>
  <pivotFields count="286">
    <pivotField showAll="0"/>
    <pivotField showAll="0"/>
    <pivotField showAll="0"/>
    <pivotField axis="axisRow" showAll="0">
      <items count="12">
        <item x="0"/>
        <item x="1"/>
        <item x="2"/>
        <item x="3"/>
        <item x="4"/>
        <item x="6"/>
        <item x="5"/>
        <item x="7"/>
        <item x="8"/>
        <item x="9"/>
        <item x="10"/>
        <item t="default"/>
      </items>
    </pivotField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numFmtId="164" showAll="0" defaultSubtotal="0"/>
    <pivotField numFmtId="164"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dataField="1"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3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PRP GLOBAL" fld="214" baseField="36" baseItem="0"/>
    <dataField name="Somme de DEFISC 2" fld="183" baseField="36" baseItem="0"/>
    <dataField name="Somme de FONDS PROPRES FRAFU" fld="212" baseField="36" baseItem="0"/>
    <dataField name="Somme de FONDS PROPRES CONSTRUCTION" fld="213" baseField="36" baseItem="0"/>
  </dataFields>
  <formats count="9">
    <format dxfId="85">
      <pivotArea outline="0" collapsedLevelsAreSubtotals="1" fieldPosition="0"/>
    </format>
    <format dxfId="84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83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82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81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80">
      <pivotArea field="3" type="button" dataOnly="0" labelOnly="1" outline="0" axis="axisRow" fieldPosition="0"/>
    </format>
    <format dxfId="79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78">
      <pivotArea field="3" type="button" dataOnly="0" labelOnly="1" outline="0" axis="axisRow" fieldPosition="0"/>
    </format>
    <format dxfId="77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" rowHeaderCaption="RO">
  <location ref="K7:N17" firstHeaderRow="1" firstDataRow="2" firstDataCol="1"/>
  <pivotFields count="8">
    <pivotField showAll="0"/>
    <pivotField showAll="0"/>
    <pivotField showAll="0"/>
    <pivotField showAll="0"/>
    <pivotField dataField="1" showAll="0"/>
    <pivotField axis="axisRow" showAll="0">
      <items count="9">
        <item x="7"/>
        <item x="0"/>
        <item x="4"/>
        <item x="6"/>
        <item x="5"/>
        <item x="2"/>
        <item x="3"/>
        <item x="1"/>
        <item t="default"/>
      </items>
    </pivotField>
    <pivotField showAll="0"/>
    <pivotField axis="axisCol" showAll="0">
      <items count="3">
        <item x="1"/>
        <item x="0"/>
        <item t="default"/>
      </items>
    </pivotField>
  </pivotFields>
  <rowFields count="1">
    <field x="5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7"/>
  </colFields>
  <colItems count="3">
    <i>
      <x/>
    </i>
    <i>
      <x v="1"/>
    </i>
    <i t="grand">
      <x/>
    </i>
  </colItems>
  <dataFields count="1">
    <dataField name="Somme de N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3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59:G70" firstHeaderRow="1" firstDataRow="3" firstDataCol="1"/>
  <pivotFields count="8">
    <pivotField showAll="0"/>
    <pivotField showAll="0"/>
    <pivotField showAll="0"/>
    <pivotField showAll="0"/>
    <pivotField dataField="1" showAll="0"/>
    <pivotField axis="axisRow" showAll="0">
      <items count="9">
        <item x="7"/>
        <item x="0"/>
        <item x="4"/>
        <item x="6"/>
        <item x="5"/>
        <item x="2"/>
        <item x="3"/>
        <item x="1"/>
        <item t="default"/>
      </items>
    </pivotField>
    <pivotField showAll="0"/>
    <pivotField axis="axisCol" showAll="0">
      <items count="3">
        <item x="1"/>
        <item x="0"/>
        <item t="default"/>
      </items>
    </pivotField>
  </pivotFields>
  <rowFields count="1">
    <field x="5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2">
    <field x="7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Nombre de N" fld="4" subtotal="count" baseField="5" baseItem="0"/>
    <dataField name="Somme de N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2" cacheId="9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>
  <location ref="A34:C64" firstHeaderRow="0" firstDataRow="1" firstDataCol="1"/>
  <pivotFields count="286">
    <pivotField showAll="0"/>
    <pivotField showAll="0"/>
    <pivotField axis="axisRow" showAll="0">
      <items count="4">
        <item x="1"/>
        <item x="0"/>
        <item x="2"/>
        <item t="default"/>
      </items>
    </pivotField>
    <pivotField axis="axisRow" showAll="0">
      <items count="12">
        <item x="0"/>
        <item x="1"/>
        <item x="2"/>
        <item x="3"/>
        <item x="4"/>
        <item x="6"/>
        <item x="5"/>
        <item x="7"/>
        <item x="8"/>
        <item x="9"/>
        <item x="10"/>
        <item t="default"/>
      </items>
    </pivotField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numFmtId="164" showAll="0" defaultSubtotal="0"/>
    <pivotField numFmtId="164"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numFmtId="165" showAll="0"/>
    <pivotField showAll="0"/>
    <pivotField showAll="0" defaultSubtotal="0"/>
    <pivotField showAll="0"/>
    <pivotField showAll="0" defaultSubtotal="0"/>
    <pivotField numFmtId="165" showAll="0"/>
    <pivotField numFmtId="165" showAll="0"/>
    <pivotField showAll="0"/>
    <pivotField numFmtId="165" showAll="0" defaultSubtotal="0"/>
    <pivotField showAll="0" defaultSubtotal="0"/>
    <pivotField showAll="0"/>
    <pivotField numFmtId="165" showAll="0"/>
    <pivotField numFmtId="165" showAll="0"/>
    <pivotField showAll="0"/>
    <pivotField showAll="0"/>
    <pivotField showAll="0" defaultSubtotal="0"/>
    <pivotField showAll="0" defaultSubtotal="0"/>
    <pivotField showAll="0"/>
    <pivotField showAll="0" defaultSubtotal="0"/>
    <pivotField showAll="0"/>
    <pivotField numFmtId="165" showAll="0"/>
    <pivotField showAll="0"/>
    <pivotField showAll="0" defaultSubtotal="0"/>
    <pivotField numFmtId="165" showAll="0"/>
    <pivotField showAll="0" defaultSubtotal="0"/>
    <pivotField showAll="0" defaultSubtotal="0"/>
    <pivotField showAll="0"/>
    <pivotField showAll="0"/>
    <pivotField numFmtId="165" showAll="0"/>
    <pivotField showAll="0"/>
    <pivotField numFmtId="165" showAll="0"/>
    <pivotField showAll="0" defaultSubtotal="0"/>
    <pivotField showAll="0"/>
    <pivotField numFmtId="165" showAll="0"/>
    <pivotField numFmtId="165" showAll="0"/>
    <pivotField numFmtId="43"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2"/>
    <field x="3"/>
  </rowFields>
  <rowItems count="30">
    <i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>
      <x v="1"/>
    </i>
    <i r="1">
      <x/>
    </i>
    <i r="1">
      <x v="1"/>
    </i>
    <i r="1">
      <x v="2"/>
    </i>
    <i r="1">
      <x v="4"/>
    </i>
    <i r="1">
      <x v="5"/>
    </i>
    <i r="1">
      <x v="6"/>
    </i>
    <i r="1">
      <x v="7"/>
    </i>
    <i r="1">
      <x v="8"/>
    </i>
    <i r="1">
      <x v="10"/>
    </i>
    <i>
      <x v="2"/>
    </i>
    <i r="1">
      <x v="1"/>
    </i>
    <i r="1">
      <x v="2"/>
    </i>
    <i r="1">
      <x v="3"/>
    </i>
    <i r="1">
      <x v="5"/>
    </i>
    <i r="1">
      <x v="6"/>
    </i>
    <i r="1">
      <x v="7"/>
    </i>
    <i r="1">
      <x v="8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LLS" fld="30" baseField="2" baseItem="0"/>
    <dataField name="Somme de LLTS" fld="31" baseField="2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1" cacheId="9" dataOnRows="1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>
  <location ref="A3:M14" firstHeaderRow="1" firstDataRow="2" firstDataCol="1"/>
  <pivotFields count="286">
    <pivotField showAll="0"/>
    <pivotField showAll="0"/>
    <pivotField axis="axisRow" showAll="0">
      <items count="4">
        <item x="1"/>
        <item x="0"/>
        <item x="2"/>
        <item t="default"/>
      </items>
    </pivotField>
    <pivotField axis="axisCol" showAll="0">
      <items count="12">
        <item x="1"/>
        <item x="2"/>
        <item x="3"/>
        <item x="0"/>
        <item x="4"/>
        <item x="6"/>
        <item x="5"/>
        <item x="7"/>
        <item x="8"/>
        <item x="9"/>
        <item x="10"/>
        <item t="default"/>
      </items>
    </pivotField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4" showAll="0" defaultSubtotal="0"/>
    <pivotField numFmtId="164"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/>
    <pivotField showAll="0" defaultSubtotal="0"/>
    <pivotField showAl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5" showAl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 defaultSubtotal="0"/>
    <pivotField showAll="0" defaultSubtotal="0"/>
    <pivotField showAll="0"/>
    <pivotField showAll="0"/>
    <pivotField numFmtId="165" showAll="0" defaultSubtotal="0"/>
    <pivotField showAll="0" defaultSubtotal="0"/>
    <pivotField showAll="0"/>
    <pivotField showAll="0"/>
    <pivotField showAll="0" defaultSubtotal="0"/>
    <pivotField showAll="0" defaultSubtotal="0"/>
    <pivotField dataField="1"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numFmtId="165" showAll="0" defaultSubtotal="0"/>
    <pivotField showAll="0" defaultSubtotal="0"/>
    <pivotField numFmtId="165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-2"/>
    <field x="2"/>
  </rowFields>
  <rowItems count="10">
    <i>
      <x/>
    </i>
    <i r="1">
      <x/>
    </i>
    <i r="1">
      <x v="1"/>
    </i>
    <i r="1">
      <x v="2"/>
    </i>
    <i i="1">
      <x v="1"/>
    </i>
    <i r="1" i="1">
      <x/>
    </i>
    <i r="1" i="1">
      <x v="1"/>
    </i>
    <i r="1" i="1">
      <x v="2"/>
    </i>
    <i t="grand">
      <x/>
    </i>
    <i t="grand" i="1">
      <x/>
    </i>
  </rowItems>
  <colFields count="1">
    <field x="3"/>
  </colFields>
  <col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colItems>
  <dataFields count="2">
    <dataField name="Somme de N" fld="29" baseField="0" baseItem="0"/>
    <dataField name="Somme de LBU y/c CAF " fld="193" baseField="2" baseItem="0"/>
  </dataFields>
  <formats count="9">
    <format dxfId="76">
      <pivotArea collapsedLevelsAreSubtotals="1" fieldPosition="0">
        <references count="2">
          <reference field="4294967294" count="1" selected="0">
            <x v="1"/>
          </reference>
          <reference field="2" count="0"/>
        </references>
      </pivotArea>
    </format>
    <format dxfId="75">
      <pivotArea field="2" grandRow="1" outline="0" collapsedLevelsAreSubtotals="1" axis="axisRow" fieldPosition="1">
        <references count="1">
          <reference field="4294967294" count="1" selected="0">
            <x v="1"/>
          </reference>
        </references>
      </pivotArea>
    </format>
    <format dxfId="74">
      <pivotArea collapsedLevelsAreSubtotals="1" fieldPosition="0">
        <references count="2">
          <reference field="4294967294" count="1" selected="0">
            <x v="0"/>
          </reference>
          <reference field="2" count="0"/>
        </references>
      </pivotArea>
    </format>
    <format dxfId="73">
      <pivotArea collapsedLevelsAreSubtotals="1" fieldPosition="0">
        <references count="2">
          <reference field="4294967294" count="1">
            <x v="1"/>
          </reference>
          <reference field="2" count="0" selected="0" defaultSubtotal="1" sumSubtotal="1" countASubtotal="1" avgSubtotal="1" maxSubtotal="1" minSubtotal="1" productSubtotal="1" countSubtotal="1" stdDevSubtotal="1" stdDevPSubtotal="1" varSubtotal="1" varPSubtotal="1"/>
        </references>
      </pivotArea>
    </format>
    <format dxfId="72">
      <pivotArea collapsedLevelsAreSubtotals="1" fieldPosition="0">
        <references count="2">
          <reference field="4294967294" count="1" selected="0">
            <x v="1"/>
          </reference>
          <reference field="2" count="0"/>
        </references>
      </pivotArea>
    </format>
    <format dxfId="71">
      <pivotArea field="2" grandRow="1" outline="0" collapsedLevelsAreSubtotals="1" axis="axisRow" fieldPosition="1">
        <references count="1">
          <reference field="4294967294" count="2" selected="0">
            <x v="0"/>
            <x v="1"/>
          </reference>
        </references>
      </pivotArea>
    </format>
    <format dxfId="70">
      <pivotArea field="2" grandRow="1" outline="0" collapsedLevelsAreSubtotals="1" axis="axisRow" fieldPosition="1">
        <references count="1">
          <reference field="4294967294" count="2" selected="0">
            <x v="0"/>
            <x v="1"/>
          </reference>
        </references>
      </pivotArea>
    </format>
    <format dxfId="69">
      <pivotArea collapsedLevelsAreSubtotals="1" fieldPosition="0">
        <references count="2">
          <reference field="4294967294" count="1" selected="0">
            <x v="0"/>
          </reference>
          <reference field="2" count="0"/>
        </references>
      </pivotArea>
    </format>
    <format dxfId="68">
      <pivotArea collapsedLevelsAreSubtotals="1" fieldPosition="0">
        <references count="2">
          <reference field="4294967294" count="1">
            <x v="1"/>
          </reference>
          <reference field="2" count="0" selected="0" defaultSubtotal="1" sumSubtotal="1" countASubtotal="1" avgSubtotal="1" maxSubtotal="1" minSubtotal="1" productSubtotal="1" countSubtotal="1" stdDevSubtotal="1" stdDevPSubtotal="1" varSubtotal="1" varPSubtotal="1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Tableau croisé dynamique3" cacheId="9" dataOnRows="1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>
  <location ref="A3:M36" firstHeaderRow="1" firstDataRow="2" firstDataCol="1"/>
  <pivotFields count="286">
    <pivotField showAll="0"/>
    <pivotField axis="axisRow" showAll="0" sortType="ascending">
      <items count="15">
        <item x="10"/>
        <item x="13"/>
        <item x="6"/>
        <item x="4"/>
        <item x="12"/>
        <item x="0"/>
        <item x="5"/>
        <item x="3"/>
        <item x="11"/>
        <item x="9"/>
        <item x="7"/>
        <item x="2"/>
        <item x="1"/>
        <item x="8"/>
        <item t="default"/>
      </items>
    </pivotField>
    <pivotField showAll="0" defaultSubtotal="0"/>
    <pivotField axis="axisCol" showAll="0" sortType="ascending">
      <items count="12">
        <item x="0"/>
        <item x="1"/>
        <item x="2"/>
        <item x="3"/>
        <item x="4"/>
        <item x="6"/>
        <item x="5"/>
        <item x="7"/>
        <item x="8"/>
        <item x="9"/>
        <item x="10"/>
        <item t="default"/>
      </items>
    </pivotField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4" showAll="0" defaultSubtotal="0"/>
    <pivotField numFmtId="164"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/>
    <pivotField showAll="0" defaultSubtotal="0"/>
    <pivotField showAl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5" showAl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 defaultSubtotal="0"/>
    <pivotField showAll="0" defaultSubtotal="0"/>
    <pivotField showAll="0"/>
    <pivotField showAll="0"/>
    <pivotField numFmtId="165" showAll="0" defaultSubtotal="0"/>
    <pivotField showAll="0" defaultSubtotal="0"/>
    <pivotField showAll="0"/>
    <pivotField showAll="0"/>
    <pivotField showAll="0" defaultSubtotal="0"/>
    <pivotField showAll="0" defaultSubtotal="0"/>
    <pivotField dataField="1"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numFmtId="165" showAl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numFmtId="165" showAll="0" defaultSubtotal="0"/>
    <pivotField showAll="0" defaultSubtotal="0"/>
    <pivotField numFmtId="165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-2"/>
    <field x="1"/>
  </rowFields>
  <rowItems count="32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i="1">
      <x v="1"/>
    </i>
    <i r="1" i="1">
      <x/>
    </i>
    <i r="1" i="1">
      <x v="1"/>
    </i>
    <i r="1" i="1">
      <x v="2"/>
    </i>
    <i r="1" i="1">
      <x v="3"/>
    </i>
    <i r="1" i="1">
      <x v="4"/>
    </i>
    <i r="1" i="1">
      <x v="5"/>
    </i>
    <i r="1" i="1">
      <x v="6"/>
    </i>
    <i r="1" i="1">
      <x v="7"/>
    </i>
    <i r="1" i="1">
      <x v="8"/>
    </i>
    <i r="1" i="1">
      <x v="9"/>
    </i>
    <i r="1" i="1">
      <x v="10"/>
    </i>
    <i r="1" i="1">
      <x v="11"/>
    </i>
    <i r="1" i="1">
      <x v="12"/>
    </i>
    <i r="1" i="1">
      <x v="13"/>
    </i>
    <i t="grand">
      <x/>
    </i>
    <i t="grand" i="1">
      <x/>
    </i>
  </rowItems>
  <colFields count="1">
    <field x="3"/>
  </colFields>
  <col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colItems>
  <dataFields count="2">
    <dataField name="Somme de N" fld="29" baseField="0" baseItem="0"/>
    <dataField name="Somme de LBU y/c CAF " fld="193" baseField="8" baseItem="0"/>
  </dataFields>
  <formats count="65">
    <format dxfId="67">
      <pivotArea type="origin" dataOnly="0" labelOnly="1" outline="0" fieldPosition="0"/>
    </format>
    <format dxfId="66">
      <pivotArea field="3" type="button" dataOnly="0" labelOnly="1" outline="0" axis="axisCol" fieldPosition="0"/>
    </format>
    <format dxfId="65">
      <pivotArea field="1" type="button" dataOnly="0" labelOnly="1" outline="0" axis="axisRow" fieldPosition="1"/>
    </format>
    <format dxfId="64">
      <pivotArea field="-2" type="button" dataOnly="0" labelOnly="1" outline="0" axis="axisRow" fieldPosition="0"/>
    </format>
    <format dxfId="63">
      <pivotArea type="topRight" dataOnly="0" labelOnly="1" outline="0" fieldPosition="0"/>
    </format>
    <format dxfId="62">
      <pivotArea dataOnly="0" labelOnly="1" fieldPosition="0">
        <references count="1">
          <reference field="1" count="0"/>
        </references>
      </pivotArea>
    </format>
    <format dxfId="61">
      <pivotArea field="1" dataOnly="0" labelOnly="1" grandRow="1" outline="0" axis="axisRow" fieldPosition="1">
        <references count="1">
          <reference field="4294967294" count="1" selected="0">
            <x v="0"/>
          </reference>
        </references>
      </pivotArea>
    </format>
    <format dxfId="60">
      <pivotArea field="1" dataOnly="0" labelOnly="1" grandRow="1" outline="0" axis="axisRow" fieldPosition="1">
        <references count="1">
          <reference field="4294967294" count="1" selected="0">
            <x v="1"/>
          </reference>
        </references>
      </pivotArea>
    </format>
    <format dxfId="59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2"/>
          </reference>
        </references>
      </pivotArea>
    </format>
    <format dxfId="58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3"/>
          </reference>
        </references>
      </pivotArea>
    </format>
    <format dxfId="57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5"/>
          </reference>
        </references>
      </pivotArea>
    </format>
    <format dxfId="56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6"/>
          </reference>
        </references>
      </pivotArea>
    </format>
    <format dxfId="55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7"/>
          </reference>
        </references>
      </pivotArea>
    </format>
    <format dxfId="54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9"/>
          </reference>
        </references>
      </pivotArea>
    </format>
    <format dxfId="53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10"/>
          </reference>
        </references>
      </pivotArea>
    </format>
    <format dxfId="52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12"/>
          </reference>
        </references>
      </pivotArea>
    </format>
    <format dxfId="51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13"/>
          </reference>
        </references>
      </pivotArea>
    </format>
    <format dxfId="50">
      <pivotArea type="origin" dataOnly="0" labelOnly="1" outline="0" fieldPosition="0"/>
    </format>
    <format dxfId="49">
      <pivotArea field="1" type="button" dataOnly="0" labelOnly="1" outline="0" axis="axisRow" fieldPosition="1"/>
    </format>
    <format dxfId="48">
      <pivotArea field="-2" type="button" dataOnly="0" labelOnly="1" outline="0" axis="axisRow" fieldPosition="0"/>
    </format>
    <format dxfId="47">
      <pivotArea dataOnly="0" labelOnly="1" fieldPosition="0">
        <references count="1">
          <reference field="1" count="0"/>
        </references>
      </pivotArea>
    </format>
    <format dxfId="46">
      <pivotArea field="1" dataOnly="0" labelOnly="1" grandRow="1" outline="0" axis="axisRow" fieldPosition="1">
        <references count="1">
          <reference field="4294967294" count="1" selected="0">
            <x v="0"/>
          </reference>
        </references>
      </pivotArea>
    </format>
    <format dxfId="45">
      <pivotArea field="1" dataOnly="0" labelOnly="1" grandRow="1" outline="0" axis="axisRow" fieldPosition="1">
        <references count="1">
          <reference field="4294967294" count="1" selected="0">
            <x v="1"/>
          </reference>
        </references>
      </pivotArea>
    </format>
    <format dxfId="44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2"/>
          </reference>
        </references>
      </pivotArea>
    </format>
    <format dxfId="43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3"/>
          </reference>
        </references>
      </pivotArea>
    </format>
    <format dxfId="42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5"/>
          </reference>
        </references>
      </pivotArea>
    </format>
    <format dxfId="41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6"/>
          </reference>
        </references>
      </pivotArea>
    </format>
    <format dxfId="40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7"/>
          </reference>
        </references>
      </pivotArea>
    </format>
    <format dxfId="39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9"/>
          </reference>
        </references>
      </pivotArea>
    </format>
    <format dxfId="38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10"/>
          </reference>
        </references>
      </pivotArea>
    </format>
    <format dxfId="37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12"/>
          </reference>
        </references>
      </pivotArea>
    </format>
    <format dxfId="36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13"/>
          </reference>
        </references>
      </pivotArea>
    </format>
    <format dxfId="35">
      <pivotArea type="origin" dataOnly="0" labelOnly="1" outline="0" fieldPosition="0"/>
    </format>
    <format dxfId="34">
      <pivotArea field="1" type="button" dataOnly="0" labelOnly="1" outline="0" axis="axisRow" fieldPosition="1"/>
    </format>
    <format dxfId="33">
      <pivotArea field="-2" type="button" dataOnly="0" labelOnly="1" outline="0" axis="axisRow" fieldPosition="0"/>
    </format>
    <format dxfId="32">
      <pivotArea dataOnly="0" labelOnly="1" fieldPosition="0">
        <references count="1">
          <reference field="1" count="0"/>
        </references>
      </pivotArea>
    </format>
    <format dxfId="31">
      <pivotArea field="1" dataOnly="0" labelOnly="1" grandRow="1" outline="0" axis="axisRow" fieldPosition="1">
        <references count="1">
          <reference field="4294967294" count="1" selected="0">
            <x v="0"/>
          </reference>
        </references>
      </pivotArea>
    </format>
    <format dxfId="30">
      <pivotArea field="1" dataOnly="0" labelOnly="1" grandRow="1" outline="0" axis="axisRow" fieldPosition="1">
        <references count="1">
          <reference field="4294967294" count="1" selected="0">
            <x v="1"/>
          </reference>
        </references>
      </pivotArea>
    </format>
    <format dxfId="29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2"/>
          </reference>
        </references>
      </pivotArea>
    </format>
    <format dxfId="28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3"/>
          </reference>
        </references>
      </pivotArea>
    </format>
    <format dxfId="27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5"/>
          </reference>
        </references>
      </pivotArea>
    </format>
    <format dxfId="26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6"/>
          </reference>
        </references>
      </pivotArea>
    </format>
    <format dxfId="25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7"/>
          </reference>
        </references>
      </pivotArea>
    </format>
    <format dxfId="24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9"/>
          </reference>
        </references>
      </pivotArea>
    </format>
    <format dxfId="23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10"/>
          </reference>
        </references>
      </pivotArea>
    </format>
    <format dxfId="22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12"/>
          </reference>
        </references>
      </pivotArea>
    </format>
    <format dxfId="21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13"/>
          </reference>
        </references>
      </pivotArea>
    </format>
    <format dxfId="20">
      <pivotArea collapsedLevelsAreSubtotals="1" fieldPosition="0">
        <references count="2">
          <reference field="4294967294" count="1" selected="0">
            <x v="1"/>
          </reference>
          <reference field="1" count="0"/>
        </references>
      </pivotArea>
    </format>
    <format dxfId="19">
      <pivotArea field="1" grandRow="1" outline="0" collapsedLevelsAreSubtotals="1" axis="axisRow" fieldPosition="1">
        <references count="1">
          <reference field="4294967294" count="2" selected="0">
            <x v="0"/>
            <x v="1"/>
          </reference>
        </references>
      </pivotArea>
    </format>
    <format dxfId="18">
      <pivotArea collapsedLevelsAreSubtotals="1" fieldPosition="0">
        <references count="2">
          <reference field="4294967294" count="1" selected="0">
            <x v="0"/>
          </reference>
          <reference field="1" count="0"/>
        </references>
      </pivotArea>
    </format>
    <format dxfId="17">
      <pivotArea collapsedLevelsAreSubtotals="1" fieldPosition="0">
        <references count="2">
          <reference field="4294967294" count="1">
            <x v="1"/>
          </reference>
          <reference field="1" count="0" selected="0" defaultSubtotal="1" sumSubtotal="1" countASubtotal="1" avgSubtotal="1" maxSubtotal="1" minSubtotal="1" productSubtotal="1" countSubtotal="1" stdDevSubtotal="1" stdDevPSubtotal="1" varSubtotal="1" varPSubtotal="1"/>
        </references>
      </pivotArea>
    </format>
    <format dxfId="16">
      <pivotArea collapsedLevelsAreSubtotals="1" fieldPosition="0">
        <references count="2">
          <reference field="4294967294" count="1" selected="0">
            <x v="1"/>
          </reference>
          <reference field="1" count="0"/>
        </references>
      </pivotArea>
    </format>
    <format dxfId="15">
      <pivotArea field="1" grandRow="1" outline="0" collapsedLevelsAreSubtotals="1" axis="axisRow" fieldPosition="1">
        <references count="1">
          <reference field="4294967294" count="2" selected="0">
            <x v="0"/>
            <x v="1"/>
          </reference>
        </references>
      </pivotArea>
    </format>
    <format dxfId="14">
      <pivotArea collapsedLevelsAreSubtotals="1" fieldPosition="0">
        <references count="2">
          <reference field="4294967294" count="1" selected="0">
            <x v="0"/>
          </reference>
          <reference field="1" count="0"/>
        </references>
      </pivotArea>
    </format>
    <format dxfId="13">
      <pivotArea collapsedLevelsAreSubtotals="1" fieldPosition="0">
        <references count="2">
          <reference field="4294967294" count="1">
            <x v="1"/>
          </reference>
          <reference field="1" count="0" selected="0" defaultSubtotal="1" sumSubtotal="1" countASubtotal="1" avgSubtotal="1" maxSubtotal="1" minSubtotal="1" productSubtotal="1" countSubtotal="1" stdDevSubtotal="1" stdDevPSubtotal="1" varSubtotal="1" varPSubtotal="1"/>
        </references>
      </pivotArea>
    </format>
    <format dxfId="12">
      <pivotArea collapsedLevelsAreSubtotals="1" fieldPosition="0">
        <references count="2">
          <reference field="4294967294" count="1" selected="0">
            <x v="1"/>
          </reference>
          <reference field="1" count="0"/>
        </references>
      </pivotArea>
    </format>
    <format dxfId="11">
      <pivotArea field="1" grandRow="1" outline="0" collapsedLevelsAreSubtotals="1" axis="axisRow" fieldPosition="1">
        <references count="1">
          <reference field="4294967294" count="2" selected="0">
            <x v="0"/>
            <x v="1"/>
          </reference>
        </references>
      </pivotArea>
    </format>
    <format dxfId="10">
      <pivotArea outline="0" collapsedLevelsAreSubtotals="1" fieldPosition="0"/>
    </format>
    <format dxfId="9">
      <pivotArea field="3" type="button" dataOnly="0" labelOnly="1" outline="0" axis="axisCol" fieldPosition="0"/>
    </format>
    <format dxfId="8">
      <pivotArea type="topRight" dataOnly="0" labelOnly="1" outline="0" fieldPosition="0"/>
    </format>
    <format dxfId="7">
      <pivotArea dataOnly="0" labelOnly="1" grandCol="1" outline="0" fieldPosition="0"/>
    </format>
    <format dxfId="6">
      <pivotArea outline="0" collapsedLevelsAreSubtotals="1" fieldPosition="0"/>
    </format>
    <format dxfId="5">
      <pivotArea field="3" type="button" dataOnly="0" labelOnly="1" outline="0" axis="axisCol" fieldPosition="0"/>
    </format>
    <format dxfId="4">
      <pivotArea type="topRight" dataOnly="0" labelOnly="1" outline="0" fieldPosition="0"/>
    </format>
    <format dxfId="3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27:B37" totalsRowShown="0" headerRowDxfId="1">
  <autoFilter ref="A27:B37"/>
  <tableColumns count="2">
    <tableColumn id="1" name="Prog"/>
    <tableColumn id="2" name="€ / lgt" dataDxfId="0"/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4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N18"/>
  <sheetViews>
    <sheetView topLeftCell="B1" zoomScale="85" zoomScaleNormal="85" workbookViewId="0">
      <selection activeCell="C6" sqref="C6"/>
    </sheetView>
  </sheetViews>
  <sheetFormatPr baseColWidth="10" defaultRowHeight="15" x14ac:dyDescent="0.25"/>
  <cols>
    <col min="1" max="1" width="24.140625" customWidth="1"/>
    <col min="2" max="2" width="13.42578125" customWidth="1"/>
    <col min="3" max="3" width="26.5703125" customWidth="1"/>
    <col min="4" max="8" width="21.85546875" customWidth="1"/>
    <col min="9" max="9" width="19.140625" customWidth="1"/>
    <col min="10" max="10" width="15.5703125" customWidth="1"/>
    <col min="11" max="11" width="17.42578125" customWidth="1"/>
    <col min="13" max="13" width="19.85546875" customWidth="1"/>
    <col min="14" max="14" width="16.42578125" customWidth="1"/>
    <col min="15" max="15" width="13.42578125" customWidth="1"/>
    <col min="17" max="18" width="17.42578125" customWidth="1"/>
  </cols>
  <sheetData>
    <row r="3" spans="1:14" x14ac:dyDescent="0.25">
      <c r="A3" s="10" t="s">
        <v>116</v>
      </c>
      <c r="B3" t="s">
        <v>118</v>
      </c>
      <c r="C3" t="s">
        <v>289</v>
      </c>
      <c r="D3" t="s">
        <v>290</v>
      </c>
    </row>
    <row r="4" spans="1:14" x14ac:dyDescent="0.25">
      <c r="A4" s="11">
        <v>2010</v>
      </c>
      <c r="B4" s="12">
        <v>57</v>
      </c>
      <c r="C4" s="12">
        <v>2681444.15</v>
      </c>
      <c r="D4" s="12">
        <v>0</v>
      </c>
      <c r="E4" s="12"/>
      <c r="F4" s="12"/>
      <c r="G4" s="12"/>
      <c r="H4" s="12"/>
    </row>
    <row r="5" spans="1:14" x14ac:dyDescent="0.25">
      <c r="A5" s="11">
        <v>2011</v>
      </c>
      <c r="B5" s="12">
        <v>134</v>
      </c>
      <c r="C5" s="12">
        <v>2195018</v>
      </c>
      <c r="D5" s="12">
        <v>6482672</v>
      </c>
      <c r="E5" s="12"/>
      <c r="F5" s="12"/>
      <c r="G5" s="12"/>
      <c r="H5" s="12"/>
    </row>
    <row r="6" spans="1:14" x14ac:dyDescent="0.25">
      <c r="A6" s="11">
        <v>2012</v>
      </c>
      <c r="B6" s="12">
        <v>400</v>
      </c>
      <c r="C6" s="12">
        <v>4402986</v>
      </c>
      <c r="D6" s="12">
        <v>18405941.670000002</v>
      </c>
      <c r="E6" s="12"/>
      <c r="F6" s="12"/>
      <c r="G6" s="12"/>
      <c r="H6" s="12"/>
    </row>
    <row r="7" spans="1:14" x14ac:dyDescent="0.25">
      <c r="A7" s="11">
        <v>2013</v>
      </c>
      <c r="B7" s="12">
        <v>502</v>
      </c>
      <c r="C7" s="12">
        <v>5283242</v>
      </c>
      <c r="D7" s="12">
        <v>26693447.799999997</v>
      </c>
      <c r="E7" s="12"/>
      <c r="F7" s="12"/>
      <c r="G7" s="12"/>
      <c r="H7" s="12"/>
    </row>
    <row r="8" spans="1:14" x14ac:dyDescent="0.25">
      <c r="A8" s="11">
        <v>2014</v>
      </c>
      <c r="B8" s="12">
        <v>336</v>
      </c>
      <c r="C8" s="12">
        <v>6171983</v>
      </c>
      <c r="D8" s="12">
        <v>16687302.203087028</v>
      </c>
      <c r="E8" s="12"/>
      <c r="F8" s="12"/>
      <c r="G8" s="12"/>
      <c r="H8" s="12"/>
    </row>
    <row r="9" spans="1:14" x14ac:dyDescent="0.25">
      <c r="A9" s="11">
        <v>2015</v>
      </c>
      <c r="B9" s="12">
        <v>30</v>
      </c>
      <c r="C9" s="12">
        <v>572000</v>
      </c>
      <c r="D9" s="12">
        <v>1160586.3501746538</v>
      </c>
      <c r="E9" s="12"/>
      <c r="F9" s="12"/>
      <c r="G9" s="12"/>
      <c r="H9" s="12"/>
    </row>
    <row r="10" spans="1:14" x14ac:dyDescent="0.25">
      <c r="A10" s="11" t="s">
        <v>117</v>
      </c>
      <c r="B10" s="12">
        <v>1459</v>
      </c>
      <c r="C10" s="12">
        <v>21306673.149999999</v>
      </c>
      <c r="D10" s="12">
        <v>69429950.023261681</v>
      </c>
      <c r="E10" s="12"/>
      <c r="F10" s="12"/>
      <c r="G10" s="12"/>
      <c r="H10" s="12"/>
    </row>
    <row r="12" spans="1:14" ht="30.2" customHeight="1" x14ac:dyDescent="0.25">
      <c r="C12" s="107" t="s">
        <v>282</v>
      </c>
      <c r="D12" s="107" t="s">
        <v>297</v>
      </c>
      <c r="E12" s="107" t="s">
        <v>181</v>
      </c>
      <c r="F12" s="107" t="s">
        <v>298</v>
      </c>
      <c r="G12" s="107" t="s">
        <v>294</v>
      </c>
      <c r="H12" s="107" t="s">
        <v>299</v>
      </c>
      <c r="I12" s="103" t="s">
        <v>76</v>
      </c>
      <c r="J12" s="104" t="s">
        <v>77</v>
      </c>
      <c r="K12" s="104" t="s">
        <v>283</v>
      </c>
      <c r="L12" s="105" t="s">
        <v>296</v>
      </c>
      <c r="M12" s="104" t="s">
        <v>163</v>
      </c>
      <c r="N12" s="104" t="s">
        <v>295</v>
      </c>
    </row>
    <row r="13" spans="1:14" x14ac:dyDescent="0.25">
      <c r="B13" s="105">
        <v>2011</v>
      </c>
      <c r="C13" s="106">
        <f>J13/I13</f>
        <v>16380.731343283582</v>
      </c>
      <c r="D13" s="106">
        <f>$J$17/$I$17</f>
        <v>13158.330174927114</v>
      </c>
      <c r="E13" s="106">
        <f>K13/I13</f>
        <v>48378.149253731346</v>
      </c>
      <c r="F13" s="106">
        <f>$K$17/$I$17</f>
        <v>49759.011423532822</v>
      </c>
      <c r="G13" s="106">
        <f>E13+C13</f>
        <v>64758.880597014926</v>
      </c>
      <c r="H13" s="106"/>
      <c r="I13" s="102">
        <f>GETPIVOTDATA("Somme de N",$A$3,"Prog",2011)</f>
        <v>134</v>
      </c>
      <c r="J13" s="106">
        <f>GETPIVOTDATA("Somme de LBU y/c CAF 2",$A$3,"Prog",2011)</f>
        <v>2195018</v>
      </c>
      <c r="K13" s="106">
        <f>GETPIVOTDATA("Somme de DEFISC 2",$A$3,"Prog",2011)</f>
        <v>6482672</v>
      </c>
      <c r="L13" s="105">
        <f>$N$16/4</f>
        <v>21580648.168271758</v>
      </c>
      <c r="M13" s="105">
        <f>J13+K13</f>
        <v>8677690</v>
      </c>
      <c r="N13" s="108">
        <f>M13</f>
        <v>8677690</v>
      </c>
    </row>
    <row r="14" spans="1:14" x14ac:dyDescent="0.25">
      <c r="B14" s="105">
        <v>2012</v>
      </c>
      <c r="C14" s="106">
        <f>J14/I14</f>
        <v>11007.465</v>
      </c>
      <c r="D14" s="106">
        <f>$J$17/$I$17</f>
        <v>13158.330174927114</v>
      </c>
      <c r="E14" s="106">
        <f>K14/I14</f>
        <v>46014.854175000008</v>
      </c>
      <c r="F14" s="106">
        <f>$K$17/$I$17</f>
        <v>49759.011423532822</v>
      </c>
      <c r="G14" s="106">
        <f>E14+C14</f>
        <v>57022.319175000011</v>
      </c>
      <c r="H14" s="106"/>
      <c r="I14" s="102">
        <f>GETPIVOTDATA("Somme de N",$A$3,"Prog",2012)</f>
        <v>400</v>
      </c>
      <c r="J14" s="106">
        <f>GETPIVOTDATA("Somme de LBU y/c CAF 2",$A$3,"Prog",2012)</f>
        <v>4402986</v>
      </c>
      <c r="K14" s="106">
        <f>GETPIVOTDATA("Somme de DEFISC 2",$A$3,"Prog",2012)</f>
        <v>18405941.670000002</v>
      </c>
      <c r="L14" s="105">
        <f>$N$16/4</f>
        <v>21580648.168271758</v>
      </c>
      <c r="M14" s="105">
        <f>J14+K14</f>
        <v>22808927.670000002</v>
      </c>
      <c r="N14" s="108">
        <f>N13+M14</f>
        <v>31486617.670000002</v>
      </c>
    </row>
    <row r="15" spans="1:14" x14ac:dyDescent="0.25">
      <c r="B15" s="105">
        <v>2013</v>
      </c>
      <c r="C15" s="106">
        <f>J15/I15</f>
        <v>10524.386454183266</v>
      </c>
      <c r="D15" s="106">
        <f>$J$17/$I$17</f>
        <v>13158.330174927114</v>
      </c>
      <c r="E15" s="106">
        <f>K15/I15</f>
        <v>53174.19880478087</v>
      </c>
      <c r="F15" s="106">
        <f>$K$17/$I$17</f>
        <v>49759.011423532822</v>
      </c>
      <c r="G15" s="106">
        <f>E15+C15</f>
        <v>63698.585258964136</v>
      </c>
      <c r="H15" s="106"/>
      <c r="I15" s="102">
        <f>GETPIVOTDATA("Somme de N",$A$3,"Prog",2013)</f>
        <v>502</v>
      </c>
      <c r="J15" s="106">
        <f>GETPIVOTDATA("Somme de LBU y/c CAF 2",$A$3,"Prog",2013)</f>
        <v>5283242</v>
      </c>
      <c r="K15" s="106">
        <f>GETPIVOTDATA("Somme de DEFISC 2",$A$3,"Prog",2013)</f>
        <v>26693447.799999997</v>
      </c>
      <c r="L15" s="105">
        <f>$N$16/4</f>
        <v>21580648.168271758</v>
      </c>
      <c r="M15" s="105">
        <f>J15+K15</f>
        <v>31976689.799999997</v>
      </c>
      <c r="N15" s="108">
        <f>N14+M15</f>
        <v>63463307.469999999</v>
      </c>
    </row>
    <row r="16" spans="1:14" x14ac:dyDescent="0.25">
      <c r="B16" s="105">
        <v>2014</v>
      </c>
      <c r="C16" s="106">
        <f>J16/I16</f>
        <v>18368.997023809523</v>
      </c>
      <c r="D16" s="106">
        <f>$J$17/$I$17</f>
        <v>13158.330174927114</v>
      </c>
      <c r="E16" s="106">
        <f>K16/I16</f>
        <v>49664.589890139963</v>
      </c>
      <c r="F16" s="106">
        <f>$K$17/$I$17</f>
        <v>49759.011423532822</v>
      </c>
      <c r="G16" s="106">
        <f>E16+C16</f>
        <v>68033.58691394949</v>
      </c>
      <c r="H16" s="106"/>
      <c r="I16" s="102">
        <f>GETPIVOTDATA("Somme de N",$A$3,"Prog",2014)</f>
        <v>336</v>
      </c>
      <c r="J16" s="106">
        <f>GETPIVOTDATA("Somme de LBU y/c CAF 2",$A$3,"Prog",2014)</f>
        <v>6171983</v>
      </c>
      <c r="K16" s="106">
        <f>GETPIVOTDATA("Somme de DEFISC 2",$A$3,"Prog",2014)</f>
        <v>16687302.203087028</v>
      </c>
      <c r="L16" s="105">
        <f>$N$16/4</f>
        <v>21580648.168271758</v>
      </c>
      <c r="M16" s="105">
        <f>J16+K16</f>
        <v>22859285.203087028</v>
      </c>
      <c r="N16" s="108">
        <f>N15+M16</f>
        <v>86322592.673087031</v>
      </c>
    </row>
    <row r="17" spans="9:11" x14ac:dyDescent="0.25">
      <c r="I17" s="12">
        <f>SUM(I13:I16)</f>
        <v>1372</v>
      </c>
      <c r="J17" s="12">
        <f>SUM(J13:J16)</f>
        <v>18053229</v>
      </c>
      <c r="K17" s="12">
        <f>SUM(K13:K16)</f>
        <v>68269363.673087031</v>
      </c>
    </row>
    <row r="18" spans="9:11" x14ac:dyDescent="0.25">
      <c r="J18">
        <f>J17/I17</f>
        <v>13158.330174927114</v>
      </c>
    </row>
  </sheetData>
  <pageMargins left="0.70866141732283472" right="0.70866141732283472" top="0.74803149606299213" bottom="0.74803149606299213" header="0.31496062992125984" footer="0.31496062992125984"/>
  <pageSetup paperSize="9" scale="13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3:G15"/>
  <sheetViews>
    <sheetView view="pageBreakPreview" zoomScale="85" zoomScaleNormal="100" zoomScaleSheetLayoutView="85" workbookViewId="0">
      <selection activeCell="F13" sqref="F13"/>
    </sheetView>
  </sheetViews>
  <sheetFormatPr baseColWidth="10" defaultRowHeight="15" x14ac:dyDescent="0.25"/>
  <cols>
    <col min="1" max="1" width="12.5703125" bestFit="1" customWidth="1"/>
    <col min="2" max="2" width="22" bestFit="1" customWidth="1"/>
    <col min="3" max="3" width="18.42578125" bestFit="1" customWidth="1"/>
    <col min="4" max="4" width="32.28515625" hidden="1" customWidth="1"/>
    <col min="5" max="5" width="40.7109375" bestFit="1" customWidth="1"/>
    <col min="6" max="6" width="13.28515625" bestFit="1" customWidth="1"/>
  </cols>
  <sheetData>
    <row r="3" spans="1:7" s="17" customFormat="1" ht="30" x14ac:dyDescent="0.25">
      <c r="A3" s="144" t="s">
        <v>91</v>
      </c>
      <c r="B3" s="13" t="s">
        <v>228</v>
      </c>
      <c r="C3" s="13" t="s">
        <v>290</v>
      </c>
      <c r="D3" s="13" t="s">
        <v>224</v>
      </c>
      <c r="E3" s="13" t="s">
        <v>225</v>
      </c>
      <c r="F3" s="145" t="s">
        <v>226</v>
      </c>
    </row>
    <row r="4" spans="1:7" x14ac:dyDescent="0.25">
      <c r="A4" s="11">
        <v>2010</v>
      </c>
      <c r="B4" s="78">
        <v>11327899.658172499</v>
      </c>
      <c r="C4" s="78">
        <v>0</v>
      </c>
      <c r="D4" s="78"/>
      <c r="E4" s="78">
        <v>72193</v>
      </c>
      <c r="F4" s="79">
        <f>GETPIVOTDATA("Somme de FONDS PROPRES CONSTRUCTION",$A$3,"Prog",2010)/GETPIVOTDATA("Somme de PRP GLOBAL",$A$3,"Prog",2010)</f>
        <v>6.3730260841352391E-3</v>
      </c>
    </row>
    <row r="5" spans="1:7" x14ac:dyDescent="0.25">
      <c r="A5" s="11">
        <v>2011</v>
      </c>
      <c r="B5" s="78">
        <v>25699414.015997499</v>
      </c>
      <c r="C5" s="78">
        <v>6482672</v>
      </c>
      <c r="D5" s="78"/>
      <c r="E5" s="78">
        <v>253357.88</v>
      </c>
      <c r="F5" s="79">
        <f>GETPIVOTDATA("Somme de FONDS PROPRES CONSTRUCTION",$A$3,"Prog",2011)/GETPIVOTDATA("Somme de PRP GLOBAL",$A$3,"Prog",2011)</f>
        <v>9.8585080516734175E-3</v>
      </c>
      <c r="G5" s="79"/>
    </row>
    <row r="6" spans="1:7" x14ac:dyDescent="0.25">
      <c r="A6" s="11">
        <v>2012</v>
      </c>
      <c r="B6" s="78">
        <v>67647116.857161149</v>
      </c>
      <c r="C6" s="78">
        <v>18405941.669999998</v>
      </c>
      <c r="D6" s="78"/>
      <c r="E6" s="78">
        <v>1939299.0887433817</v>
      </c>
      <c r="F6" s="79">
        <f>GETPIVOTDATA("Somme de FONDS PROPRES CONSTRUCTION",$A$3,"Prog",2012)/GETPIVOTDATA("Somme de PRP GLOBAL",$A$3,"Prog",2012)</f>
        <v>2.8667874978888872E-2</v>
      </c>
    </row>
    <row r="7" spans="1:7" x14ac:dyDescent="0.25">
      <c r="A7" s="11">
        <v>2013</v>
      </c>
      <c r="B7" s="78">
        <v>80121717.986748546</v>
      </c>
      <c r="C7" s="78">
        <v>21647901.579999998</v>
      </c>
      <c r="D7" s="78"/>
      <c r="E7" s="78">
        <v>2682257.3922322965</v>
      </c>
      <c r="F7" s="79">
        <f>GETPIVOTDATA("Somme de FONDS PROPRES CONSTRUCTION",$A$3,"Prog",2013)/GETPIVOTDATA("Somme de PRP GLOBAL",$A$3,"Prog",2013)</f>
        <v>3.3477282559966064E-2</v>
      </c>
    </row>
    <row r="8" spans="1:7" x14ac:dyDescent="0.25">
      <c r="A8" s="11">
        <v>2014</v>
      </c>
      <c r="B8" s="78">
        <v>31653279.628394239</v>
      </c>
      <c r="C8" s="78">
        <v>8904343.5299999993</v>
      </c>
      <c r="D8" s="78"/>
      <c r="E8" s="78">
        <v>753806.57000000007</v>
      </c>
      <c r="F8" s="79">
        <f>GETPIVOTDATA("Somme de FONDS PROPRES CONSTRUCTION",$A$3,"Prog",2014)/GETPIVOTDATA("Somme de PRP GLOBAL",$A$3,"Prog",2014)</f>
        <v>2.3814485539874544E-2</v>
      </c>
    </row>
    <row r="9" spans="1:7" x14ac:dyDescent="0.25">
      <c r="A9" s="11">
        <v>2015</v>
      </c>
      <c r="B9" s="78">
        <v>29635305.456584074</v>
      </c>
      <c r="C9" s="78">
        <v>9746712.1834734883</v>
      </c>
      <c r="D9" s="78"/>
      <c r="E9" s="78">
        <v>287529.74933156744</v>
      </c>
      <c r="F9" s="79">
        <f>GETPIVOTDATA("Somme de FONDS PROPRES CONSTRUCTION",$A$3,"Prog",2015)/GETPIVOTDATA("Somme de PRP GLOBAL",$A$3,"Prog",2015)</f>
        <v>9.7022704811597273E-3</v>
      </c>
    </row>
    <row r="10" spans="1:7" ht="15" customHeight="1" x14ac:dyDescent="0.25">
      <c r="A10" s="11">
        <v>2016</v>
      </c>
      <c r="B10" s="78">
        <v>46987024.893250994</v>
      </c>
      <c r="C10" s="78">
        <v>14170301.870579321</v>
      </c>
      <c r="D10" s="78"/>
      <c r="E10" s="78">
        <v>0</v>
      </c>
      <c r="F10" s="79">
        <f>GETPIVOTDATA("Somme de FONDS PROPRES CONSTRUCTION",$A$3,"Prog",2016)/GETPIVOTDATA("Somme de PRP GLOBAL",$A$3,"Prog",2016)</f>
        <v>0</v>
      </c>
    </row>
    <row r="11" spans="1:7" ht="15.75" customHeight="1" x14ac:dyDescent="0.25">
      <c r="A11" s="11">
        <v>2017</v>
      </c>
      <c r="B11" s="78">
        <v>101931779.68987177</v>
      </c>
      <c r="C11" s="78">
        <v>4495343</v>
      </c>
      <c r="D11" s="78"/>
      <c r="E11" s="78">
        <v>640000</v>
      </c>
      <c r="F11" s="79">
        <f>GETPIVOTDATA("Somme de FONDS PROPRES CONSTRUCTION",$A$3,"Prog",2017)/GETPIVOTDATA("Somme de PRP GLOBAL",$A$3,"Prog",2017)</f>
        <v>6.2787091714400058E-3</v>
      </c>
    </row>
    <row r="12" spans="1:7" x14ac:dyDescent="0.25">
      <c r="A12" s="11">
        <v>2018</v>
      </c>
      <c r="B12" s="78">
        <v>51549343.86260087</v>
      </c>
      <c r="C12" s="78">
        <v>2453047</v>
      </c>
      <c r="D12" s="78"/>
      <c r="E12" s="78">
        <v>698485.19</v>
      </c>
      <c r="F12" s="79">
        <f>GETPIVOTDATA("Somme de FONDS PROPRES CONSTRUCTION",$A$3,"Prog",2018)/GETPIVOTDATA("Somme de PRP GLOBAL",$A$3,"Prog",2018)</f>
        <v>1.3549836674191931E-2</v>
      </c>
    </row>
    <row r="13" spans="1:7" x14ac:dyDescent="0.25">
      <c r="A13" s="11">
        <v>2019</v>
      </c>
      <c r="B13" s="78">
        <v>12848489.337011022</v>
      </c>
      <c r="C13" s="78"/>
      <c r="D13" s="78"/>
      <c r="E13" s="78">
        <v>0</v>
      </c>
    </row>
    <row r="14" spans="1:7" x14ac:dyDescent="0.25">
      <c r="A14" s="11" t="s">
        <v>991</v>
      </c>
      <c r="B14" s="78">
        <v>5493565.2401729496</v>
      </c>
      <c r="C14" s="78"/>
      <c r="D14" s="78"/>
      <c r="E14" s="78"/>
    </row>
    <row r="15" spans="1:7" x14ac:dyDescent="0.25">
      <c r="A15" s="11" t="s">
        <v>117</v>
      </c>
      <c r="B15" s="78">
        <v>464894936.6259656</v>
      </c>
      <c r="C15" s="78">
        <v>86306262.834052816</v>
      </c>
      <c r="D15" s="78"/>
      <c r="E15" s="78">
        <v>7326928.8703072462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2"/>
  <headerFooter>
    <oddFooter>&amp;R&amp;D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abSelected="1" topLeftCell="A16" zoomScale="70" zoomScaleNormal="70" workbookViewId="0">
      <selection activeCell="B30" sqref="B30"/>
    </sheetView>
  </sheetViews>
  <sheetFormatPr baseColWidth="10" defaultRowHeight="15" x14ac:dyDescent="0.25"/>
  <cols>
    <col min="1" max="1" width="11.5703125" customWidth="1"/>
    <col min="2" max="2" width="22.5703125" customWidth="1"/>
    <col min="3" max="3" width="12.28515625" customWidth="1"/>
  </cols>
  <sheetData>
    <row r="1" spans="1:10" x14ac:dyDescent="0.25">
      <c r="A1" s="673" t="s">
        <v>1055</v>
      </c>
      <c r="B1" s="674"/>
      <c r="C1" s="674"/>
      <c r="D1" s="657"/>
      <c r="E1" s="657"/>
      <c r="F1" s="657"/>
      <c r="G1" s="657"/>
      <c r="H1" s="657"/>
      <c r="I1" s="657"/>
      <c r="J1" s="658"/>
    </row>
    <row r="2" spans="1:10" x14ac:dyDescent="0.25">
      <c r="A2" s="641"/>
      <c r="B2" s="642"/>
      <c r="C2" s="642"/>
      <c r="D2" s="642"/>
      <c r="E2" s="642"/>
      <c r="F2" s="642"/>
      <c r="G2" s="642"/>
      <c r="H2" s="642"/>
      <c r="I2" s="642"/>
      <c r="J2" s="643"/>
    </row>
    <row r="3" spans="1:10" x14ac:dyDescent="0.25">
      <c r="A3" s="644"/>
      <c r="B3" s="645" t="s">
        <v>547</v>
      </c>
      <c r="C3" s="646" t="s">
        <v>548</v>
      </c>
      <c r="D3" s="642"/>
      <c r="E3" s="642"/>
      <c r="F3" s="642"/>
      <c r="G3" s="642"/>
      <c r="H3" s="642"/>
      <c r="I3" s="642"/>
      <c r="J3" s="643"/>
    </row>
    <row r="4" spans="1:10" x14ac:dyDescent="0.25">
      <c r="A4" s="647">
        <v>2011</v>
      </c>
      <c r="B4" s="648">
        <f>SUMPRODUCT((YEAR(OS)=2011)*Nlgts)</f>
        <v>127</v>
      </c>
      <c r="C4" s="649">
        <f>SUMPRODUCT((YEAR(Livraison)=2011)*(Nlgts))</f>
        <v>0</v>
      </c>
      <c r="D4" s="642"/>
      <c r="E4" s="642"/>
      <c r="F4" s="642"/>
      <c r="G4" s="642"/>
      <c r="H4" s="642"/>
      <c r="I4" s="642"/>
      <c r="J4" s="643"/>
    </row>
    <row r="5" spans="1:10" x14ac:dyDescent="0.25">
      <c r="A5" s="647">
        <v>2012</v>
      </c>
      <c r="B5" s="648">
        <f>SUMPRODUCT((YEAR(OS)=2012)*Nlgts)</f>
        <v>64</v>
      </c>
      <c r="C5" s="649">
        <f>SUMPRODUCT((YEAR(Livraison)=2012)*(Nlgts))</f>
        <v>0</v>
      </c>
      <c r="D5" s="642"/>
      <c r="E5" s="642"/>
      <c r="F5" s="642"/>
      <c r="G5" s="642"/>
      <c r="H5" s="642"/>
      <c r="I5" s="642"/>
      <c r="J5" s="643"/>
    </row>
    <row r="6" spans="1:10" x14ac:dyDescent="0.25">
      <c r="A6" s="647">
        <v>2013</v>
      </c>
      <c r="B6" s="648">
        <f>SUMPRODUCT((YEAR(OS)=2013)*Nlgts)</f>
        <v>400</v>
      </c>
      <c r="C6" s="649">
        <f>SUMPRODUCT((YEAR(Livraison)=2013)*(Nlgts))</f>
        <v>70</v>
      </c>
      <c r="D6" s="642"/>
      <c r="E6" s="642"/>
      <c r="F6" s="642"/>
      <c r="G6" s="642"/>
      <c r="H6" s="642"/>
      <c r="I6" s="642"/>
      <c r="J6" s="643"/>
    </row>
    <row r="7" spans="1:10" x14ac:dyDescent="0.25">
      <c r="A7" s="647">
        <v>2014</v>
      </c>
      <c r="B7" s="648">
        <f>SUMPRODUCT((YEAR(OS)=2014)*Nlgts)</f>
        <v>278</v>
      </c>
      <c r="C7" s="649">
        <f>SUMPRODUCT((YEAR(Livraison)=2014)*(Nlgts))</f>
        <v>226</v>
      </c>
      <c r="D7" s="642"/>
      <c r="E7" s="642"/>
      <c r="F7" s="642"/>
      <c r="G7" s="642"/>
      <c r="H7" s="642"/>
      <c r="I7" s="642"/>
      <c r="J7" s="643"/>
    </row>
    <row r="8" spans="1:10" x14ac:dyDescent="0.25">
      <c r="A8" s="647">
        <v>2015</v>
      </c>
      <c r="B8" s="648">
        <f>SUMPRODUCT((YEAR(OS)=2015)*Nlgts)</f>
        <v>222</v>
      </c>
      <c r="C8" s="649">
        <f>SUMPRODUCT((YEAR(Livraison)=2015)*(Nlgts))</f>
        <v>181</v>
      </c>
      <c r="D8" s="642"/>
      <c r="E8" s="642"/>
      <c r="F8" s="642"/>
      <c r="G8" s="642"/>
      <c r="H8" s="642"/>
      <c r="I8" s="642"/>
      <c r="J8" s="643"/>
    </row>
    <row r="9" spans="1:10" x14ac:dyDescent="0.25">
      <c r="A9" s="647">
        <v>2016</v>
      </c>
      <c r="B9" s="648">
        <f>SUMPRODUCT((YEAR(OS)=2016)*Nlgts)</f>
        <v>48</v>
      </c>
      <c r="C9" s="649">
        <f>SUMPRODUCT((YEAR(Livraison)=2016)*(Nlgts))</f>
        <v>244</v>
      </c>
      <c r="D9" s="642"/>
      <c r="E9" s="642"/>
      <c r="F9" s="642"/>
      <c r="G9" s="642"/>
      <c r="H9" s="642"/>
      <c r="I9" s="642"/>
      <c r="J9" s="643"/>
    </row>
    <row r="10" spans="1:10" x14ac:dyDescent="0.25">
      <c r="A10" s="650">
        <v>2017</v>
      </c>
      <c r="B10" s="648">
        <f>SUMPRODUCT((YEAR(OS)=2017)*Nlgts)</f>
        <v>531</v>
      </c>
      <c r="C10" s="649">
        <f>SUMPRODUCT((YEAR(Livraison)=2017)*(Nlgts))</f>
        <v>235</v>
      </c>
      <c r="D10" s="642"/>
      <c r="E10" s="642"/>
      <c r="F10" s="642"/>
      <c r="G10" s="642"/>
      <c r="H10" s="642"/>
      <c r="I10" s="642"/>
      <c r="J10" s="643"/>
    </row>
    <row r="11" spans="1:10" x14ac:dyDescent="0.25">
      <c r="A11" s="650">
        <v>2018</v>
      </c>
      <c r="B11" s="648">
        <f>SUMPRODUCT((YEAR(OS)=2018)*Nlgts)</f>
        <v>329</v>
      </c>
      <c r="C11" s="649">
        <f>SUMPRODUCT((YEAR(Livraison)=2018)*(Nlgts))</f>
        <v>431</v>
      </c>
      <c r="D11" s="642"/>
      <c r="E11" s="642"/>
      <c r="F11" s="642"/>
      <c r="G11" s="642"/>
      <c r="H11" s="642"/>
      <c r="I11" s="642"/>
      <c r="J11" s="643"/>
    </row>
    <row r="12" spans="1:10" x14ac:dyDescent="0.25">
      <c r="A12" s="650">
        <v>2019</v>
      </c>
      <c r="B12" s="648">
        <f>SUMPRODUCT((YEAR(OS)=20191)*Nlgts)</f>
        <v>0</v>
      </c>
      <c r="C12" s="649">
        <f>SUMPRODUCT((YEAR(Livraison)=2019)*(Nlgts))</f>
        <v>361</v>
      </c>
      <c r="D12" s="642"/>
      <c r="E12" s="642"/>
      <c r="F12" s="642"/>
      <c r="G12" s="642"/>
      <c r="H12" s="642"/>
      <c r="I12" s="642"/>
      <c r="J12" s="643"/>
    </row>
    <row r="13" spans="1:10" x14ac:dyDescent="0.25">
      <c r="A13" s="650">
        <v>2020</v>
      </c>
      <c r="B13" s="648">
        <f>SUMPRODUCT((YEAR(OS)=2020)*Nlgts)</f>
        <v>48</v>
      </c>
      <c r="C13" s="649">
        <f>SUMPRODUCT((YEAR(Livraison)=2020)*(Nlgts))</f>
        <v>244</v>
      </c>
      <c r="D13" s="642"/>
      <c r="E13" s="642"/>
      <c r="F13" s="642"/>
      <c r="G13" s="642"/>
      <c r="H13" s="642"/>
      <c r="I13" s="642"/>
      <c r="J13" s="643"/>
    </row>
    <row r="14" spans="1:10" x14ac:dyDescent="0.25">
      <c r="A14" s="644"/>
      <c r="B14" s="651">
        <f>SUM(B4:B13)</f>
        <v>2047</v>
      </c>
      <c r="C14" s="652">
        <f>SUM(C4:C13)</f>
        <v>1992</v>
      </c>
      <c r="D14" s="642"/>
      <c r="E14" s="642"/>
      <c r="F14" s="642"/>
      <c r="G14" s="642"/>
      <c r="H14" s="642"/>
      <c r="I14" s="642"/>
      <c r="J14" s="643"/>
    </row>
    <row r="15" spans="1:10" ht="15.75" thickBot="1" x14ac:dyDescent="0.3">
      <c r="A15" s="653"/>
      <c r="B15" s="654"/>
      <c r="C15" s="654"/>
      <c r="D15" s="654"/>
      <c r="E15" s="654"/>
      <c r="F15" s="654"/>
      <c r="G15" s="654"/>
      <c r="H15" s="654"/>
      <c r="I15" s="654"/>
      <c r="J15" s="655"/>
    </row>
    <row r="16" spans="1:10" x14ac:dyDescent="0.25">
      <c r="A16" s="671" t="s">
        <v>1057</v>
      </c>
      <c r="B16" s="657"/>
      <c r="C16" s="657"/>
      <c r="D16" s="657"/>
      <c r="E16" s="657"/>
      <c r="F16" s="657"/>
      <c r="G16" s="657"/>
      <c r="H16" s="657"/>
      <c r="I16" s="657"/>
      <c r="J16" s="658"/>
    </row>
    <row r="17" spans="1:10" x14ac:dyDescent="0.25">
      <c r="A17" s="644"/>
      <c r="B17" s="642"/>
      <c r="C17" s="642"/>
      <c r="D17" s="642"/>
      <c r="E17" s="642"/>
      <c r="F17" s="642"/>
      <c r="G17" s="642"/>
      <c r="H17" s="642"/>
      <c r="I17" s="642"/>
      <c r="J17" s="643"/>
    </row>
    <row r="18" spans="1:10" x14ac:dyDescent="0.25">
      <c r="A18" s="644"/>
      <c r="B18" s="642"/>
      <c r="C18" s="642"/>
      <c r="D18" s="642"/>
      <c r="E18" s="642"/>
      <c r="F18" s="642"/>
      <c r="G18" s="642"/>
      <c r="H18" s="642"/>
      <c r="I18" s="642"/>
      <c r="J18" s="643"/>
    </row>
    <row r="19" spans="1:10" s="507" customFormat="1" x14ac:dyDescent="0.25">
      <c r="A19" s="659" t="s">
        <v>576</v>
      </c>
      <c r="B19" s="660" t="s">
        <v>1056</v>
      </c>
      <c r="C19" s="660" t="s">
        <v>1058</v>
      </c>
      <c r="D19" s="660"/>
      <c r="E19" s="660"/>
      <c r="F19" s="660"/>
      <c r="G19" s="660"/>
      <c r="H19" s="660"/>
      <c r="I19" s="660"/>
      <c r="J19" s="661"/>
    </row>
    <row r="20" spans="1:10" x14ac:dyDescent="0.25">
      <c r="A20" s="662" t="s">
        <v>577</v>
      </c>
      <c r="B20" s="663">
        <f>SUMPRODUCT((Nlgts&gt;=1)*(Nlgts&lt;=19))*(Type&lt;&gt;"Rehab")*(Type&lt;&gt;"PLS")</f>
        <v>30</v>
      </c>
      <c r="C20" s="663">
        <f>SUMPRODUCT((Nlgts&gt;=1)*((Nlgts&lt;=19)*((Nlgts))*(Type&lt;&gt;"Rehab")*(Type&lt;&gt;"PLS")))</f>
        <v>367</v>
      </c>
      <c r="D20" s="642"/>
      <c r="E20" s="642"/>
      <c r="F20" s="642"/>
      <c r="G20" s="642"/>
      <c r="H20" s="642"/>
      <c r="I20" s="642"/>
      <c r="J20" s="643"/>
    </row>
    <row r="21" spans="1:10" x14ac:dyDescent="0.25">
      <c r="A21" s="664" t="s">
        <v>578</v>
      </c>
      <c r="B21" s="665">
        <f>SUMPRODUCT((Nlgts&gt;=20)*(Nlgts&lt;=39))*(Type&lt;&gt;"Rehab")*(Type&lt;&gt;"PLS")</f>
        <v>45</v>
      </c>
      <c r="C21" s="665">
        <f>SUMPRODUCT((Nlgts&gt;=20)*((Nlgts&lt;=39)*((Nlgts))*(Type&lt;&gt;"Rehab")*(Type&lt;&gt;"PLS")))</f>
        <v>996</v>
      </c>
      <c r="D21" s="642"/>
      <c r="E21" s="642"/>
      <c r="F21" s="642"/>
      <c r="G21" s="642"/>
      <c r="H21" s="642"/>
      <c r="I21" s="642"/>
      <c r="J21" s="643"/>
    </row>
    <row r="22" spans="1:10" x14ac:dyDescent="0.25">
      <c r="A22" s="666" t="s">
        <v>579</v>
      </c>
      <c r="B22" s="667">
        <f>SUMPRODUCT((Nlgts&gt;=40)*(Nlgts&lt;=59))*(Type&lt;&gt;"Rehab")*(Type&lt;&gt;"PLS")</f>
        <v>20</v>
      </c>
      <c r="C22" s="667">
        <f>SUMPRODUCT((Nlgts&gt;=40)*((Nlgts&lt;=59)*((Nlgts)))*(Type&lt;&gt;"Rehab")*(Type&lt;&gt;"PLS"))</f>
        <v>902</v>
      </c>
      <c r="D22" s="642"/>
      <c r="E22" s="642"/>
      <c r="F22" s="642"/>
      <c r="G22" s="642"/>
      <c r="H22" s="642"/>
      <c r="I22" s="642"/>
      <c r="J22" s="643"/>
    </row>
    <row r="23" spans="1:10" x14ac:dyDescent="0.25">
      <c r="A23" s="668" t="s">
        <v>580</v>
      </c>
      <c r="B23" s="669">
        <f>SUMPRODUCT((Nlgts&gt;=60)*(Type&lt;&gt;"Rehab")*(Type&lt;&gt;"PLS"))</f>
        <v>9</v>
      </c>
      <c r="C23" s="669">
        <f>SUMPRODUCT((Nlgts&gt;=60)*((Nlgts))*(Type&lt;&gt;"Rehab")*(Type&lt;&gt;"PLS"))</f>
        <v>668</v>
      </c>
      <c r="D23" s="642"/>
      <c r="E23" s="642"/>
      <c r="F23" s="642"/>
      <c r="G23" s="642"/>
      <c r="H23" s="642"/>
      <c r="I23" s="642"/>
      <c r="J23" s="643"/>
    </row>
    <row r="24" spans="1:10" x14ac:dyDescent="0.25">
      <c r="A24" s="644"/>
      <c r="B24" s="670">
        <f>SUM(B20:B23)</f>
        <v>104</v>
      </c>
      <c r="C24" s="670">
        <f>SUM(C20:C23)</f>
        <v>2933</v>
      </c>
      <c r="D24" s="642"/>
      <c r="E24" s="642"/>
      <c r="F24" s="642"/>
      <c r="G24" s="642"/>
      <c r="H24" s="642"/>
      <c r="I24" s="642"/>
      <c r="J24" s="643"/>
    </row>
    <row r="25" spans="1:10" ht="15.75" thickBot="1" x14ac:dyDescent="0.3">
      <c r="A25" s="653"/>
      <c r="B25" s="654"/>
      <c r="C25" s="654"/>
      <c r="D25" s="654"/>
      <c r="E25" s="654"/>
      <c r="F25" s="654"/>
      <c r="G25" s="654"/>
      <c r="H25" s="654"/>
      <c r="I25" s="654"/>
      <c r="J25" s="655"/>
    </row>
    <row r="26" spans="1:10" x14ac:dyDescent="0.25">
      <c r="A26" s="671" t="s">
        <v>1065</v>
      </c>
      <c r="B26" s="671"/>
      <c r="C26" s="671"/>
      <c r="D26" s="671"/>
      <c r="E26" s="671"/>
      <c r="F26" s="671"/>
      <c r="G26" s="671"/>
      <c r="H26" s="671"/>
      <c r="I26" s="671"/>
      <c r="J26" s="685"/>
    </row>
    <row r="27" spans="1:10" x14ac:dyDescent="0.25">
      <c r="A27" s="686" t="s">
        <v>91</v>
      </c>
      <c r="B27" s="687" t="s">
        <v>1066</v>
      </c>
      <c r="C27" s="642"/>
      <c r="D27" s="642"/>
      <c r="E27" s="642"/>
      <c r="F27" s="642"/>
      <c r="G27" s="642"/>
      <c r="H27" s="642"/>
      <c r="I27" s="642"/>
      <c r="J27" s="643"/>
    </row>
    <row r="28" spans="1:10" x14ac:dyDescent="0.25">
      <c r="A28" s="644">
        <v>2010</v>
      </c>
      <c r="B28" s="688">
        <f>(SUMPRODUCT(((Prog)=2010)*Px_Foncier))/(SUMPRODUCT((Nlgts)*(Type&lt;&gt;"Rehab")*(Type&lt;&gt;"PLS")*((Prog)=2010)))</f>
        <v>22486.427017543861</v>
      </c>
      <c r="C28" s="642"/>
      <c r="D28" s="642"/>
      <c r="E28" s="642"/>
      <c r="F28" s="642"/>
      <c r="G28" s="642"/>
      <c r="H28" s="642"/>
      <c r="I28" s="642"/>
      <c r="J28" s="643"/>
    </row>
    <row r="29" spans="1:10" x14ac:dyDescent="0.25">
      <c r="A29" s="644">
        <v>2011</v>
      </c>
      <c r="B29" s="688">
        <f>(SUMPRODUCT(((Prog)=2011)*Px_Foncier))/(SUMPRODUCT((Nlgts)*(Type&lt;&gt;"Rehab")*(Type&lt;&gt;"PLS")*((Prog)=2011)))</f>
        <v>20668.457089552237</v>
      </c>
      <c r="C29" s="642"/>
      <c r="D29" s="642"/>
      <c r="E29" s="642"/>
      <c r="F29" s="642"/>
      <c r="G29" s="688"/>
      <c r="H29" s="642"/>
      <c r="I29" s="642"/>
      <c r="J29" s="643"/>
    </row>
    <row r="30" spans="1:10" x14ac:dyDescent="0.25">
      <c r="A30" s="644">
        <v>2012</v>
      </c>
      <c r="B30" s="688">
        <f>(SUMPRODUCT(((Prog)=2012)*Px_Foncier))/(SUMPRODUCT((Nlgts)*(Type&lt;&gt;"Rehab")*(Type&lt;&gt;"PLS")*((Prog)=2012)))</f>
        <v>13425.0975</v>
      </c>
      <c r="C30" s="642"/>
      <c r="D30" s="642"/>
      <c r="E30" s="642"/>
      <c r="F30" s="642"/>
      <c r="G30" s="642"/>
      <c r="H30" s="642"/>
      <c r="I30" s="642"/>
      <c r="J30" s="643"/>
    </row>
    <row r="31" spans="1:10" x14ac:dyDescent="0.25">
      <c r="A31" s="644">
        <v>2013</v>
      </c>
      <c r="B31" s="688">
        <f>(SUMPRODUCT(((Prog)=2013)*Px_Foncier))/(SUMPRODUCT((Nlgts)*(Type&lt;&gt;"Rehab")*(Type&lt;&gt;"PLS")*((Prog)=2013)))</f>
        <v>13305.622828784119</v>
      </c>
      <c r="C31" s="642"/>
      <c r="D31" s="642"/>
      <c r="E31" s="642"/>
      <c r="F31" s="642"/>
      <c r="G31" s="642"/>
      <c r="H31" s="642"/>
      <c r="I31" s="642"/>
      <c r="J31" s="643"/>
    </row>
    <row r="32" spans="1:10" x14ac:dyDescent="0.25">
      <c r="A32" s="644">
        <v>2014</v>
      </c>
      <c r="B32" s="688">
        <f>(SUMPRODUCT(((Prog)=2014)*Px_Foncier))/(SUMPRODUCT((Nlgts)*(Type&lt;&gt;"Rehab")*(Type&lt;&gt;"PLS")*((Prog)=2014)))</f>
        <v>16551.254335260117</v>
      </c>
      <c r="C32" s="642"/>
      <c r="D32" s="642"/>
      <c r="E32" s="642"/>
      <c r="F32" s="642"/>
      <c r="G32" s="642"/>
      <c r="H32" s="642"/>
      <c r="I32" s="642"/>
      <c r="J32" s="643"/>
    </row>
    <row r="33" spans="1:10" x14ac:dyDescent="0.25">
      <c r="A33" s="644">
        <v>2015</v>
      </c>
      <c r="B33" s="688">
        <f>(SUMPRODUCT(((Prog)=2015)*Px_Foncier))/(SUMPRODUCT((Nlgts)*(Type&lt;&gt;"Rehab")*(Type&lt;&gt;"PLS")*((Prog)=2015)))</f>
        <v>12771.682692307691</v>
      </c>
      <c r="C33" s="642"/>
      <c r="D33" s="642"/>
      <c r="E33" s="642"/>
      <c r="F33" s="642"/>
      <c r="G33" s="642"/>
      <c r="H33" s="642"/>
      <c r="I33" s="642"/>
      <c r="J33" s="643"/>
    </row>
    <row r="34" spans="1:10" x14ac:dyDescent="0.25">
      <c r="A34" s="644">
        <v>2016</v>
      </c>
      <c r="B34" s="688">
        <f>(SUMPRODUCT(((Prog)=2016)*Px_Foncier))/(SUMPRODUCT((Nlgts)*(Type&lt;&gt;"Rehab")*(Type&lt;&gt;"PLS")*((Prog)=2016)))</f>
        <v>14886.459546925566</v>
      </c>
      <c r="C34" s="642"/>
      <c r="D34" s="642"/>
      <c r="E34" s="642"/>
      <c r="F34" s="642"/>
      <c r="G34" s="642"/>
      <c r="H34" s="642"/>
      <c r="I34" s="642"/>
      <c r="J34" s="643"/>
    </row>
    <row r="35" spans="1:10" x14ac:dyDescent="0.25">
      <c r="A35" s="644">
        <v>2017</v>
      </c>
      <c r="B35" s="688">
        <f>(SUMPRODUCT(((Prog)=2017)*Px_Foncier))/(SUMPRODUCT((Nlgts)*(Type&lt;&gt;"Rehab")*(Type&lt;&gt;"PLS")*((Prog)=2017)))</f>
        <v>4284.153498871332</v>
      </c>
      <c r="C35" s="642"/>
      <c r="D35" s="642"/>
      <c r="E35" s="642"/>
      <c r="F35" s="642"/>
      <c r="G35" s="642"/>
      <c r="H35" s="642"/>
      <c r="I35" s="642"/>
      <c r="J35" s="643"/>
    </row>
    <row r="36" spans="1:10" x14ac:dyDescent="0.25">
      <c r="A36" s="644">
        <v>2018</v>
      </c>
      <c r="B36" s="688">
        <f>(SUMPRODUCT(((Prog)=2018)*Px_Foncier))/(SUMPRODUCT((Nlgts)*(Type&lt;&gt;"Rehab")*(Type&lt;&gt;"PLS")*((Prog)=2018)))</f>
        <v>1212.121212121212</v>
      </c>
      <c r="C36" s="642"/>
      <c r="D36" s="642"/>
      <c r="E36" s="642"/>
      <c r="F36" s="642"/>
      <c r="G36" s="642"/>
      <c r="H36" s="642"/>
      <c r="I36" s="642"/>
      <c r="J36" s="643"/>
    </row>
    <row r="37" spans="1:10" x14ac:dyDescent="0.25">
      <c r="A37" s="644">
        <v>2019</v>
      </c>
      <c r="B37" s="688">
        <f>(SUMPRODUCT(((Prog)=2019)*Px_Foncier))/(SUMPRODUCT((Nlgts)*(Type&lt;&gt;"Rehab")*(Type&lt;&gt;"PLS")*((Prog)=2019)))</f>
        <v>4638.260869565217</v>
      </c>
      <c r="C37" s="642"/>
      <c r="D37" s="642"/>
      <c r="E37" s="642"/>
      <c r="F37" s="642"/>
      <c r="G37" s="642"/>
      <c r="H37" s="642"/>
      <c r="I37" s="642"/>
      <c r="J37" s="643"/>
    </row>
    <row r="38" spans="1:10" ht="15.75" thickBot="1" x14ac:dyDescent="0.3">
      <c r="A38" s="653"/>
      <c r="B38" s="654"/>
      <c r="C38" s="654"/>
      <c r="D38" s="654"/>
      <c r="E38" s="654"/>
      <c r="F38" s="654"/>
      <c r="G38" s="654"/>
      <c r="H38" s="654"/>
      <c r="I38" s="654"/>
      <c r="J38" s="655"/>
    </row>
  </sheetData>
  <mergeCells count="1">
    <mergeCell ref="A1:C1"/>
  </mergeCells>
  <pageMargins left="0.7" right="0.7" top="0.75" bottom="0.75" header="0.3" footer="0.3"/>
  <pageSetup paperSize="8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filterMode="1">
    <pageSetUpPr fitToPage="1"/>
  </sheetPr>
  <dimension ref="A1:JZ461"/>
  <sheetViews>
    <sheetView view="pageBreakPreview" zoomScale="55" zoomScaleNormal="70" zoomScaleSheetLayoutView="55" workbookViewId="0">
      <pane xSplit="1" ySplit="1" topLeftCell="AC87" activePane="bottomRight" state="frozen"/>
      <selection pane="topRight" activeCell="B1" sqref="B1"/>
      <selection pane="bottomLeft" activeCell="A2" sqref="A2"/>
      <selection pane="bottomRight" activeCell="T122" sqref="T122"/>
    </sheetView>
  </sheetViews>
  <sheetFormatPr baseColWidth="10" defaultColWidth="11.42578125" defaultRowHeight="15" outlineLevelCol="1" x14ac:dyDescent="0.25"/>
  <cols>
    <col min="1" max="1" width="30.85546875" style="616" customWidth="1"/>
    <col min="2" max="2" width="17" style="27" customWidth="1"/>
    <col min="3" max="3" width="13.85546875" style="27" customWidth="1"/>
    <col min="4" max="4" width="8.5703125" style="27" customWidth="1"/>
    <col min="5" max="5" width="12.85546875" style="27" customWidth="1"/>
    <col min="6" max="6" width="5.85546875" style="27" customWidth="1"/>
    <col min="7" max="7" width="8.42578125" style="27" customWidth="1"/>
    <col min="8" max="8" width="18.7109375" style="27" customWidth="1"/>
    <col min="9" max="9" width="20.7109375" style="27" customWidth="1"/>
    <col min="10" max="10" width="16.5703125" style="27" customWidth="1"/>
    <col min="11" max="11" width="55.140625" style="624" hidden="1" customWidth="1" outlineLevel="1"/>
    <col min="12" max="12" width="11" style="350" hidden="1" customWidth="1" outlineLevel="1"/>
    <col min="13" max="13" width="13.28515625" style="350" hidden="1" customWidth="1" outlineLevel="1"/>
    <col min="14" max="14" width="47" style="350" hidden="1" customWidth="1" outlineLevel="1"/>
    <col min="15" max="27" width="17.85546875" style="27" hidden="1" customWidth="1" outlineLevel="1"/>
    <col min="28" max="28" width="22" style="27" hidden="1" customWidth="1" outlineLevel="1"/>
    <col min="29" max="29" width="7.42578125" style="27" customWidth="1" collapsed="1"/>
    <col min="30" max="30" width="8.140625" style="27" customWidth="1" collapsed="1"/>
    <col min="31" max="31" width="9.42578125" style="27" customWidth="1"/>
    <col min="32" max="32" width="11.85546875" style="27" customWidth="1" collapsed="1"/>
    <col min="33" max="33" width="11.85546875" style="27" customWidth="1" outlineLevel="1"/>
    <col min="34" max="34" width="12.42578125" style="27" customWidth="1" outlineLevel="1"/>
    <col min="35" max="35" width="10.5703125" style="27" customWidth="1" outlineLevel="1"/>
    <col min="36" max="41" width="15.5703125" style="27" customWidth="1" outlineLevel="1"/>
    <col min="42" max="42" width="15.5703125" style="248" customWidth="1" outlineLevel="1"/>
    <col min="43" max="43" width="15.5703125" style="62" customWidth="1" outlineLevel="1"/>
    <col min="44" max="48" width="15.5703125" style="27" customWidth="1" outlineLevel="1"/>
    <col min="49" max="53" width="15.5703125" style="27" customWidth="1"/>
    <col min="54" max="54" width="21" style="27" customWidth="1"/>
    <col min="55" max="55" width="17.85546875" style="27" customWidth="1"/>
    <col min="56" max="63" width="15.5703125" style="27" customWidth="1"/>
    <col min="64" max="64" width="19.42578125" style="27" customWidth="1"/>
    <col min="65" max="65" width="15.5703125" style="27" customWidth="1"/>
    <col min="66" max="69" width="17.85546875" style="323" customWidth="1" outlineLevel="1"/>
    <col min="70" max="70" width="17.42578125" style="323" customWidth="1" outlineLevel="1"/>
    <col min="71" max="71" width="15.5703125" style="323" customWidth="1" outlineLevel="1"/>
    <col min="72" max="72" width="19.42578125" style="323" customWidth="1"/>
    <col min="73" max="75" width="21.5703125" style="323" customWidth="1"/>
    <col min="76" max="77" width="19.42578125" style="323" customWidth="1"/>
    <col min="78" max="79" width="21" style="323" customWidth="1"/>
    <col min="80" max="80" width="20.5703125" style="323" customWidth="1" outlineLevel="1"/>
    <col min="81" max="82" width="18.42578125" style="323" customWidth="1" outlineLevel="1"/>
    <col min="83" max="87" width="21.42578125" style="323" customWidth="1" outlineLevel="1"/>
    <col min="88" max="88" width="18.42578125" style="323" customWidth="1" outlineLevel="1"/>
    <col min="89" max="89" width="29.5703125" style="323" customWidth="1" outlineLevel="1"/>
    <col min="90" max="90" width="22" style="323" customWidth="1" outlineLevel="1"/>
    <col min="91" max="91" width="25.42578125" style="323" customWidth="1" outlineLevel="1"/>
    <col min="92" max="94" width="15.5703125" style="323" customWidth="1" outlineLevel="1"/>
    <col min="95" max="95" width="23.42578125" style="323" customWidth="1" outlineLevel="1"/>
    <col min="96" max="97" width="20.42578125" style="323" customWidth="1" outlineLevel="1"/>
    <col min="98" max="101" width="25.42578125" style="323" customWidth="1" outlineLevel="1"/>
    <col min="102" max="102" width="22.42578125" style="324" customWidth="1" outlineLevel="1"/>
    <col min="103" max="103" width="30.7109375" style="324" customWidth="1" outlineLevel="1"/>
    <col min="104" max="105" width="26" style="324" customWidth="1" outlineLevel="1"/>
    <col min="106" max="108" width="19.140625" style="323" customWidth="1"/>
    <col min="109" max="109" width="15.5703125" style="323" customWidth="1"/>
    <col min="110" max="110" width="27.5703125" style="323" customWidth="1"/>
    <col min="111" max="112" width="27.42578125" style="323" customWidth="1"/>
    <col min="113" max="113" width="24.42578125" style="323" customWidth="1"/>
    <col min="114" max="118" width="15.5703125" style="323" customWidth="1"/>
    <col min="119" max="120" width="26.42578125" style="323" customWidth="1"/>
    <col min="121" max="121" width="27.28515625" style="398" customWidth="1"/>
    <col min="122" max="123" width="18" style="398" customWidth="1"/>
    <col min="124" max="127" width="18" style="323" customWidth="1"/>
    <col min="128" max="132" width="15.5703125" style="27" customWidth="1" outlineLevel="1"/>
    <col min="133" max="134" width="15.5703125" style="406" customWidth="1" outlineLevel="1"/>
    <col min="135" max="140" width="15.5703125" style="27" customWidth="1" outlineLevel="1"/>
    <col min="141" max="141" width="16.42578125" style="27" customWidth="1" outlineLevel="1"/>
    <col min="142" max="143" width="15.5703125" style="27" customWidth="1" outlineLevel="1"/>
    <col min="144" max="146" width="20" style="27" customWidth="1" outlineLevel="1"/>
    <col min="147" max="147" width="15.5703125" style="27" customWidth="1" outlineLevel="1"/>
    <col min="148" max="148" width="22.28515625" style="27" customWidth="1" outlineLevel="1"/>
    <col min="149" max="149" width="15.5703125" style="27" customWidth="1" outlineLevel="1"/>
    <col min="150" max="150" width="23" style="27" customWidth="1" outlineLevel="1"/>
    <col min="151" max="151" width="25" style="27" customWidth="1" outlineLevel="1"/>
    <col min="152" max="153" width="19" style="27" customWidth="1" outlineLevel="1"/>
    <col min="154" max="154" width="43.28515625" style="323" customWidth="1" outlineLevel="1"/>
    <col min="155" max="155" width="41.140625" style="27" customWidth="1" outlineLevel="1"/>
    <col min="156" max="160" width="35.5703125" style="27" customWidth="1" outlineLevel="1"/>
    <col min="161" max="161" width="15.5703125" style="27" customWidth="1" outlineLevel="1"/>
    <col min="162" max="162" width="15" style="27" customWidth="1"/>
    <col min="163" max="164" width="15.5703125" style="27" customWidth="1"/>
    <col min="165" max="171" width="17.85546875" style="27" customWidth="1"/>
    <col min="172" max="172" width="18" style="323" customWidth="1" outlineLevel="1"/>
    <col min="173" max="173" width="18.7109375" style="27" customWidth="1" outlineLevel="1"/>
    <col min="174" max="175" width="18" style="27" customWidth="1" outlineLevel="1"/>
    <col min="176" max="176" width="11.42578125" style="27" customWidth="1" outlineLevel="1"/>
    <col min="177" max="177" width="12" style="27" customWidth="1" outlineLevel="1"/>
    <col min="178" max="180" width="15.5703125" style="27" customWidth="1" outlineLevel="1"/>
    <col min="181" max="181" width="9.5703125" style="27" customWidth="1" outlineLevel="1"/>
    <col min="182" max="182" width="19.85546875" style="27" customWidth="1" outlineLevel="1"/>
    <col min="183" max="183" width="15.5703125" style="27" customWidth="1" outlineLevel="1"/>
    <col min="184" max="184" width="17" style="27" customWidth="1" outlineLevel="1"/>
    <col min="185" max="185" width="12.5703125" style="27" customWidth="1" outlineLevel="1"/>
    <col min="186" max="186" width="15.5703125" style="27" customWidth="1" outlineLevel="1"/>
    <col min="187" max="187" width="19" style="27" customWidth="1" outlineLevel="1"/>
    <col min="188" max="189" width="15.5703125" style="27" customWidth="1" outlineLevel="1"/>
    <col min="190" max="190" width="18.5703125" style="27" customWidth="1" outlineLevel="1"/>
    <col min="191" max="191" width="19.85546875" style="27" customWidth="1" outlineLevel="1"/>
    <col min="192" max="192" width="12.42578125" style="27" customWidth="1" outlineLevel="1"/>
    <col min="193" max="193" width="15.85546875" style="27" customWidth="1" outlineLevel="1"/>
    <col min="194" max="194" width="15.42578125" style="27" customWidth="1" outlineLevel="1"/>
    <col min="195" max="196" width="15.5703125" style="119" customWidth="1" outlineLevel="1"/>
    <col min="197" max="197" width="11" style="119" customWidth="1" outlineLevel="1"/>
    <col min="198" max="198" width="15.28515625" style="119" customWidth="1" outlineLevel="1"/>
    <col min="199" max="199" width="16.5703125" style="119" customWidth="1" outlineLevel="1"/>
    <col min="200" max="200" width="14" style="119" customWidth="1" outlineLevel="1"/>
    <col min="201" max="201" width="14.140625" style="119" customWidth="1" outlineLevel="1"/>
    <col min="202" max="202" width="17.140625" style="119" customWidth="1" outlineLevel="1"/>
    <col min="203" max="203" width="15.5703125" style="27" customWidth="1" outlineLevel="1"/>
    <col min="204" max="204" width="9.5703125" style="27" customWidth="1" outlineLevel="1"/>
    <col min="205" max="205" width="10.5703125" style="27" customWidth="1" outlineLevel="1"/>
    <col min="206" max="206" width="24.42578125" style="27" customWidth="1" outlineLevel="1"/>
    <col min="207" max="207" width="18" style="27" customWidth="1" outlineLevel="1"/>
    <col min="208" max="208" width="15.5703125" style="27" customWidth="1" outlineLevel="1"/>
    <col min="209" max="209" width="13.140625" style="27" customWidth="1" outlineLevel="1"/>
    <col min="210" max="212" width="15.5703125" style="27" customWidth="1" outlineLevel="1"/>
    <col min="213" max="213" width="24.7109375" style="27" customWidth="1" outlineLevel="1"/>
    <col min="214" max="214" width="20.140625" style="27" customWidth="1" outlineLevel="1"/>
    <col min="215" max="215" width="28" style="27" customWidth="1" outlineLevel="1"/>
    <col min="216" max="217" width="19.28515625" style="27" customWidth="1"/>
    <col min="218" max="218" width="25.140625" style="27" customWidth="1"/>
    <col min="219" max="219" width="28.7109375" style="27" customWidth="1"/>
    <col min="220" max="220" width="13.28515625" style="27" customWidth="1"/>
    <col min="221" max="221" width="17" style="27" customWidth="1"/>
    <col min="222" max="222" width="14.42578125" style="27" customWidth="1"/>
    <col min="223" max="223" width="14.85546875" style="27" customWidth="1"/>
    <col min="224" max="227" width="15.85546875" style="27" customWidth="1"/>
    <col min="228" max="228" width="15.5703125" style="27" customWidth="1"/>
    <col min="229" max="229" width="15.28515625" style="27" customWidth="1"/>
    <col min="230" max="230" width="14.7109375" style="27" customWidth="1"/>
    <col min="231" max="231" width="14.85546875" style="27" customWidth="1"/>
    <col min="232" max="232" width="15.42578125" style="27" customWidth="1"/>
    <col min="233" max="236" width="18.85546875" style="27" customWidth="1"/>
    <col min="237" max="237" width="11.42578125" style="27" customWidth="1"/>
    <col min="238" max="238" width="15.28515625" style="27" customWidth="1"/>
    <col min="239" max="239" width="18.7109375" style="27" customWidth="1"/>
    <col min="240" max="240" width="13.7109375" style="27" customWidth="1"/>
    <col min="241" max="241" width="15.7109375" style="27" customWidth="1"/>
    <col min="242" max="242" width="15.85546875" style="27" customWidth="1"/>
    <col min="243" max="243" width="18.42578125" style="27" customWidth="1"/>
    <col min="244" max="244" width="20" style="27" customWidth="1"/>
    <col min="245" max="245" width="15.5703125" style="27" customWidth="1"/>
    <col min="246" max="246" width="14.7109375" style="27" customWidth="1"/>
    <col min="247" max="247" width="14.42578125" style="27" customWidth="1"/>
    <col min="248" max="250" width="17" style="27" customWidth="1"/>
    <col min="251" max="251" width="17" style="63" customWidth="1"/>
    <col min="252" max="252" width="11.42578125" style="27" customWidth="1"/>
    <col min="253" max="253" width="15.7109375" style="27" customWidth="1"/>
    <col min="254" max="254" width="17.140625" style="27" customWidth="1"/>
    <col min="255" max="255" width="16.140625" style="27" customWidth="1"/>
    <col min="256" max="256" width="15.28515625" style="27" customWidth="1"/>
    <col min="257" max="257" width="14.85546875" style="27" customWidth="1"/>
    <col min="258" max="258" width="16.140625" style="27" customWidth="1"/>
    <col min="259" max="261" width="15.5703125" style="27" customWidth="1"/>
    <col min="262" max="262" width="15.5703125" style="63" customWidth="1"/>
    <col min="263" max="263" width="11.42578125" style="27" customWidth="1"/>
    <col min="264" max="272" width="15.85546875" style="27" customWidth="1"/>
    <col min="273" max="273" width="15.85546875" style="63" customWidth="1"/>
    <col min="274" max="278" width="15.85546875" style="27" customWidth="1"/>
    <col min="279" max="279" width="11.42578125" style="27" customWidth="1"/>
    <col min="280" max="280" width="15.85546875" style="27" customWidth="1"/>
    <col min="281" max="281" width="11.42578125" style="27" customWidth="1"/>
    <col min="282" max="282" width="15.85546875" style="27" customWidth="1"/>
    <col min="283" max="283" width="15.7109375" style="27" customWidth="1"/>
    <col min="284" max="284" width="25.42578125" style="27" customWidth="1"/>
    <col min="285" max="285" width="11.42578125" style="27" customWidth="1"/>
    <col min="286" max="286" width="19.85546875" style="27" customWidth="1"/>
    <col min="287" max="16384" width="11.42578125" style="27"/>
  </cols>
  <sheetData>
    <row r="1" spans="1:286" s="31" customFormat="1" ht="30" customHeight="1" x14ac:dyDescent="0.25">
      <c r="A1" s="141" t="s">
        <v>0</v>
      </c>
      <c r="B1" s="141" t="s">
        <v>1</v>
      </c>
      <c r="C1" s="141" t="s">
        <v>156</v>
      </c>
      <c r="D1" s="141" t="s">
        <v>91</v>
      </c>
      <c r="E1" s="141" t="s">
        <v>2</v>
      </c>
      <c r="F1" s="159" t="s">
        <v>16</v>
      </c>
      <c r="G1" s="159" t="s">
        <v>535</v>
      </c>
      <c r="H1" s="159" t="s">
        <v>534</v>
      </c>
      <c r="I1" s="159" t="s">
        <v>518</v>
      </c>
      <c r="J1" s="159" t="s">
        <v>519</v>
      </c>
      <c r="K1" s="378" t="s">
        <v>32</v>
      </c>
      <c r="L1" s="290" t="s">
        <v>78</v>
      </c>
      <c r="M1" s="290" t="s">
        <v>23</v>
      </c>
      <c r="N1" s="290" t="s">
        <v>24</v>
      </c>
      <c r="O1" s="378" t="s">
        <v>304</v>
      </c>
      <c r="P1" s="378" t="s">
        <v>335</v>
      </c>
      <c r="Q1" s="378" t="s">
        <v>334</v>
      </c>
      <c r="R1" s="378" t="s">
        <v>406</v>
      </c>
      <c r="S1" s="378" t="s">
        <v>337</v>
      </c>
      <c r="T1" s="378" t="s">
        <v>336</v>
      </c>
      <c r="U1" s="378" t="s">
        <v>326</v>
      </c>
      <c r="V1" s="378" t="s">
        <v>364</v>
      </c>
      <c r="W1" s="378" t="s">
        <v>343</v>
      </c>
      <c r="X1" s="378" t="s">
        <v>306</v>
      </c>
      <c r="Y1" s="378" t="s">
        <v>361</v>
      </c>
      <c r="Z1" s="378" t="s">
        <v>302</v>
      </c>
      <c r="AA1" s="378" t="s">
        <v>164</v>
      </c>
      <c r="AB1" s="378" t="s">
        <v>165</v>
      </c>
      <c r="AC1" s="141" t="s">
        <v>172</v>
      </c>
      <c r="AD1" s="141" t="s">
        <v>3</v>
      </c>
      <c r="AE1" s="141" t="s">
        <v>25</v>
      </c>
      <c r="AF1" s="141" t="s">
        <v>26</v>
      </c>
      <c r="AG1" s="141" t="s">
        <v>89</v>
      </c>
      <c r="AH1" s="260" t="s">
        <v>173</v>
      </c>
      <c r="AI1" s="141" t="s">
        <v>166</v>
      </c>
      <c r="AJ1" s="159" t="s">
        <v>338</v>
      </c>
      <c r="AK1" s="159" t="s">
        <v>339</v>
      </c>
      <c r="AL1" s="159" t="s">
        <v>340</v>
      </c>
      <c r="AM1" s="159" t="s">
        <v>341</v>
      </c>
      <c r="AN1" s="159" t="s">
        <v>342</v>
      </c>
      <c r="AO1" s="141" t="s">
        <v>212</v>
      </c>
      <c r="AP1" s="261" t="s">
        <v>305</v>
      </c>
      <c r="AQ1" s="262" t="s">
        <v>333</v>
      </c>
      <c r="AR1" s="159" t="s">
        <v>307</v>
      </c>
      <c r="AS1" s="141" t="s">
        <v>66</v>
      </c>
      <c r="AT1" s="159" t="s">
        <v>322</v>
      </c>
      <c r="AU1" s="159" t="s">
        <v>323</v>
      </c>
      <c r="AV1" s="141" t="s">
        <v>167</v>
      </c>
      <c r="AW1" s="359" t="s">
        <v>479</v>
      </c>
      <c r="AX1" s="359" t="s">
        <v>480</v>
      </c>
      <c r="AY1" s="359" t="s">
        <v>481</v>
      </c>
      <c r="AZ1" s="359" t="s">
        <v>642</v>
      </c>
      <c r="BA1" s="359" t="s">
        <v>750</v>
      </c>
      <c r="BB1" s="359" t="s">
        <v>751</v>
      </c>
      <c r="BC1" s="359" t="s">
        <v>752</v>
      </c>
      <c r="BD1" s="359" t="s">
        <v>753</v>
      </c>
      <c r="BE1" s="359" t="s">
        <v>318</v>
      </c>
      <c r="BF1" s="359" t="s">
        <v>501</v>
      </c>
      <c r="BG1" s="359" t="s">
        <v>502</v>
      </c>
      <c r="BH1" s="359" t="s">
        <v>503</v>
      </c>
      <c r="BI1" s="359" t="s">
        <v>249</v>
      </c>
      <c r="BJ1" s="359" t="s">
        <v>15</v>
      </c>
      <c r="BK1" s="359" t="s">
        <v>493</v>
      </c>
      <c r="BL1" s="359" t="s">
        <v>494</v>
      </c>
      <c r="BM1" s="359" t="s">
        <v>495</v>
      </c>
      <c r="BN1" s="343" t="s">
        <v>8</v>
      </c>
      <c r="BO1" s="343" t="s">
        <v>4</v>
      </c>
      <c r="BP1" s="357" t="s">
        <v>531</v>
      </c>
      <c r="BQ1" s="343" t="s">
        <v>5</v>
      </c>
      <c r="BR1" s="343" t="s">
        <v>6</v>
      </c>
      <c r="BS1" s="343" t="s">
        <v>7</v>
      </c>
      <c r="BT1" s="5" t="s">
        <v>9</v>
      </c>
      <c r="BU1" s="375" t="s">
        <v>10</v>
      </c>
      <c r="BV1" s="346" t="s">
        <v>490</v>
      </c>
      <c r="BW1" s="346" t="s">
        <v>521</v>
      </c>
      <c r="BX1" s="5" t="s">
        <v>176</v>
      </c>
      <c r="BY1" s="5" t="s">
        <v>11</v>
      </c>
      <c r="BZ1" s="375" t="s">
        <v>12</v>
      </c>
      <c r="CA1" s="346" t="s">
        <v>490</v>
      </c>
      <c r="CB1" s="4" t="s">
        <v>206</v>
      </c>
      <c r="CC1" s="362" t="s">
        <v>233</v>
      </c>
      <c r="CD1" s="289" t="s">
        <v>411</v>
      </c>
      <c r="CE1" s="289" t="s">
        <v>446</v>
      </c>
      <c r="CF1" s="567" t="s">
        <v>956</v>
      </c>
      <c r="CG1" s="567" t="s">
        <v>957</v>
      </c>
      <c r="CH1" s="567" t="s">
        <v>958</v>
      </c>
      <c r="CI1" s="567" t="s">
        <v>959</v>
      </c>
      <c r="CJ1" s="289" t="s">
        <v>391</v>
      </c>
      <c r="CK1" s="4" t="s">
        <v>269</v>
      </c>
      <c r="CL1" s="4" t="s">
        <v>19</v>
      </c>
      <c r="CM1" s="362" t="s">
        <v>240</v>
      </c>
      <c r="CN1" s="4" t="s">
        <v>20</v>
      </c>
      <c r="CO1" s="289" t="s">
        <v>490</v>
      </c>
      <c r="CP1" s="4" t="s">
        <v>21</v>
      </c>
      <c r="CQ1" s="362" t="s">
        <v>241</v>
      </c>
      <c r="CR1" s="4" t="s">
        <v>22</v>
      </c>
      <c r="CS1" s="289" t="s">
        <v>490</v>
      </c>
      <c r="CT1" s="4" t="s">
        <v>204</v>
      </c>
      <c r="CU1" s="362" t="s">
        <v>238</v>
      </c>
      <c r="CV1" s="4" t="s">
        <v>270</v>
      </c>
      <c r="CW1" s="289" t="s">
        <v>490</v>
      </c>
      <c r="CX1" s="4" t="s">
        <v>205</v>
      </c>
      <c r="CY1" s="362" t="s">
        <v>239</v>
      </c>
      <c r="CZ1" s="4" t="s">
        <v>271</v>
      </c>
      <c r="DA1" s="289" t="s">
        <v>490</v>
      </c>
      <c r="DB1" s="291" t="s">
        <v>187</v>
      </c>
      <c r="DC1" s="291" t="s">
        <v>280</v>
      </c>
      <c r="DD1" s="291" t="s">
        <v>281</v>
      </c>
      <c r="DE1" s="291" t="s">
        <v>13</v>
      </c>
      <c r="DF1" s="530" t="s">
        <v>251</v>
      </c>
      <c r="DG1" s="291" t="s">
        <v>792</v>
      </c>
      <c r="DH1" s="291" t="s">
        <v>793</v>
      </c>
      <c r="DI1" s="291" t="s">
        <v>231</v>
      </c>
      <c r="DJ1" s="291" t="s">
        <v>248</v>
      </c>
      <c r="DK1" s="529" t="s">
        <v>14</v>
      </c>
      <c r="DL1" s="528" t="s">
        <v>769</v>
      </c>
      <c r="DM1" s="528" t="s">
        <v>770</v>
      </c>
      <c r="DN1" s="529" t="s">
        <v>249</v>
      </c>
      <c r="DO1" s="529" t="s">
        <v>771</v>
      </c>
      <c r="DP1" s="528" t="s">
        <v>783</v>
      </c>
      <c r="DQ1" s="292" t="s">
        <v>392</v>
      </c>
      <c r="DR1" s="293" t="s">
        <v>607</v>
      </c>
      <c r="DS1" s="293" t="s">
        <v>606</v>
      </c>
      <c r="DT1" s="292" t="s">
        <v>363</v>
      </c>
      <c r="DU1" s="292" t="s">
        <v>505</v>
      </c>
      <c r="DV1" s="293" t="s">
        <v>582</v>
      </c>
      <c r="DW1" s="293" t="s">
        <v>720</v>
      </c>
      <c r="DX1" s="361" t="s">
        <v>497</v>
      </c>
      <c r="DY1" s="361" t="s">
        <v>482</v>
      </c>
      <c r="DZ1" s="361" t="s">
        <v>498</v>
      </c>
      <c r="EA1" s="361" t="s">
        <v>451</v>
      </c>
      <c r="EB1" s="361" t="s">
        <v>452</v>
      </c>
      <c r="EC1" s="402" t="s">
        <v>544</v>
      </c>
      <c r="ED1" s="402" t="s">
        <v>697</v>
      </c>
      <c r="EE1" s="361" t="s">
        <v>543</v>
      </c>
      <c r="EF1" s="361" t="s">
        <v>699</v>
      </c>
      <c r="EG1" s="361" t="s">
        <v>698</v>
      </c>
      <c r="EH1" s="361" t="s">
        <v>696</v>
      </c>
      <c r="EI1" s="361" t="s">
        <v>537</v>
      </c>
      <c r="EJ1" s="361" t="s">
        <v>545</v>
      </c>
      <c r="EK1" s="361" t="s">
        <v>538</v>
      </c>
      <c r="EL1" s="361" t="s">
        <v>453</v>
      </c>
      <c r="EM1" s="361" t="s">
        <v>454</v>
      </c>
      <c r="EN1" s="361" t="s">
        <v>455</v>
      </c>
      <c r="EO1" s="361" t="s">
        <v>583</v>
      </c>
      <c r="EP1" s="361" t="s">
        <v>483</v>
      </c>
      <c r="EQ1" s="361" t="s">
        <v>456</v>
      </c>
      <c r="ER1" s="361" t="s">
        <v>556</v>
      </c>
      <c r="ES1" s="361" t="s">
        <v>485</v>
      </c>
      <c r="ET1" s="361" t="s">
        <v>1004</v>
      </c>
      <c r="EU1" s="361" t="s">
        <v>457</v>
      </c>
      <c r="EV1" s="361" t="s">
        <v>747</v>
      </c>
      <c r="EW1" s="361" t="s">
        <v>740</v>
      </c>
      <c r="EX1" s="361" t="s">
        <v>775</v>
      </c>
      <c r="EY1" s="361" t="s">
        <v>688</v>
      </c>
      <c r="EZ1" s="361" t="s">
        <v>530</v>
      </c>
      <c r="FA1" s="361" t="s">
        <v>504</v>
      </c>
      <c r="FB1" s="361" t="s">
        <v>512</v>
      </c>
      <c r="FC1" s="361" t="s">
        <v>536</v>
      </c>
      <c r="FD1" s="361" t="s">
        <v>484</v>
      </c>
      <c r="FE1" s="361" t="s">
        <v>458</v>
      </c>
      <c r="FF1" s="360" t="s">
        <v>465</v>
      </c>
      <c r="FG1" s="360" t="s">
        <v>466</v>
      </c>
      <c r="FH1" s="360" t="s">
        <v>467</v>
      </c>
      <c r="FI1" s="360" t="s">
        <v>468</v>
      </c>
      <c r="FJ1" s="360" t="s">
        <v>487</v>
      </c>
      <c r="FK1" s="360" t="s">
        <v>610</v>
      </c>
      <c r="FL1" s="360" t="s">
        <v>486</v>
      </c>
      <c r="FM1" s="360" t="s">
        <v>976</v>
      </c>
      <c r="FN1" s="360" t="s">
        <v>508</v>
      </c>
      <c r="FO1" s="360" t="s">
        <v>627</v>
      </c>
      <c r="FP1" s="294" t="s">
        <v>179</v>
      </c>
      <c r="FQ1" s="263" t="s">
        <v>121</v>
      </c>
      <c r="FR1" s="264" t="s">
        <v>292</v>
      </c>
      <c r="FS1" s="265" t="s">
        <v>27</v>
      </c>
      <c r="FT1" s="266" t="s">
        <v>90</v>
      </c>
      <c r="FU1" s="266" t="s">
        <v>180</v>
      </c>
      <c r="FV1" s="267" t="s">
        <v>122</v>
      </c>
      <c r="FW1" s="268" t="s">
        <v>29</v>
      </c>
      <c r="FX1" s="269" t="s">
        <v>30</v>
      </c>
      <c r="FY1" s="268" t="s">
        <v>31</v>
      </c>
      <c r="FZ1" s="270" t="s">
        <v>408</v>
      </c>
      <c r="GA1" s="267" t="s">
        <v>123</v>
      </c>
      <c r="GB1" s="268" t="s">
        <v>123</v>
      </c>
      <c r="GC1" s="271" t="s">
        <v>181</v>
      </c>
      <c r="GD1" s="269" t="s">
        <v>28</v>
      </c>
      <c r="GE1" s="263" t="s">
        <v>124</v>
      </c>
      <c r="GF1" s="264" t="s">
        <v>124</v>
      </c>
      <c r="GG1" s="264" t="s">
        <v>32</v>
      </c>
      <c r="GH1" s="264" t="s">
        <v>33</v>
      </c>
      <c r="GI1" s="265" t="s">
        <v>34</v>
      </c>
      <c r="GJ1" s="271" t="s">
        <v>182</v>
      </c>
      <c r="GK1" s="264" t="s">
        <v>213</v>
      </c>
      <c r="GL1" s="267" t="s">
        <v>125</v>
      </c>
      <c r="GM1" s="268" t="s">
        <v>325</v>
      </c>
      <c r="GN1" s="272" t="s">
        <v>319</v>
      </c>
      <c r="GO1" s="268" t="s">
        <v>229</v>
      </c>
      <c r="GP1" s="263" t="s">
        <v>996</v>
      </c>
      <c r="GQ1" s="268" t="s">
        <v>214</v>
      </c>
      <c r="GR1" s="269" t="s">
        <v>35</v>
      </c>
      <c r="GS1" s="271" t="s">
        <v>126</v>
      </c>
      <c r="GT1" s="273" t="s">
        <v>344</v>
      </c>
      <c r="GU1" s="269" t="s">
        <v>36</v>
      </c>
      <c r="GV1" s="274" t="s">
        <v>287</v>
      </c>
      <c r="GW1" s="274" t="s">
        <v>288</v>
      </c>
      <c r="GX1" s="275" t="s">
        <v>210</v>
      </c>
      <c r="GY1" s="275" t="s">
        <v>170</v>
      </c>
      <c r="GZ1" s="271" t="s">
        <v>171</v>
      </c>
      <c r="HA1" s="275" t="s">
        <v>183</v>
      </c>
      <c r="HB1" s="271" t="s">
        <v>185</v>
      </c>
      <c r="HC1" s="273" t="s">
        <v>291</v>
      </c>
      <c r="HD1" s="275" t="s">
        <v>232</v>
      </c>
      <c r="HE1" s="275" t="s">
        <v>184</v>
      </c>
      <c r="HF1" s="268" t="s">
        <v>191</v>
      </c>
      <c r="HG1" s="268" t="s">
        <v>227</v>
      </c>
      <c r="HH1" s="488" t="s">
        <v>653</v>
      </c>
      <c r="HI1" s="488" t="s">
        <v>808</v>
      </c>
      <c r="HJ1" s="488" t="s">
        <v>654</v>
      </c>
      <c r="HK1" s="496">
        <v>0.1</v>
      </c>
      <c r="HL1" s="159" t="s">
        <v>655</v>
      </c>
      <c r="HM1" s="159" t="s">
        <v>657</v>
      </c>
      <c r="HN1" s="159" t="s">
        <v>656</v>
      </c>
      <c r="HO1" s="485" t="s">
        <v>658</v>
      </c>
      <c r="HP1" s="159" t="s">
        <v>659</v>
      </c>
      <c r="HQ1" s="480" t="s">
        <v>692</v>
      </c>
      <c r="HR1" s="485" t="s">
        <v>737</v>
      </c>
      <c r="HS1" s="480" t="s">
        <v>730</v>
      </c>
      <c r="HT1" s="159" t="s">
        <v>660</v>
      </c>
      <c r="HU1" s="485" t="s">
        <v>738</v>
      </c>
      <c r="HV1" s="159" t="s">
        <v>661</v>
      </c>
      <c r="HW1" s="159" t="s">
        <v>662</v>
      </c>
      <c r="HX1" s="485" t="s">
        <v>663</v>
      </c>
      <c r="HY1" s="159" t="s">
        <v>664</v>
      </c>
      <c r="HZ1" s="480" t="s">
        <v>693</v>
      </c>
      <c r="IA1" s="485" t="s">
        <v>725</v>
      </c>
      <c r="IB1" s="480" t="s">
        <v>731</v>
      </c>
      <c r="IC1" s="488" t="s">
        <v>665</v>
      </c>
      <c r="ID1" s="495">
        <v>0.05</v>
      </c>
      <c r="IE1" s="159" t="s">
        <v>666</v>
      </c>
      <c r="IF1" s="159" t="s">
        <v>667</v>
      </c>
      <c r="IG1" s="488" t="s">
        <v>668</v>
      </c>
      <c r="IH1" s="493">
        <v>0.1</v>
      </c>
      <c r="II1" s="159" t="s">
        <v>669</v>
      </c>
      <c r="IJ1" s="485" t="s">
        <v>726</v>
      </c>
      <c r="IK1" s="159" t="s">
        <v>672</v>
      </c>
      <c r="IL1" s="159" t="s">
        <v>670</v>
      </c>
      <c r="IM1" s="485" t="s">
        <v>671</v>
      </c>
      <c r="IN1" s="159" t="s">
        <v>673</v>
      </c>
      <c r="IO1" s="480" t="s">
        <v>694</v>
      </c>
      <c r="IP1" s="485" t="s">
        <v>723</v>
      </c>
      <c r="IQ1" s="480" t="s">
        <v>732</v>
      </c>
      <c r="IR1" s="488" t="s">
        <v>674</v>
      </c>
      <c r="IS1" s="492">
        <v>0.1</v>
      </c>
      <c r="IT1" s="159" t="s">
        <v>675</v>
      </c>
      <c r="IU1" s="485" t="s">
        <v>727</v>
      </c>
      <c r="IV1" s="159" t="s">
        <v>676</v>
      </c>
      <c r="IW1" s="159" t="s">
        <v>677</v>
      </c>
      <c r="IX1" s="485" t="s">
        <v>678</v>
      </c>
      <c r="IY1" s="159" t="s">
        <v>679</v>
      </c>
      <c r="IZ1" s="480" t="s">
        <v>695</v>
      </c>
      <c r="JA1" s="485" t="s">
        <v>724</v>
      </c>
      <c r="JB1" s="480" t="s">
        <v>733</v>
      </c>
      <c r="JC1" s="488" t="s">
        <v>680</v>
      </c>
      <c r="JD1" s="489">
        <v>0.15</v>
      </c>
      <c r="JE1" s="479" t="s">
        <v>681</v>
      </c>
      <c r="JF1" s="485" t="s">
        <v>728</v>
      </c>
      <c r="JG1" s="479" t="s">
        <v>682</v>
      </c>
      <c r="JH1" s="479" t="s">
        <v>683</v>
      </c>
      <c r="JI1" s="485" t="s">
        <v>684</v>
      </c>
      <c r="JJ1" s="479" t="s">
        <v>685</v>
      </c>
      <c r="JK1" s="479" t="s">
        <v>686</v>
      </c>
      <c r="JL1" s="486" t="s">
        <v>729</v>
      </c>
      <c r="JM1" s="500" t="s">
        <v>736</v>
      </c>
      <c r="JN1" s="479" t="s">
        <v>14</v>
      </c>
      <c r="JO1" s="500" t="s">
        <v>722</v>
      </c>
      <c r="JP1" s="486" t="s">
        <v>721</v>
      </c>
      <c r="JQ1" s="510" t="s">
        <v>734</v>
      </c>
      <c r="JR1" s="503" t="s">
        <v>735</v>
      </c>
      <c r="JS1" s="488" t="s">
        <v>961</v>
      </c>
      <c r="JT1" s="571">
        <v>0.05</v>
      </c>
      <c r="JU1" s="488" t="s">
        <v>962</v>
      </c>
      <c r="JV1" s="572">
        <v>0.1</v>
      </c>
      <c r="JW1" s="488" t="s">
        <v>978</v>
      </c>
      <c r="JX1" s="584">
        <v>0.05</v>
      </c>
      <c r="JY1" s="488" t="s">
        <v>979</v>
      </c>
      <c r="JZ1" s="585">
        <v>0.05</v>
      </c>
    </row>
    <row r="2" spans="1:286" s="31" customFormat="1" ht="69.75" hidden="1" customHeight="1" x14ac:dyDescent="0.25">
      <c r="A2" s="19" t="s">
        <v>208</v>
      </c>
      <c r="B2" s="20" t="s">
        <v>101</v>
      </c>
      <c r="C2" s="20" t="s">
        <v>159</v>
      </c>
      <c r="D2" s="20">
        <v>2010</v>
      </c>
      <c r="E2" s="20" t="s">
        <v>209</v>
      </c>
      <c r="F2" s="20" t="s">
        <v>40</v>
      </c>
      <c r="G2" s="20" t="s">
        <v>719</v>
      </c>
      <c r="H2" s="20" t="s">
        <v>385</v>
      </c>
      <c r="I2" s="110" t="s">
        <v>168</v>
      </c>
      <c r="J2" s="110"/>
      <c r="K2" s="453" t="s">
        <v>1005</v>
      </c>
      <c r="L2" s="295"/>
      <c r="M2" s="295"/>
      <c r="N2" s="295"/>
      <c r="O2" s="379">
        <v>9556</v>
      </c>
      <c r="P2" s="379">
        <v>407560.68000000005</v>
      </c>
      <c r="Q2" s="379">
        <v>222180</v>
      </c>
      <c r="R2" s="379">
        <f>P2/AD2</f>
        <v>15094.840000000002</v>
      </c>
      <c r="S2" s="379">
        <f>P2/O2</f>
        <v>42.649715362076186</v>
      </c>
      <c r="T2" s="379">
        <f>Q2/O2</f>
        <v>23.250313938886563</v>
      </c>
      <c r="U2" s="379">
        <f>Q2/AH2</f>
        <v>100.51347010789659</v>
      </c>
      <c r="V2" s="379">
        <f>Q2/AD2</f>
        <v>8228.8888888888887</v>
      </c>
      <c r="W2" s="379">
        <f>O2/AD2</f>
        <v>353.92592592592592</v>
      </c>
      <c r="X2" s="380"/>
      <c r="Y2" s="381">
        <f>AH2/O2</f>
        <v>0.23131540393470068</v>
      </c>
      <c r="Z2" s="380" t="s">
        <v>327</v>
      </c>
      <c r="AA2" s="382"/>
      <c r="AB2" s="382"/>
      <c r="AC2" s="20" t="s">
        <v>26</v>
      </c>
      <c r="AD2" s="640">
        <f>AE2+AF2</f>
        <v>27</v>
      </c>
      <c r="AE2" s="455"/>
      <c r="AF2" s="456">
        <v>27</v>
      </c>
      <c r="AG2" s="22">
        <v>2110.92</v>
      </c>
      <c r="AH2" s="139">
        <v>2210.4499999999998</v>
      </c>
      <c r="AI2" s="22">
        <f>AH2/AD2</f>
        <v>81.868518518518513</v>
      </c>
      <c r="AJ2" s="135"/>
      <c r="AK2" s="135">
        <v>0.22</v>
      </c>
      <c r="AL2" s="135">
        <v>0.3</v>
      </c>
      <c r="AM2" s="135">
        <v>0.3</v>
      </c>
      <c r="AN2" s="135">
        <v>0.19</v>
      </c>
      <c r="AO2" s="22">
        <v>1400</v>
      </c>
      <c r="AP2" s="133"/>
      <c r="AQ2" s="135">
        <f>AP2/O2</f>
        <v>0</v>
      </c>
      <c r="AR2" s="114">
        <v>3</v>
      </c>
      <c r="AS2" s="456">
        <v>4</v>
      </c>
      <c r="AT2" s="113"/>
      <c r="AU2" s="113"/>
      <c r="AV2" s="456" t="s">
        <v>169</v>
      </c>
      <c r="AW2" s="110"/>
      <c r="AX2" s="110"/>
      <c r="AY2" s="332">
        <v>40816</v>
      </c>
      <c r="AZ2" s="332" t="s">
        <v>230</v>
      </c>
      <c r="BA2" s="332"/>
      <c r="BB2" s="332"/>
      <c r="BC2" s="332"/>
      <c r="BD2" s="332"/>
      <c r="BE2" s="332"/>
      <c r="BF2" s="332"/>
      <c r="BG2" s="332"/>
      <c r="BH2" s="332"/>
      <c r="BI2" s="332"/>
      <c r="BJ2" s="332"/>
      <c r="BK2" s="332"/>
      <c r="BL2" s="332"/>
      <c r="BM2" s="332"/>
      <c r="BN2" s="339" t="s">
        <v>230</v>
      </c>
      <c r="BO2" s="339" t="s">
        <v>230</v>
      </c>
      <c r="BP2" s="339"/>
      <c r="BQ2" s="339" t="s">
        <v>230</v>
      </c>
      <c r="BR2" s="339" t="s">
        <v>230</v>
      </c>
      <c r="BS2" s="339" t="s">
        <v>230</v>
      </c>
      <c r="BT2" s="458"/>
      <c r="BU2" s="376">
        <v>40491</v>
      </c>
      <c r="BV2" s="160"/>
      <c r="BW2" s="160"/>
      <c r="BX2" s="160"/>
      <c r="BY2" s="160"/>
      <c r="BZ2" s="376"/>
      <c r="CA2" s="160"/>
      <c r="CB2" s="71"/>
      <c r="CC2" s="369"/>
      <c r="CD2" s="197"/>
      <c r="CE2" s="197"/>
      <c r="CF2" s="336"/>
      <c r="CG2" s="336">
        <f>DATE(YEAR(CF2),MONTH(CF2)+24,DAY(CF2))</f>
        <v>731</v>
      </c>
      <c r="CH2" s="336">
        <f>DATE(YEAR(CF2),MONTH(CF2)+36,DAY(CF2))</f>
        <v>1096</v>
      </c>
      <c r="CI2" s="336"/>
      <c r="CJ2" s="197"/>
      <c r="CK2" s="71"/>
      <c r="CL2" s="71"/>
      <c r="CM2" s="369"/>
      <c r="CN2" s="71"/>
      <c r="CO2" s="197"/>
      <c r="CP2" s="70"/>
      <c r="CQ2" s="363"/>
      <c r="CR2" s="70"/>
      <c r="CS2" s="165"/>
      <c r="CT2" s="70"/>
      <c r="CU2" s="363"/>
      <c r="CV2" s="70"/>
      <c r="CW2" s="165"/>
      <c r="CX2" s="70"/>
      <c r="CY2" s="363"/>
      <c r="CZ2" s="70"/>
      <c r="DA2" s="165"/>
      <c r="DB2" s="296"/>
      <c r="DC2" s="300"/>
      <c r="DD2" s="300"/>
      <c r="DE2" s="296"/>
      <c r="DF2" s="296"/>
      <c r="DG2" s="296"/>
      <c r="DH2" s="299"/>
      <c r="DI2" s="296"/>
      <c r="DJ2" s="296"/>
      <c r="DK2" s="297"/>
      <c r="DL2" s="298"/>
      <c r="DM2" s="298"/>
      <c r="DN2" s="297"/>
      <c r="DO2" s="297"/>
      <c r="DP2" s="298"/>
      <c r="DQ2" s="304" t="s">
        <v>230</v>
      </c>
      <c r="DR2" s="443"/>
      <c r="DS2" s="443"/>
      <c r="DT2" s="297" t="s">
        <v>230</v>
      </c>
      <c r="DU2" s="304" t="s">
        <v>230</v>
      </c>
      <c r="DV2" s="443"/>
      <c r="DW2" s="443"/>
      <c r="DX2" s="415" t="s">
        <v>178</v>
      </c>
      <c r="DY2" s="415" t="s">
        <v>178</v>
      </c>
      <c r="DZ2" s="415" t="s">
        <v>178</v>
      </c>
      <c r="EA2" s="213">
        <v>40721</v>
      </c>
      <c r="EB2" s="202"/>
      <c r="EC2" s="229">
        <v>15</v>
      </c>
      <c r="ED2" s="229">
        <f>EC2+1</f>
        <v>16</v>
      </c>
      <c r="EE2" s="229">
        <f>DATEDIF(EA2,EN2,"M")</f>
        <v>24</v>
      </c>
      <c r="EF2" s="229">
        <f>DATEDIF(EA2,EV2,"M")</f>
        <v>24</v>
      </c>
      <c r="EG2" s="229">
        <f>EE2-EC2</f>
        <v>9</v>
      </c>
      <c r="EH2" s="229">
        <f>EF2-ED2</f>
        <v>8</v>
      </c>
      <c r="EI2" s="408">
        <v>11101</v>
      </c>
      <c r="EJ2" s="408">
        <f>EI2*(EE2-EC2)</f>
        <v>99909</v>
      </c>
      <c r="EK2" s="213" t="s">
        <v>178</v>
      </c>
      <c r="EL2" s="201">
        <v>41424</v>
      </c>
      <c r="EM2" s="202" t="s">
        <v>459</v>
      </c>
      <c r="EN2" s="230">
        <v>41464</v>
      </c>
      <c r="EO2" s="230"/>
      <c r="EP2" s="230" t="s">
        <v>178</v>
      </c>
      <c r="EQ2" s="202"/>
      <c r="ER2" s="202"/>
      <c r="ES2" s="201">
        <v>41606</v>
      </c>
      <c r="ET2" s="201"/>
      <c r="EU2" s="203">
        <v>41481</v>
      </c>
      <c r="EV2" s="230">
        <v>41481</v>
      </c>
      <c r="EW2" s="230"/>
      <c r="EX2" s="230"/>
      <c r="EY2" s="328" t="s">
        <v>894</v>
      </c>
      <c r="EZ2" s="213"/>
      <c r="FA2" s="213"/>
      <c r="FB2" s="213"/>
      <c r="FC2" s="213"/>
      <c r="FD2" s="202"/>
      <c r="FE2" s="201">
        <f>DATE(YEAR(EN2)+1,MONTH(EN2),DAY(EN2))</f>
        <v>41829</v>
      </c>
      <c r="FF2" s="201" t="s">
        <v>178</v>
      </c>
      <c r="FG2" s="201"/>
      <c r="FH2" s="201">
        <v>41926</v>
      </c>
      <c r="FI2" s="201" t="s">
        <v>469</v>
      </c>
      <c r="FJ2" s="201" t="s">
        <v>230</v>
      </c>
      <c r="FK2" s="201"/>
      <c r="FL2" s="201" t="s">
        <v>230</v>
      </c>
      <c r="FM2" s="201"/>
      <c r="FN2" s="347">
        <v>42114</v>
      </c>
      <c r="FO2" s="347">
        <v>42424</v>
      </c>
      <c r="FP2" s="459"/>
      <c r="FQ2" s="23"/>
      <c r="FR2" s="28">
        <f>GB2+GF2+GM2+HF2+GK2+GQ2</f>
        <v>3574937</v>
      </c>
      <c r="FS2" s="25">
        <f>FR2-FQ2</f>
        <v>3574937</v>
      </c>
      <c r="FT2" s="25">
        <f>FR2/AG2</f>
        <v>1693.5445208724157</v>
      </c>
      <c r="FU2" s="25">
        <f>FR2/AD2</f>
        <v>132405.07407407407</v>
      </c>
      <c r="FV2" s="460"/>
      <c r="FW2" s="24">
        <v>0</v>
      </c>
      <c r="FX2" s="25">
        <f>FW2-FV2</f>
        <v>0</v>
      </c>
      <c r="FY2" s="231" t="e">
        <f>FV2*1.021/FQ2</f>
        <v>#DIV/0!</v>
      </c>
      <c r="FZ2" s="232"/>
      <c r="GA2" s="29">
        <v>0</v>
      </c>
      <c r="GB2" s="30">
        <v>0</v>
      </c>
      <c r="GC2" s="50">
        <f>GB2/AD2</f>
        <v>0</v>
      </c>
      <c r="GD2" s="73">
        <f>GB2-GA2</f>
        <v>0</v>
      </c>
      <c r="GE2" s="23"/>
      <c r="GF2" s="24">
        <f>+GG2+GH2</f>
        <v>2306000</v>
      </c>
      <c r="GG2" s="26">
        <v>511146</v>
      </c>
      <c r="GH2" s="26">
        <v>1794854</v>
      </c>
      <c r="GI2" s="73">
        <f>GF2-GE2</f>
        <v>2306000</v>
      </c>
      <c r="GJ2" s="50">
        <f>GF2/AD2</f>
        <v>85407.407407407401</v>
      </c>
      <c r="GK2" s="24"/>
      <c r="GL2" s="29">
        <f>GM2</f>
        <v>1267528</v>
      </c>
      <c r="GM2" s="30">
        <v>1267528</v>
      </c>
      <c r="GN2" s="123">
        <v>94500</v>
      </c>
      <c r="GO2" s="76">
        <f>GM2/FR2</f>
        <v>0.35455953489530023</v>
      </c>
      <c r="GP2" s="590"/>
      <c r="GQ2" s="30"/>
      <c r="GR2" s="51">
        <f>GM2-GL2</f>
        <v>0</v>
      </c>
      <c r="GS2" s="50">
        <f>GM2/AD2</f>
        <v>46945.481481481482</v>
      </c>
      <c r="GT2" s="98"/>
      <c r="GU2" s="51">
        <f>GR2/AD2</f>
        <v>0</v>
      </c>
      <c r="GV2" s="97"/>
      <c r="GW2" s="97"/>
      <c r="GX2" s="75">
        <v>1734704.6581725003</v>
      </c>
      <c r="GY2" s="75">
        <v>660000</v>
      </c>
      <c r="GZ2" s="50">
        <f>(GB2+GM2+GY2)/AD2</f>
        <v>71389.925925925927</v>
      </c>
      <c r="HA2" s="75">
        <v>767026.95965000009</v>
      </c>
      <c r="HB2" s="50">
        <f>(GB2+GM2+GY2+HA2)/AD2</f>
        <v>99798.331838888887</v>
      </c>
      <c r="HC2" s="99">
        <f>(GB2+GM2+GY2+HA2)/(GX2+FR2-HD2)</f>
        <v>0.52964624417787332</v>
      </c>
      <c r="HD2" s="75">
        <v>222180</v>
      </c>
      <c r="HE2" s="75"/>
      <c r="HF2" s="24">
        <v>1409</v>
      </c>
      <c r="HG2" s="77">
        <f>FR2+GX2</f>
        <v>5309641.6581725003</v>
      </c>
      <c r="HH2" s="491"/>
      <c r="HI2" s="491"/>
      <c r="HJ2" s="494"/>
      <c r="HK2" s="491"/>
      <c r="HL2" s="477"/>
      <c r="HM2" s="477">
        <f>DATE(YEAR(HL2),MONTH(HL2),DAY(HL2)+21)</f>
        <v>21</v>
      </c>
      <c r="HN2" s="477"/>
      <c r="HO2" s="497" t="str">
        <f>IF(AND(HM2&gt;0,HN2&gt;0),HN2-HM2,"0")</f>
        <v>0</v>
      </c>
      <c r="HP2" s="477"/>
      <c r="HQ2" s="481" t="str">
        <f>IF(AND(HN2&gt;0,HP2&gt;0),HP2-HN2,"0")</f>
        <v>0</v>
      </c>
      <c r="HR2" s="497">
        <f>+HQ2-30</f>
        <v>-30</v>
      </c>
      <c r="HS2" s="506" t="str">
        <f>IF(AND(HL2&gt;0,HP2&gt;0),HP2-HL2,"0")</f>
        <v>0</v>
      </c>
      <c r="HT2" s="477"/>
      <c r="HU2" s="497" t="str">
        <f>IF(AND(HP2&gt;0,HT2&gt;0),HT2-HP2,"0")</f>
        <v>0</v>
      </c>
      <c r="HV2" s="477">
        <f>DATE(YEAR(HT2),MONTH(HT2),DAY(HT2)+21)</f>
        <v>21</v>
      </c>
      <c r="HW2" s="477"/>
      <c r="HX2" s="497" t="str">
        <f>IF(AND(HV2&gt;0,HW2&gt;0),HW2-HV2,"0")</f>
        <v>0</v>
      </c>
      <c r="HY2" s="476"/>
      <c r="HZ2" s="481" t="str">
        <f>IF(AND(HW2&gt;0,HY2&gt;0),HY2-HW2,"0")</f>
        <v>0</v>
      </c>
      <c r="IA2" s="497">
        <f>+HZ2-30</f>
        <v>-30</v>
      </c>
      <c r="IB2" s="506" t="str">
        <f>IF(AND(HT2&gt;0,HY2&gt;0),HY2-HT2,"0")</f>
        <v>0</v>
      </c>
      <c r="IC2" s="490"/>
      <c r="ID2" s="491"/>
      <c r="IE2" s="477"/>
      <c r="IF2" s="477"/>
      <c r="IG2" s="494"/>
      <c r="IH2" s="491"/>
      <c r="II2" s="478"/>
      <c r="IJ2" s="497" t="str">
        <f>IF(AND(HY2&gt;0,II2&gt;0),II2-HY2,"0")</f>
        <v>0</v>
      </c>
      <c r="IK2" s="478">
        <f>DATE(YEAR(II2),MONTH(II2),DAY(II2)+30)</f>
        <v>30</v>
      </c>
      <c r="IL2" s="478"/>
      <c r="IM2" s="497" t="str">
        <f>IF(AND(IK2&gt;0,IL2&gt;0),IL2-IK2,"0")</f>
        <v>0</v>
      </c>
      <c r="IN2" s="478"/>
      <c r="IO2" s="481" t="str">
        <f>IF(AND(IL2&gt;0,IN2&gt;0),IN2-IL2,"0")</f>
        <v>0</v>
      </c>
      <c r="IP2" s="497">
        <f>+IO2-30</f>
        <v>-30</v>
      </c>
      <c r="IQ2" s="506" t="str">
        <f>IF(AND(II2&gt;0,IN2&gt;0),IN2-II2,"0")</f>
        <v>0</v>
      </c>
      <c r="IR2" s="490"/>
      <c r="IS2" s="491"/>
      <c r="IT2" s="478"/>
      <c r="IU2" s="498" t="str">
        <f>IF(AND(IN2&gt;0,IT2&gt;0),IT2-IN2,"0")</f>
        <v>0</v>
      </c>
      <c r="IV2" s="478">
        <f>DATE(YEAR(IT2),MONTH(IT2),DAY(IT2)+30)</f>
        <v>30</v>
      </c>
      <c r="IW2" s="478"/>
      <c r="IX2" s="498" t="str">
        <f>IF(AND(IV2&gt;0,IW2&gt;0),IW2-IV2,"0")</f>
        <v>0</v>
      </c>
      <c r="IY2" s="478"/>
      <c r="IZ2" s="482" t="str">
        <f>IF(AND(IW2&gt;0,IY2&gt;0),IY2-IW2,"0")</f>
        <v>0</v>
      </c>
      <c r="JA2" s="498">
        <f>IZ2-30</f>
        <v>-30</v>
      </c>
      <c r="JB2" s="508" t="str">
        <f>IF(AND(IT2&gt;0,IY2&gt;0),IY2-IT2,"0")</f>
        <v>0</v>
      </c>
      <c r="JC2" s="490"/>
      <c r="JD2" s="491"/>
      <c r="JE2" s="212"/>
      <c r="JF2" s="487" t="str">
        <f>IF(AND(IY2&gt;0,JE2&gt;0),JE2-IY2,"0")</f>
        <v>0</v>
      </c>
      <c r="JG2" s="212">
        <f>DATE(YEAR(JE2),MONTH(JE2),DAY(JE2)+15)</f>
        <v>15</v>
      </c>
      <c r="JH2" s="212"/>
      <c r="JI2" s="487" t="str">
        <f>IF(AND(JG2&gt;0,JH2&gt;0),JH2-JG2,"0")</f>
        <v>0</v>
      </c>
      <c r="JJ2" s="212">
        <f>DATE(YEAR(JH2),MONTH(JH2),DAY(JH2)+15)</f>
        <v>15</v>
      </c>
      <c r="JK2" s="212"/>
      <c r="JL2" s="487" t="str">
        <f>IF(AND(JJ2&gt;0,JK2&gt;0),JK2-JJ2,"0")</f>
        <v>0</v>
      </c>
      <c r="JM2" s="509" t="str">
        <f>IF(AND(JE2&gt;0,JK2&gt;0),JK2-JE2,"0")</f>
        <v>0</v>
      </c>
      <c r="JN2" s="499"/>
      <c r="JO2" s="501" t="str">
        <f>IF(AND(JK2&gt;0,JN2&gt;0),JN2-JK2,"0")</f>
        <v>0</v>
      </c>
      <c r="JP2" s="498">
        <f>JO2-60</f>
        <v>-60</v>
      </c>
      <c r="JQ2" s="482">
        <f>242/30</f>
        <v>8.0666666666666664</v>
      </c>
      <c r="JR2" s="504">
        <f>((+HS2+HU2+IB2+IJ2+IQ2+IU2+JB2+JI2+JF2)/30)-JQ2</f>
        <v>-8.0666666666666664</v>
      </c>
      <c r="JS2" s="490"/>
      <c r="JT2" s="491"/>
      <c r="JU2" s="490"/>
      <c r="JV2" s="491"/>
      <c r="JW2" s="488"/>
      <c r="JX2" s="488"/>
      <c r="JY2" s="488"/>
      <c r="JZ2" s="488"/>
    </row>
    <row r="3" spans="1:286" s="31" customFormat="1" ht="60" hidden="1" customHeight="1" x14ac:dyDescent="0.25">
      <c r="A3" s="19" t="s">
        <v>474</v>
      </c>
      <c r="B3" s="20" t="s">
        <v>46</v>
      </c>
      <c r="C3" s="20" t="s">
        <v>157</v>
      </c>
      <c r="D3" s="20">
        <v>2011</v>
      </c>
      <c r="E3" s="20" t="s">
        <v>135</v>
      </c>
      <c r="F3" s="110"/>
      <c r="G3" s="20" t="s">
        <v>273</v>
      </c>
      <c r="H3" s="110" t="s">
        <v>385</v>
      </c>
      <c r="I3" s="110"/>
      <c r="J3" s="110"/>
      <c r="K3" s="453"/>
      <c r="L3" s="591"/>
      <c r="M3" s="591"/>
      <c r="N3" s="591"/>
      <c r="O3" s="379">
        <v>5169</v>
      </c>
      <c r="P3" s="379">
        <f>Q3</f>
        <v>908948</v>
      </c>
      <c r="Q3" s="379">
        <v>908948</v>
      </c>
      <c r="R3" s="379">
        <f>P3/(AD3+AD31)</f>
        <v>15149.133333333333</v>
      </c>
      <c r="S3" s="379">
        <f>P3/O3</f>
        <v>175.84600502998646</v>
      </c>
      <c r="T3" s="379">
        <f>Q3/O3</f>
        <v>175.84600502998646</v>
      </c>
      <c r="U3" s="379">
        <f>Q3/(AH3+AH31)</f>
        <v>163.87126085326105</v>
      </c>
      <c r="V3" s="379">
        <f>Q3/(AD3+AD31)</f>
        <v>15149.133333333333</v>
      </c>
      <c r="W3" s="379">
        <f>O3/(AD3+AD31)</f>
        <v>86.15</v>
      </c>
      <c r="X3" s="380"/>
      <c r="Y3" s="381">
        <f>(AH3+AH31)/O3</f>
        <v>1.0730740955697426</v>
      </c>
      <c r="Z3" s="380" t="s">
        <v>303</v>
      </c>
      <c r="AA3" s="380"/>
      <c r="AB3" s="380"/>
      <c r="AC3" s="110" t="s">
        <v>25</v>
      </c>
      <c r="AD3" s="640">
        <f>AE3+AF3</f>
        <v>51</v>
      </c>
      <c r="AE3" s="110">
        <v>51</v>
      </c>
      <c r="AF3" s="546"/>
      <c r="AG3" s="114">
        <v>4837.3599999999997</v>
      </c>
      <c r="AH3" s="163">
        <v>4837.3599999999997</v>
      </c>
      <c r="AI3" s="114">
        <f>AH3/AD3</f>
        <v>94.850196078431367</v>
      </c>
      <c r="AJ3" s="114"/>
      <c r="AK3" s="114"/>
      <c r="AL3" s="114"/>
      <c r="AM3" s="114"/>
      <c r="AN3" s="114"/>
      <c r="AO3" s="114">
        <v>900</v>
      </c>
      <c r="AP3" s="133">
        <v>0</v>
      </c>
      <c r="AQ3" s="135">
        <f>AP3/O3</f>
        <v>0</v>
      </c>
      <c r="AR3" s="114"/>
      <c r="AS3" s="113"/>
      <c r="AT3" s="113"/>
      <c r="AU3" s="113"/>
      <c r="AV3" s="113" t="s">
        <v>168</v>
      </c>
      <c r="AW3" s="332">
        <v>40583</v>
      </c>
      <c r="AX3" s="110"/>
      <c r="AY3" s="332">
        <v>40816</v>
      </c>
      <c r="AZ3" s="332" t="s">
        <v>230</v>
      </c>
      <c r="BA3" s="332"/>
      <c r="BB3" s="332"/>
      <c r="BC3" s="332"/>
      <c r="BD3" s="332"/>
      <c r="BE3" s="332"/>
      <c r="BF3" s="332"/>
      <c r="BG3" s="332"/>
      <c r="BH3" s="332"/>
      <c r="BI3" s="332"/>
      <c r="BJ3" s="332"/>
      <c r="BK3" s="332"/>
      <c r="BL3" s="332"/>
      <c r="BM3" s="332"/>
      <c r="BN3" s="339" t="s">
        <v>18</v>
      </c>
      <c r="BO3" s="339" t="s">
        <v>178</v>
      </c>
      <c r="BP3" s="339"/>
      <c r="BQ3" s="339"/>
      <c r="BR3" s="339"/>
      <c r="BS3" s="339" t="s">
        <v>354</v>
      </c>
      <c r="BT3" s="593"/>
      <c r="BU3" s="376">
        <v>40722</v>
      </c>
      <c r="BV3" s="160">
        <v>42317</v>
      </c>
      <c r="BW3" s="160"/>
      <c r="BX3" s="160"/>
      <c r="BY3" s="160"/>
      <c r="BZ3" s="376"/>
      <c r="CA3" s="160"/>
      <c r="CB3" s="197"/>
      <c r="CC3" s="549"/>
      <c r="CD3" s="197"/>
      <c r="CE3" s="197"/>
      <c r="CF3" s="336"/>
      <c r="CG3" s="336">
        <f>DATE(YEAR(CF3),MONTH(CF3)+24,DAY(CF3))</f>
        <v>731</v>
      </c>
      <c r="CH3" s="336">
        <f>DATE(YEAR(CF3),MONTH(CF3)+36,DAY(CF3))</f>
        <v>1096</v>
      </c>
      <c r="CI3" s="336"/>
      <c r="CJ3" s="197"/>
      <c r="CK3" s="197"/>
      <c r="CL3" s="197"/>
      <c r="CM3" s="549"/>
      <c r="CN3" s="197"/>
      <c r="CO3" s="197"/>
      <c r="CP3" s="165"/>
      <c r="CQ3" s="595"/>
      <c r="CR3" s="165"/>
      <c r="CS3" s="165"/>
      <c r="CT3" s="165"/>
      <c r="CU3" s="595"/>
      <c r="CV3" s="165"/>
      <c r="CW3" s="165"/>
      <c r="CX3" s="165"/>
      <c r="CY3" s="595"/>
      <c r="CZ3" s="162"/>
      <c r="DA3" s="162"/>
      <c r="DB3" s="296" t="s">
        <v>195</v>
      </c>
      <c r="DC3" s="300"/>
      <c r="DD3" s="300"/>
      <c r="DE3" s="299"/>
      <c r="DF3" s="299"/>
      <c r="DG3" s="299"/>
      <c r="DH3" s="299"/>
      <c r="DI3" s="299"/>
      <c r="DJ3" s="299"/>
      <c r="DK3" s="298"/>
      <c r="DL3" s="298"/>
      <c r="DM3" s="298"/>
      <c r="DN3" s="298"/>
      <c r="DO3" s="298"/>
      <c r="DP3" s="298"/>
      <c r="DQ3" s="304"/>
      <c r="DR3" s="443"/>
      <c r="DS3" s="443"/>
      <c r="DT3" s="298"/>
      <c r="DU3" s="304">
        <f>DATE(YEAR(DQ3),MONTH(DQ3)+18,DAY(DQ3))</f>
        <v>547</v>
      </c>
      <c r="DV3" s="443"/>
      <c r="DW3" s="443"/>
      <c r="DX3" s="415" t="s">
        <v>178</v>
      </c>
      <c r="DY3" s="415" t="s">
        <v>178</v>
      </c>
      <c r="DZ3" s="417">
        <v>41408</v>
      </c>
      <c r="EA3" s="213">
        <v>40898</v>
      </c>
      <c r="EB3" s="202"/>
      <c r="EC3" s="229">
        <v>22</v>
      </c>
      <c r="ED3" s="229">
        <f>EC3+1</f>
        <v>23</v>
      </c>
      <c r="EE3" s="229">
        <f>DATEDIF(EA3,EN3,"M")</f>
        <v>22</v>
      </c>
      <c r="EF3" s="229">
        <f>DATEDIF(EA3,EV3,"M")</f>
        <v>25</v>
      </c>
      <c r="EG3" s="229">
        <f>EE3-EC3</f>
        <v>0</v>
      </c>
      <c r="EH3" s="229">
        <f>EF3-ED3</f>
        <v>2</v>
      </c>
      <c r="EI3" s="408">
        <v>30568</v>
      </c>
      <c r="EJ3" s="408">
        <f>EI3*(EE3-EC3)</f>
        <v>0</v>
      </c>
      <c r="EK3" s="230" t="s">
        <v>178</v>
      </c>
      <c r="EL3" s="204">
        <v>41548</v>
      </c>
      <c r="EM3" s="204">
        <v>41579</v>
      </c>
      <c r="EN3" s="230">
        <v>41568</v>
      </c>
      <c r="EO3" s="230"/>
      <c r="EP3" s="230" t="s">
        <v>178</v>
      </c>
      <c r="EQ3" s="230"/>
      <c r="ER3" s="230"/>
      <c r="ES3" s="230"/>
      <c r="ET3" s="230"/>
      <c r="EU3" s="333">
        <v>41683</v>
      </c>
      <c r="EV3" s="333">
        <v>41683</v>
      </c>
      <c r="EW3" s="333"/>
      <c r="EX3" s="333"/>
      <c r="EY3" s="213"/>
      <c r="EZ3" s="213"/>
      <c r="FA3" s="213"/>
      <c r="FB3" s="213"/>
      <c r="FC3" s="213"/>
      <c r="FD3" s="202"/>
      <c r="FE3" s="213">
        <f>DATE(YEAR(EN3)+1,MONTH(EN3),DAY(EN3))</f>
        <v>41933</v>
      </c>
      <c r="FF3" s="213" t="s">
        <v>472</v>
      </c>
      <c r="FG3" s="213" t="s">
        <v>178</v>
      </c>
      <c r="FH3" s="213"/>
      <c r="FI3" s="213"/>
      <c r="FJ3" s="213"/>
      <c r="FK3" s="213"/>
      <c r="FL3" s="347">
        <v>42121</v>
      </c>
      <c r="FM3" s="347"/>
      <c r="FN3" s="212"/>
      <c r="FO3" s="212"/>
      <c r="FP3" s="597"/>
      <c r="FQ3" s="23"/>
      <c r="FR3" s="28">
        <f>GB3+GF3+GM3+HF3+GK3+GQ3</f>
        <v>9522775</v>
      </c>
      <c r="FS3" s="154">
        <f>FR3-FQ3</f>
        <v>9522775</v>
      </c>
      <c r="FT3" s="154">
        <f>FR3/AG3</f>
        <v>1968.5892718342238</v>
      </c>
      <c r="FU3" s="154">
        <f>FR3/AD3</f>
        <v>186721.07843137256</v>
      </c>
      <c r="FV3" s="153"/>
      <c r="FW3" s="124"/>
      <c r="FX3" s="154">
        <f>FW3-FV3</f>
        <v>0</v>
      </c>
      <c r="FY3" s="232" t="e">
        <f>FV3*1.021/FQ3</f>
        <v>#DIV/0!</v>
      </c>
      <c r="FZ3" s="232"/>
      <c r="GA3" s="153">
        <v>2932668</v>
      </c>
      <c r="GB3" s="30">
        <v>2932668</v>
      </c>
      <c r="GC3" s="98">
        <f>GB3/AD3</f>
        <v>57503.294117647056</v>
      </c>
      <c r="GD3" s="155">
        <f>GB3-GA3</f>
        <v>0</v>
      </c>
      <c r="GE3" s="153">
        <v>6290107</v>
      </c>
      <c r="GF3" s="124">
        <f>+GG3+GH3</f>
        <v>6290107</v>
      </c>
      <c r="GG3" s="147">
        <v>1887032</v>
      </c>
      <c r="GH3" s="147">
        <v>4403075</v>
      </c>
      <c r="GI3" s="155">
        <f>GF3-GE3</f>
        <v>0</v>
      </c>
      <c r="GJ3" s="98">
        <f>GF3/AD3</f>
        <v>123335.43137254902</v>
      </c>
      <c r="GK3" s="124">
        <v>0</v>
      </c>
      <c r="GL3" s="598">
        <v>300000</v>
      </c>
      <c r="GM3" s="123">
        <v>300000</v>
      </c>
      <c r="GN3" s="123"/>
      <c r="GO3" s="148">
        <f>GM3/FR3</f>
        <v>3.150342205922118E-2</v>
      </c>
      <c r="GP3" s="590"/>
      <c r="GQ3" s="123">
        <v>0</v>
      </c>
      <c r="GR3" s="149">
        <f>GM3-GL3</f>
        <v>0</v>
      </c>
      <c r="GS3" s="98">
        <f>GM3/AD3</f>
        <v>5882.3529411764703</v>
      </c>
      <c r="GT3" s="98"/>
      <c r="GU3" s="149">
        <f>GR3/AD3</f>
        <v>0</v>
      </c>
      <c r="GV3" s="97"/>
      <c r="GW3" s="97"/>
      <c r="GX3" s="151">
        <v>0</v>
      </c>
      <c r="GY3" s="151">
        <v>0</v>
      </c>
      <c r="GZ3" s="98">
        <f>(GB3+GM3+GY3)/AD3</f>
        <v>63385.647058823532</v>
      </c>
      <c r="HA3" s="151">
        <v>0</v>
      </c>
      <c r="HB3" s="98">
        <f>(GB3+GM3+GY3+HA3)/AD3</f>
        <v>63385.647058823532</v>
      </c>
      <c r="HC3" s="99">
        <f>(GB3+GM3+GY3+HA3)/(GX3+FR3-HD3)</f>
        <v>0.33946701460446144</v>
      </c>
      <c r="HD3" s="151"/>
      <c r="HE3" s="151"/>
      <c r="HF3" s="124">
        <v>0</v>
      </c>
      <c r="HG3" s="156">
        <f>FR3+GX3</f>
        <v>9522775</v>
      </c>
      <c r="HH3" s="491"/>
      <c r="HI3" s="491"/>
      <c r="HJ3" s="494"/>
      <c r="HK3" s="491"/>
      <c r="HL3" s="477"/>
      <c r="HM3" s="477">
        <f>DATE(YEAR(HL3),MONTH(HL3),DAY(HL3)+21)</f>
        <v>21</v>
      </c>
      <c r="HN3" s="477"/>
      <c r="HO3" s="497" t="str">
        <f>IF(AND(HM3&gt;0,HN3&gt;0),HN3-HM3,"0")</f>
        <v>0</v>
      </c>
      <c r="HP3" s="477"/>
      <c r="HQ3" s="481" t="str">
        <f>IF(AND(HN3&gt;0,HP3&gt;0),HP3-HN3,"0")</f>
        <v>0</v>
      </c>
      <c r="HR3" s="497">
        <f>+HQ3-30</f>
        <v>-30</v>
      </c>
      <c r="HS3" s="506" t="str">
        <f>IF(AND(HL3&gt;0,HP3&gt;0),HP3-HL3,"0")</f>
        <v>0</v>
      </c>
      <c r="HT3" s="477"/>
      <c r="HU3" s="497" t="str">
        <f>IF(AND(HP3&gt;0,HT3&gt;0),HT3-HP3,"0")</f>
        <v>0</v>
      </c>
      <c r="HV3" s="477">
        <f>DATE(YEAR(HT3),MONTH(HT3),DAY(HT3)+21)</f>
        <v>21</v>
      </c>
      <c r="HW3" s="477"/>
      <c r="HX3" s="497" t="str">
        <f>IF(AND(HV3&gt;0,HW3&gt;0),HW3-HV3,"0")</f>
        <v>0</v>
      </c>
      <c r="HY3" s="476"/>
      <c r="HZ3" s="481" t="str">
        <f>IF(AND(HW3&gt;0,HY3&gt;0),HY3-HW3,"0")</f>
        <v>0</v>
      </c>
      <c r="IA3" s="497">
        <f>+HZ3-30</f>
        <v>-30</v>
      </c>
      <c r="IB3" s="506" t="str">
        <f>IF(AND(HT3&gt;0,HY3&gt;0),HY3-HT3,"0")</f>
        <v>0</v>
      </c>
      <c r="IC3" s="490"/>
      <c r="ID3" s="491"/>
      <c r="IE3" s="477"/>
      <c r="IF3" s="477"/>
      <c r="IG3" s="494"/>
      <c r="IH3" s="491"/>
      <c r="II3" s="478"/>
      <c r="IJ3" s="497" t="str">
        <f>IF(AND(HY3&gt;0,II3&gt;0),II3-HY3,"0")</f>
        <v>0</v>
      </c>
      <c r="IK3" s="478"/>
      <c r="IL3" s="478"/>
      <c r="IM3" s="497" t="str">
        <f>IF(AND(IK3&gt;0,IL3&gt;0),IL3-IK3,"0")</f>
        <v>0</v>
      </c>
      <c r="IN3" s="478"/>
      <c r="IO3" s="481" t="str">
        <f>IF(AND(IL3&gt;0,IN3&gt;0),IN3-IL3,"0")</f>
        <v>0</v>
      </c>
      <c r="IP3" s="497">
        <f>+IO3-30</f>
        <v>-30</v>
      </c>
      <c r="IQ3" s="506" t="str">
        <f>IF(AND(II3&gt;0,IN3&gt;0),IN3-II3,"0")</f>
        <v>0</v>
      </c>
      <c r="IR3" s="490"/>
      <c r="IS3" s="491"/>
      <c r="IT3" s="478"/>
      <c r="IU3" s="498" t="str">
        <f>IF(AND(IN3&gt;0,IT3&gt;0),IT3-IN3,"0")</f>
        <v>0</v>
      </c>
      <c r="IV3" s="478"/>
      <c r="IW3" s="478"/>
      <c r="IX3" s="498" t="str">
        <f>IF(AND(IV3&gt;0,IW3&gt;0),IW3-IV3,"0")</f>
        <v>0</v>
      </c>
      <c r="IY3" s="478"/>
      <c r="IZ3" s="482" t="str">
        <f>IF(AND(IW3&gt;0,IY3&gt;0),IY3-IW3,"0")</f>
        <v>0</v>
      </c>
      <c r="JA3" s="498">
        <f>IZ3-30</f>
        <v>-30</v>
      </c>
      <c r="JB3" s="508" t="str">
        <f>IF(AND(IT3&gt;0,IY3&gt;0),IY3-IT3,"0")</f>
        <v>0</v>
      </c>
      <c r="JC3" s="490"/>
      <c r="JD3" s="491"/>
      <c r="JE3" s="212"/>
      <c r="JF3" s="487" t="str">
        <f>IF(AND(IY3&gt;0,JE3&gt;0),JE3-IY3,"0")</f>
        <v>0</v>
      </c>
      <c r="JG3" s="212">
        <f>DATE(YEAR(JE3),MONTH(JE3),DAY(JE3)+15)</f>
        <v>15</v>
      </c>
      <c r="JH3" s="212"/>
      <c r="JI3" s="487" t="str">
        <f>IF(AND(JG3&gt;0,JH3&gt;0),JH3-JG3,"0")</f>
        <v>0</v>
      </c>
      <c r="JJ3" s="212">
        <f>DATE(YEAR(JH3),MONTH(JH3),DAY(JH3)+15)</f>
        <v>15</v>
      </c>
      <c r="JK3" s="212"/>
      <c r="JL3" s="487" t="str">
        <f>IF(AND(JJ3&gt;0,JK3&gt;0),JK3-JJ3,"0")</f>
        <v>0</v>
      </c>
      <c r="JM3" s="509" t="str">
        <f>IF(AND(JE3&gt;0,JK3&gt;0),JK3-JE3,"0")</f>
        <v>0</v>
      </c>
      <c r="JN3" s="499"/>
      <c r="JO3" s="501" t="str">
        <f>IF(AND(JK3&gt;0,JN3&gt;0),JN3-JK3,"0")</f>
        <v>0</v>
      </c>
      <c r="JP3" s="498">
        <f>JO3-60</f>
        <v>-60</v>
      </c>
      <c r="JQ3" s="482">
        <f>291/30</f>
        <v>9.6999999999999993</v>
      </c>
      <c r="JR3" s="504">
        <f>((+HS3+HU3+IB3+IJ3+IQ3+IU3+JB3+JI3+JF3)/30)-JQ3</f>
        <v>-9.6999999999999993</v>
      </c>
      <c r="JS3" s="490"/>
      <c r="JT3" s="491"/>
      <c r="JU3" s="490"/>
      <c r="JV3" s="491"/>
      <c r="JW3" s="488"/>
      <c r="JX3" s="488"/>
      <c r="JY3" s="488"/>
      <c r="JZ3" s="488"/>
    </row>
    <row r="4" spans="1:286" s="31" customFormat="1" ht="57" hidden="1" customHeight="1" x14ac:dyDescent="0.25">
      <c r="A4" s="19" t="s">
        <v>475</v>
      </c>
      <c r="B4" s="20" t="s">
        <v>46</v>
      </c>
      <c r="C4" s="20" t="s">
        <v>157</v>
      </c>
      <c r="D4" s="20">
        <v>2011</v>
      </c>
      <c r="E4" s="20" t="s">
        <v>135</v>
      </c>
      <c r="F4" s="20"/>
      <c r="G4" s="20" t="s">
        <v>273</v>
      </c>
      <c r="H4" s="110" t="s">
        <v>385</v>
      </c>
      <c r="I4" s="110"/>
      <c r="J4" s="110"/>
      <c r="K4" s="453"/>
      <c r="L4" s="295"/>
      <c r="M4" s="295"/>
      <c r="N4" s="295"/>
      <c r="O4" s="122"/>
      <c r="P4" s="122"/>
      <c r="Q4" s="122"/>
      <c r="R4" s="122"/>
      <c r="S4" s="122"/>
      <c r="T4" s="122"/>
      <c r="U4" s="122"/>
      <c r="V4" s="122"/>
      <c r="W4" s="122"/>
      <c r="X4" s="380"/>
      <c r="Y4" s="193"/>
      <c r="Z4" s="380" t="s">
        <v>303</v>
      </c>
      <c r="AA4" s="382"/>
      <c r="AB4" s="382"/>
      <c r="AC4" s="20" t="s">
        <v>26</v>
      </c>
      <c r="AD4" s="640">
        <f>AE4+AF4</f>
        <v>6</v>
      </c>
      <c r="AE4" s="21"/>
      <c r="AF4" s="20">
        <v>6</v>
      </c>
      <c r="AG4" s="22">
        <v>470.86</v>
      </c>
      <c r="AH4" s="139">
        <v>470.86</v>
      </c>
      <c r="AI4" s="22">
        <f>AH4/AD4</f>
        <v>78.476666666666674</v>
      </c>
      <c r="AJ4" s="114"/>
      <c r="AK4" s="114"/>
      <c r="AL4" s="114"/>
      <c r="AM4" s="114"/>
      <c r="AN4" s="114"/>
      <c r="AO4" s="21"/>
      <c r="AP4" s="133">
        <v>0</v>
      </c>
      <c r="AQ4" s="135" t="e">
        <f>AP4/O4</f>
        <v>#DIV/0!</v>
      </c>
      <c r="AR4" s="114"/>
      <c r="AS4" s="456"/>
      <c r="AT4" s="113"/>
      <c r="AU4" s="113"/>
      <c r="AV4" s="456" t="s">
        <v>168</v>
      </c>
      <c r="AW4" s="332">
        <v>40583</v>
      </c>
      <c r="AX4" s="110"/>
      <c r="AY4" s="332">
        <v>40816</v>
      </c>
      <c r="AZ4" s="332" t="s">
        <v>230</v>
      </c>
      <c r="BA4" s="332"/>
      <c r="BB4" s="332"/>
      <c r="BC4" s="332"/>
      <c r="BD4" s="332"/>
      <c r="BE4" s="332"/>
      <c r="BF4" s="332"/>
      <c r="BG4" s="332"/>
      <c r="BH4" s="332"/>
      <c r="BI4" s="332"/>
      <c r="BJ4" s="332"/>
      <c r="BK4" s="332"/>
      <c r="BL4" s="332"/>
      <c r="BM4" s="332"/>
      <c r="BN4" s="344" t="s">
        <v>18</v>
      </c>
      <c r="BO4" s="344" t="s">
        <v>178</v>
      </c>
      <c r="BP4" s="339"/>
      <c r="BQ4" s="344"/>
      <c r="BR4" s="344"/>
      <c r="BS4" s="344" t="s">
        <v>354</v>
      </c>
      <c r="BT4" s="458"/>
      <c r="BU4" s="376">
        <v>40730</v>
      </c>
      <c r="BV4" s="160">
        <v>42317</v>
      </c>
      <c r="BW4" s="160"/>
      <c r="BX4" s="160"/>
      <c r="BY4" s="160"/>
      <c r="BZ4" s="376"/>
      <c r="CA4" s="160"/>
      <c r="CB4" s="71"/>
      <c r="CC4" s="369"/>
      <c r="CD4" s="197"/>
      <c r="CE4" s="197"/>
      <c r="CF4" s="336"/>
      <c r="CG4" s="336">
        <f>DATE(YEAR(CF4),MONTH(CF4)+24,DAY(CF4))</f>
        <v>731</v>
      </c>
      <c r="CH4" s="336">
        <f>DATE(YEAR(CF4),MONTH(CF4)+36,DAY(CF4))</f>
        <v>1096</v>
      </c>
      <c r="CI4" s="336"/>
      <c r="CJ4" s="197"/>
      <c r="CK4" s="71"/>
      <c r="CL4" s="71"/>
      <c r="CM4" s="369"/>
      <c r="CN4" s="71"/>
      <c r="CO4" s="197"/>
      <c r="CP4" s="70"/>
      <c r="CQ4" s="363"/>
      <c r="CR4" s="70"/>
      <c r="CS4" s="165"/>
      <c r="CT4" s="70"/>
      <c r="CU4" s="363"/>
      <c r="CV4" s="70"/>
      <c r="CW4" s="165"/>
      <c r="CX4" s="70"/>
      <c r="CY4" s="363"/>
      <c r="CZ4" s="70"/>
      <c r="DA4" s="165"/>
      <c r="DB4" s="296"/>
      <c r="DC4" s="300"/>
      <c r="DD4" s="300"/>
      <c r="DE4" s="296"/>
      <c r="DF4" s="296"/>
      <c r="DG4" s="296"/>
      <c r="DH4" s="299"/>
      <c r="DI4" s="296"/>
      <c r="DJ4" s="296"/>
      <c r="DK4" s="297"/>
      <c r="DL4" s="298"/>
      <c r="DM4" s="298"/>
      <c r="DN4" s="297"/>
      <c r="DO4" s="297"/>
      <c r="DP4" s="298"/>
      <c r="DQ4" s="304"/>
      <c r="DR4" s="443"/>
      <c r="DS4" s="443"/>
      <c r="DT4" s="297"/>
      <c r="DU4" s="304">
        <f>DATE(YEAR(DQ4),MONTH(DQ4)+18,DAY(DQ4))</f>
        <v>547</v>
      </c>
      <c r="DV4" s="443"/>
      <c r="DW4" s="443"/>
      <c r="DX4" s="415" t="s">
        <v>178</v>
      </c>
      <c r="DY4" s="415" t="s">
        <v>178</v>
      </c>
      <c r="DZ4" s="417">
        <v>41408</v>
      </c>
      <c r="EA4" s="213">
        <v>40898</v>
      </c>
      <c r="EB4" s="202"/>
      <c r="EC4" s="229">
        <v>22</v>
      </c>
      <c r="ED4" s="229">
        <f>EC4+1</f>
        <v>23</v>
      </c>
      <c r="EE4" s="229">
        <f>DATEDIF(EA4,EN4,"M")</f>
        <v>22</v>
      </c>
      <c r="EF4" s="229">
        <f>DATEDIF(EA4,EV4,"M")</f>
        <v>25</v>
      </c>
      <c r="EG4" s="229">
        <f>EE4-EC4</f>
        <v>0</v>
      </c>
      <c r="EH4" s="229">
        <f>EF4-ED4</f>
        <v>2</v>
      </c>
      <c r="EI4" s="408">
        <v>2502</v>
      </c>
      <c r="EJ4" s="408">
        <f>EI4*(EE4-EC4)</f>
        <v>0</v>
      </c>
      <c r="EK4" s="230" t="s">
        <v>178</v>
      </c>
      <c r="EL4" s="204">
        <v>41548</v>
      </c>
      <c r="EM4" s="204">
        <v>41579</v>
      </c>
      <c r="EN4" s="230">
        <v>41568</v>
      </c>
      <c r="EO4" s="230"/>
      <c r="EP4" s="230" t="s">
        <v>178</v>
      </c>
      <c r="EQ4" s="230"/>
      <c r="ER4" s="230"/>
      <c r="ES4" s="230">
        <v>41611</v>
      </c>
      <c r="ET4" s="230"/>
      <c r="EU4" s="333">
        <v>41683</v>
      </c>
      <c r="EV4" s="333">
        <v>41683</v>
      </c>
      <c r="EW4" s="333"/>
      <c r="EX4" s="333"/>
      <c r="EY4" s="213"/>
      <c r="EZ4" s="213"/>
      <c r="FA4" s="213"/>
      <c r="FB4" s="213"/>
      <c r="FC4" s="213"/>
      <c r="FD4" s="202"/>
      <c r="FE4" s="213">
        <f>DATE(YEAR(EN4)+1,MONTH(EN4),DAY(EN4))</f>
        <v>41933</v>
      </c>
      <c r="FF4" s="213" t="s">
        <v>472</v>
      </c>
      <c r="FG4" s="213" t="s">
        <v>178</v>
      </c>
      <c r="FH4" s="213"/>
      <c r="FI4" s="213"/>
      <c r="FJ4" s="213"/>
      <c r="FK4" s="213"/>
      <c r="FL4" s="347">
        <v>42121</v>
      </c>
      <c r="FM4" s="347"/>
      <c r="FN4" s="212"/>
      <c r="FO4" s="212"/>
      <c r="FP4" s="459"/>
      <c r="FQ4" s="23"/>
      <c r="FR4" s="28">
        <f>GB4+GF4+GM4+HF4+GK4+GQ4</f>
        <v>926283</v>
      </c>
      <c r="FS4" s="25">
        <f>FR4-FQ4</f>
        <v>926283</v>
      </c>
      <c r="FT4" s="25">
        <f>FR4/AG4</f>
        <v>1967.2153081595377</v>
      </c>
      <c r="FU4" s="25">
        <f>FR4/AD4</f>
        <v>154380.5</v>
      </c>
      <c r="FV4" s="23"/>
      <c r="FW4" s="24"/>
      <c r="FX4" s="25">
        <f>FW4-FV4</f>
        <v>0</v>
      </c>
      <c r="FY4" s="231" t="e">
        <f>FV4*1.021/FQ4</f>
        <v>#DIV/0!</v>
      </c>
      <c r="FZ4" s="232"/>
      <c r="GA4" s="23">
        <v>340124</v>
      </c>
      <c r="GB4" s="30">
        <v>340124</v>
      </c>
      <c r="GC4" s="50">
        <f>GB4/AD4</f>
        <v>56687.333333333336</v>
      </c>
      <c r="GD4" s="73">
        <f>GB4-GA4</f>
        <v>0</v>
      </c>
      <c r="GE4" s="23">
        <v>486159</v>
      </c>
      <c r="GF4" s="24">
        <f>+GG4+GH4</f>
        <v>486159</v>
      </c>
      <c r="GG4" s="26">
        <v>145848</v>
      </c>
      <c r="GH4" s="26">
        <v>340311</v>
      </c>
      <c r="GI4" s="73">
        <f>GF4-GE4</f>
        <v>0</v>
      </c>
      <c r="GJ4" s="50">
        <f>GF4/AD4</f>
        <v>81026.5</v>
      </c>
      <c r="GK4" s="24">
        <v>0</v>
      </c>
      <c r="GL4" s="29">
        <v>100000</v>
      </c>
      <c r="GM4" s="30">
        <v>100000</v>
      </c>
      <c r="GN4" s="123"/>
      <c r="GO4" s="76">
        <f>GM4/FR4</f>
        <v>0.10795836693537504</v>
      </c>
      <c r="GP4" s="590"/>
      <c r="GQ4" s="30">
        <v>0</v>
      </c>
      <c r="GR4" s="51">
        <f>GM4-GL4</f>
        <v>0</v>
      </c>
      <c r="GS4" s="50">
        <f>GM4/AD4</f>
        <v>16666.666666666668</v>
      </c>
      <c r="GT4" s="98"/>
      <c r="GU4" s="51">
        <f>GR4/AD4</f>
        <v>0</v>
      </c>
      <c r="GV4" s="97"/>
      <c r="GW4" s="97"/>
      <c r="GX4" s="75">
        <v>0</v>
      </c>
      <c r="GY4" s="75">
        <v>0</v>
      </c>
      <c r="GZ4" s="50">
        <f>(GB4+GM4+GY4)/AD4</f>
        <v>73354</v>
      </c>
      <c r="HA4" s="75">
        <v>0</v>
      </c>
      <c r="HB4" s="50">
        <f>(GB4+GM4+GY4+HA4)/AD4</f>
        <v>73354</v>
      </c>
      <c r="HC4" s="99">
        <f>(GB4+GM4+GY4+HA4)/(GX4+FR4-HD4)</f>
        <v>0.47515068289065004</v>
      </c>
      <c r="HD4" s="75"/>
      <c r="HE4" s="75"/>
      <c r="HF4" s="24">
        <v>0</v>
      </c>
      <c r="HG4" s="77">
        <f>FR4+GX4</f>
        <v>926283</v>
      </c>
      <c r="HH4" s="491"/>
      <c r="HI4" s="491"/>
      <c r="HJ4" s="494"/>
      <c r="HK4" s="491"/>
      <c r="HL4" s="477"/>
      <c r="HM4" s="477">
        <f>DATE(YEAR(HL4),MONTH(HL4),DAY(HL4)+21)</f>
        <v>21</v>
      </c>
      <c r="HN4" s="477"/>
      <c r="HO4" s="497" t="str">
        <f>IF(AND(HM4&gt;0,HN4&gt;0),HN4-HM4,"0")</f>
        <v>0</v>
      </c>
      <c r="HP4" s="477"/>
      <c r="HQ4" s="481" t="str">
        <f>IF(AND(HN4&gt;0,HP4&gt;0),HP4-HN4,"0")</f>
        <v>0</v>
      </c>
      <c r="HR4" s="497">
        <f>+HQ4-30</f>
        <v>-30</v>
      </c>
      <c r="HS4" s="506" t="str">
        <f>IF(AND(HL4&gt;0,HP4&gt;0),HP4-HL4,"0")</f>
        <v>0</v>
      </c>
      <c r="HT4" s="477"/>
      <c r="HU4" s="497" t="str">
        <f>IF(AND(HP4&gt;0,HT4&gt;0),HT4-HP4,"0")</f>
        <v>0</v>
      </c>
      <c r="HV4" s="477">
        <f>DATE(YEAR(HT4),MONTH(HT4),DAY(HT4)+21)</f>
        <v>21</v>
      </c>
      <c r="HW4" s="477"/>
      <c r="HX4" s="497" t="str">
        <f>IF(AND(HV4&gt;0,HW4&gt;0),HW4-HV4,"0")</f>
        <v>0</v>
      </c>
      <c r="HY4" s="476"/>
      <c r="HZ4" s="481" t="str">
        <f>IF(AND(HW4&gt;0,HY4&gt;0),HY4-HW4,"0")</f>
        <v>0</v>
      </c>
      <c r="IA4" s="497">
        <f>+HZ4-30</f>
        <v>-30</v>
      </c>
      <c r="IB4" s="506" t="str">
        <f>IF(AND(HT4&gt;0,HY4&gt;0),HY4-HT4,"0")</f>
        <v>0</v>
      </c>
      <c r="IC4" s="490"/>
      <c r="ID4" s="491"/>
      <c r="IE4" s="477"/>
      <c r="IF4" s="477"/>
      <c r="IG4" s="494"/>
      <c r="IH4" s="491"/>
      <c r="II4" s="478"/>
      <c r="IJ4" s="497" t="str">
        <f>IF(AND(HY4&gt;0,II4&gt;0),II4-HY4,"0")</f>
        <v>0</v>
      </c>
      <c r="IK4" s="478"/>
      <c r="IL4" s="478"/>
      <c r="IM4" s="497" t="str">
        <f>IF(AND(IK4&gt;0,IL4&gt;0),IL4-IK4,"0")</f>
        <v>0</v>
      </c>
      <c r="IN4" s="478"/>
      <c r="IO4" s="481" t="str">
        <f>IF(AND(IL4&gt;0,IN4&gt;0),IN4-IL4,"0")</f>
        <v>0</v>
      </c>
      <c r="IP4" s="497">
        <f>+IO4-30</f>
        <v>-30</v>
      </c>
      <c r="IQ4" s="506" t="str">
        <f>IF(AND(II4&gt;0,IN4&gt;0),IN4-II4,"0")</f>
        <v>0</v>
      </c>
      <c r="IR4" s="490"/>
      <c r="IS4" s="491"/>
      <c r="IT4" s="478"/>
      <c r="IU4" s="498" t="str">
        <f>IF(AND(IN4&gt;0,IT4&gt;0),IT4-IN4,"0")</f>
        <v>0</v>
      </c>
      <c r="IV4" s="478"/>
      <c r="IW4" s="478"/>
      <c r="IX4" s="498" t="str">
        <f>IF(AND(IV4&gt;0,IW4&gt;0),IW4-IV4,"0")</f>
        <v>0</v>
      </c>
      <c r="IY4" s="478"/>
      <c r="IZ4" s="482" t="str">
        <f>IF(AND(IW4&gt;0,IY4&gt;0),IY4-IW4,"0")</f>
        <v>0</v>
      </c>
      <c r="JA4" s="498">
        <f>IZ4-30</f>
        <v>-30</v>
      </c>
      <c r="JB4" s="508" t="str">
        <f>IF(AND(IT4&gt;0,IY4&gt;0),IY4-IT4,"0")</f>
        <v>0</v>
      </c>
      <c r="JC4" s="490"/>
      <c r="JD4" s="491"/>
      <c r="JE4" s="212"/>
      <c r="JF4" s="487" t="str">
        <f>IF(AND(IY4&gt;0,JE4&gt;0),JE4-IY4,"0")</f>
        <v>0</v>
      </c>
      <c r="JG4" s="212">
        <f>DATE(YEAR(JE4),MONTH(JE4),DAY(JE4)+15)</f>
        <v>15</v>
      </c>
      <c r="JH4" s="212"/>
      <c r="JI4" s="487" t="str">
        <f>IF(AND(JG4&gt;0,JH4&gt;0),JH4-JG4,"0")</f>
        <v>0</v>
      </c>
      <c r="JJ4" s="212">
        <f>DATE(YEAR(JH4),MONTH(JH4),DAY(JH4)+15)</f>
        <v>15</v>
      </c>
      <c r="JK4" s="212"/>
      <c r="JL4" s="487" t="str">
        <f>IF(AND(JJ4&gt;0,JK4&gt;0),JK4-JJ4,"0")</f>
        <v>0</v>
      </c>
      <c r="JM4" s="509" t="str">
        <f>IF(AND(JE4&gt;0,JK4&gt;0),JK4-JE4,"0")</f>
        <v>0</v>
      </c>
      <c r="JN4" s="499"/>
      <c r="JO4" s="501" t="str">
        <f>IF(AND(JK4&gt;0,JN4&gt;0),JN4-JK4,"0")</f>
        <v>0</v>
      </c>
      <c r="JP4" s="498">
        <f>JO4-60</f>
        <v>-60</v>
      </c>
      <c r="JQ4" s="482">
        <f>291/30</f>
        <v>9.6999999999999993</v>
      </c>
      <c r="JR4" s="504">
        <f>((+HS4+HU4+IB4+IJ4+IQ4+IU4+JB4+JI4+JF4)/30)-JQ4</f>
        <v>-9.6999999999999993</v>
      </c>
      <c r="JS4" s="490"/>
      <c r="JT4" s="491"/>
      <c r="JU4" s="490"/>
      <c r="JV4" s="491"/>
      <c r="JW4" s="488"/>
      <c r="JX4" s="488"/>
      <c r="JY4" s="488"/>
      <c r="JZ4" s="488"/>
    </row>
    <row r="5" spans="1:286" s="31" customFormat="1" ht="46.5" hidden="1" customHeight="1" x14ac:dyDescent="0.25">
      <c r="A5" s="19" t="s">
        <v>476</v>
      </c>
      <c r="B5" s="20" t="s">
        <v>130</v>
      </c>
      <c r="C5" s="20" t="s">
        <v>159</v>
      </c>
      <c r="D5" s="20">
        <v>2011</v>
      </c>
      <c r="E5" s="20" t="s">
        <v>133</v>
      </c>
      <c r="F5" s="20" t="s">
        <v>136</v>
      </c>
      <c r="G5" s="20" t="s">
        <v>277</v>
      </c>
      <c r="H5" s="110" t="s">
        <v>385</v>
      </c>
      <c r="I5" s="110"/>
      <c r="J5" s="110"/>
      <c r="K5" s="453"/>
      <c r="L5" s="295"/>
      <c r="M5" s="295"/>
      <c r="N5" s="295"/>
      <c r="O5" s="379">
        <v>4531</v>
      </c>
      <c r="P5" s="379">
        <f>Q5</f>
        <v>799078</v>
      </c>
      <c r="Q5" s="379">
        <v>799078</v>
      </c>
      <c r="R5" s="379">
        <f>P5/AD5</f>
        <v>34742.521739130432</v>
      </c>
      <c r="S5" s="379">
        <f>P5/O5</f>
        <v>176.35797837122047</v>
      </c>
      <c r="T5" s="379">
        <f>Q5/O5</f>
        <v>176.35797837122047</v>
      </c>
      <c r="U5" s="379">
        <f>Q5/AH5</f>
        <v>416.95086825847386</v>
      </c>
      <c r="V5" s="379">
        <f>Q5/AD5</f>
        <v>34742.521739130432</v>
      </c>
      <c r="W5" s="379">
        <f>O5/AD5</f>
        <v>197</v>
      </c>
      <c r="X5" s="380"/>
      <c r="Y5" s="381">
        <f>AH5/O5</f>
        <v>0.42297064665636724</v>
      </c>
      <c r="Z5" s="380" t="s">
        <v>331</v>
      </c>
      <c r="AA5" s="382"/>
      <c r="AB5" s="382"/>
      <c r="AC5" s="20" t="s">
        <v>25</v>
      </c>
      <c r="AD5" s="640">
        <f>AE5+AF5</f>
        <v>23</v>
      </c>
      <c r="AE5" s="20">
        <v>23</v>
      </c>
      <c r="AF5" s="455"/>
      <c r="AG5" s="22">
        <v>1916.48</v>
      </c>
      <c r="AH5" s="139">
        <v>1916.48</v>
      </c>
      <c r="AI5" s="22">
        <f>AH5/AD5</f>
        <v>83.325217391304349</v>
      </c>
      <c r="AJ5" s="114"/>
      <c r="AK5" s="114"/>
      <c r="AL5" s="114"/>
      <c r="AM5" s="114"/>
      <c r="AN5" s="114"/>
      <c r="AO5" s="22"/>
      <c r="AP5" s="133"/>
      <c r="AQ5" s="135">
        <f>AP5/O5</f>
        <v>0</v>
      </c>
      <c r="AR5" s="114">
        <v>2.5</v>
      </c>
      <c r="AS5" s="456"/>
      <c r="AT5" s="113"/>
      <c r="AU5" s="113"/>
      <c r="AV5" s="456" t="s">
        <v>169</v>
      </c>
      <c r="AW5" s="332">
        <v>40610</v>
      </c>
      <c r="AX5" s="110"/>
      <c r="AY5" s="332">
        <v>40816</v>
      </c>
      <c r="AZ5" s="332" t="s">
        <v>230</v>
      </c>
      <c r="BA5" s="332"/>
      <c r="BB5" s="332"/>
      <c r="BC5" s="332"/>
      <c r="BD5" s="332"/>
      <c r="BE5" s="332"/>
      <c r="BF5" s="332"/>
      <c r="BG5" s="332"/>
      <c r="BH5" s="332"/>
      <c r="BI5" s="332"/>
      <c r="BJ5" s="332"/>
      <c r="BK5" s="332"/>
      <c r="BL5" s="332"/>
      <c r="BM5" s="332"/>
      <c r="BN5" s="344" t="s">
        <v>18</v>
      </c>
      <c r="BO5" s="344" t="s">
        <v>178</v>
      </c>
      <c r="BP5" s="339"/>
      <c r="BQ5" s="344"/>
      <c r="BR5" s="344"/>
      <c r="BS5" s="344" t="s">
        <v>345</v>
      </c>
      <c r="BT5" s="458"/>
      <c r="BU5" s="376">
        <v>40730</v>
      </c>
      <c r="BV5" s="160"/>
      <c r="BW5" s="160"/>
      <c r="BX5" s="160"/>
      <c r="BY5" s="160"/>
      <c r="BZ5" s="376"/>
      <c r="CA5" s="160"/>
      <c r="CB5" s="71"/>
      <c r="CC5" s="369"/>
      <c r="CD5" s="197"/>
      <c r="CE5" s="197"/>
      <c r="CF5" s="336"/>
      <c r="CG5" s="336">
        <f>DATE(YEAR(CF5),MONTH(CF5)+24,DAY(CF5))</f>
        <v>731</v>
      </c>
      <c r="CH5" s="336">
        <f>DATE(YEAR(CF5),MONTH(CF5)+36,DAY(CF5))</f>
        <v>1096</v>
      </c>
      <c r="CI5" s="336"/>
      <c r="CJ5" s="197"/>
      <c r="CK5" s="71"/>
      <c r="CL5" s="71"/>
      <c r="CM5" s="369"/>
      <c r="CN5" s="71"/>
      <c r="CO5" s="197"/>
      <c r="CP5" s="70"/>
      <c r="CQ5" s="363"/>
      <c r="CR5" s="70"/>
      <c r="CS5" s="165"/>
      <c r="CT5" s="70"/>
      <c r="CU5" s="363"/>
      <c r="CV5" s="70"/>
      <c r="CW5" s="165"/>
      <c r="CX5" s="70"/>
      <c r="CY5" s="363"/>
      <c r="CZ5" s="70"/>
      <c r="DA5" s="165"/>
      <c r="DB5" s="296" t="s">
        <v>188</v>
      </c>
      <c r="DC5" s="300"/>
      <c r="DD5" s="300"/>
      <c r="DE5" s="296"/>
      <c r="DF5" s="296"/>
      <c r="DG5" s="296"/>
      <c r="DH5" s="299"/>
      <c r="DI5" s="296"/>
      <c r="DJ5" s="296"/>
      <c r="DK5" s="297"/>
      <c r="DL5" s="298"/>
      <c r="DM5" s="298"/>
      <c r="DN5" s="297"/>
      <c r="DO5" s="297"/>
      <c r="DP5" s="298"/>
      <c r="DQ5" s="304"/>
      <c r="DR5" s="443"/>
      <c r="DS5" s="443"/>
      <c r="DT5" s="297"/>
      <c r="DU5" s="304">
        <f>DATE(YEAR(DQ5),MONTH(DQ5)+18,DAY(DQ5))</f>
        <v>547</v>
      </c>
      <c r="DV5" s="443"/>
      <c r="DW5" s="443"/>
      <c r="DX5" s="415" t="s">
        <v>178</v>
      </c>
      <c r="DY5" s="415" t="s">
        <v>178</v>
      </c>
      <c r="DZ5" s="415" t="s">
        <v>178</v>
      </c>
      <c r="EA5" s="213">
        <v>40898</v>
      </c>
      <c r="EB5" s="202"/>
      <c r="EC5" s="229">
        <v>16</v>
      </c>
      <c r="ED5" s="229">
        <f>EC5+1</f>
        <v>17</v>
      </c>
      <c r="EE5" s="229">
        <f>DATEDIF(EA5,EN5,"M")</f>
        <v>18</v>
      </c>
      <c r="EF5" s="229">
        <f>DATEDIF(EA5,EV5,"M")</f>
        <v>19</v>
      </c>
      <c r="EG5" s="229">
        <f>EE5-EC5</f>
        <v>2</v>
      </c>
      <c r="EH5" s="229">
        <f>EF5-ED5</f>
        <v>2</v>
      </c>
      <c r="EI5" s="408">
        <v>12116</v>
      </c>
      <c r="EJ5" s="408">
        <f>EI5*(EE5-EC5)</f>
        <v>24232</v>
      </c>
      <c r="EK5" s="213" t="s">
        <v>178</v>
      </c>
      <c r="EL5" s="202" t="s">
        <v>460</v>
      </c>
      <c r="EM5" s="230">
        <v>41450</v>
      </c>
      <c r="EN5" s="230">
        <v>41473</v>
      </c>
      <c r="EO5" s="230"/>
      <c r="EP5" s="230" t="s">
        <v>178</v>
      </c>
      <c r="EQ5" s="202"/>
      <c r="ER5" s="202"/>
      <c r="ES5" s="201">
        <v>41470</v>
      </c>
      <c r="ET5" s="201"/>
      <c r="EU5" s="230">
        <v>41486</v>
      </c>
      <c r="EV5" s="230">
        <v>41486</v>
      </c>
      <c r="EW5" s="230"/>
      <c r="EX5" s="230"/>
      <c r="EY5" s="213"/>
      <c r="EZ5" s="213"/>
      <c r="FA5" s="213"/>
      <c r="FB5" s="213"/>
      <c r="FC5" s="213"/>
      <c r="FD5" s="202"/>
      <c r="FE5" s="213">
        <f>DATE(YEAR(EN5)+1,MONTH(EN5),DAY(EN5))</f>
        <v>41838</v>
      </c>
      <c r="FF5" s="213" t="s">
        <v>178</v>
      </c>
      <c r="FG5" s="213"/>
      <c r="FH5" s="213"/>
      <c r="FI5" s="328" t="s">
        <v>470</v>
      </c>
      <c r="FJ5" s="328" t="s">
        <v>178</v>
      </c>
      <c r="FK5" s="328"/>
      <c r="FL5" s="347">
        <v>42664</v>
      </c>
      <c r="FM5" s="347"/>
      <c r="FN5" s="330"/>
      <c r="FO5" s="330"/>
      <c r="FP5" s="459"/>
      <c r="FQ5" s="23"/>
      <c r="FR5" s="28">
        <f>GB5+GF5+GM5+HF5+GK5+GQ5</f>
        <v>4024614</v>
      </c>
      <c r="FS5" s="25">
        <f>FR5-FQ5</f>
        <v>4024614</v>
      </c>
      <c r="FT5" s="25">
        <f>FR5/AG5</f>
        <v>2100.0031307396894</v>
      </c>
      <c r="FU5" s="25">
        <f>FR5/AD5</f>
        <v>174983.21739130435</v>
      </c>
      <c r="FV5" s="23">
        <v>3671820</v>
      </c>
      <c r="FW5" s="24"/>
      <c r="FX5" s="25">
        <f>FW5-FV5</f>
        <v>-3671820</v>
      </c>
      <c r="FY5" s="231" t="e">
        <f>FV5*1.021/FQ5</f>
        <v>#DIV/0!</v>
      </c>
      <c r="FZ5" s="232"/>
      <c r="GA5" s="23">
        <v>1191366</v>
      </c>
      <c r="GB5" s="30">
        <v>1191366</v>
      </c>
      <c r="GC5" s="50">
        <f>GB5/AD5</f>
        <v>51798.521739130432</v>
      </c>
      <c r="GD5" s="73">
        <f>GB5-GA5</f>
        <v>0</v>
      </c>
      <c r="GE5" s="23">
        <v>2593660</v>
      </c>
      <c r="GF5" s="24">
        <f>+GG5+GH5</f>
        <v>2593661</v>
      </c>
      <c r="GG5" s="26">
        <v>592565</v>
      </c>
      <c r="GH5" s="26">
        <v>2001096</v>
      </c>
      <c r="GI5" s="73">
        <f>GF5-GE5</f>
        <v>1</v>
      </c>
      <c r="GJ5" s="50">
        <f>GF5/AD5</f>
        <v>112767.86956521739</v>
      </c>
      <c r="GK5" s="24">
        <v>0</v>
      </c>
      <c r="GL5" s="29">
        <v>239587</v>
      </c>
      <c r="GM5" s="30">
        <v>239587</v>
      </c>
      <c r="GN5" s="123"/>
      <c r="GO5" s="76">
        <f>GM5/FR5</f>
        <v>5.9530429502059078E-2</v>
      </c>
      <c r="GP5" s="590"/>
      <c r="GQ5" s="30">
        <v>0</v>
      </c>
      <c r="GR5" s="51">
        <f>GM5-GL5</f>
        <v>0</v>
      </c>
      <c r="GS5" s="50">
        <f>GM5/AD5</f>
        <v>10416.826086956522</v>
      </c>
      <c r="GT5" s="98"/>
      <c r="GU5" s="51">
        <f>GR5/AD5</f>
        <v>0</v>
      </c>
      <c r="GV5" s="97"/>
      <c r="GW5" s="97"/>
      <c r="GX5" s="75">
        <v>0</v>
      </c>
      <c r="GY5" s="75">
        <v>0</v>
      </c>
      <c r="GZ5" s="50">
        <f>(GB5+GM5+GY5)/AD5</f>
        <v>62215.34782608696</v>
      </c>
      <c r="HA5" s="75">
        <v>0</v>
      </c>
      <c r="HB5" s="50">
        <f>(GB5+GM5+GY5+HA5)/AD5</f>
        <v>62215.34782608696</v>
      </c>
      <c r="HC5" s="99">
        <f>(GB5+GM5+GY5+HA5)/(GX5+FR5-HD5)</f>
        <v>0.3555503707933233</v>
      </c>
      <c r="HD5" s="75"/>
      <c r="HE5" s="75"/>
      <c r="HF5" s="24">
        <v>0</v>
      </c>
      <c r="HG5" s="77">
        <f>FR5+GX5</f>
        <v>4024614</v>
      </c>
      <c r="HH5" s="491"/>
      <c r="HI5" s="491"/>
      <c r="HJ5" s="494"/>
      <c r="HK5" s="491"/>
      <c r="HL5" s="477"/>
      <c r="HM5" s="477">
        <f>DATE(YEAR(HL5),MONTH(HL5),DAY(HL5)+21)</f>
        <v>21</v>
      </c>
      <c r="HN5" s="477"/>
      <c r="HO5" s="497" t="str">
        <f>IF(AND(HM5&gt;0,HN5&gt;0),HN5-HM5,"0")</f>
        <v>0</v>
      </c>
      <c r="HP5" s="477"/>
      <c r="HQ5" s="481" t="str">
        <f>IF(AND(HN5&gt;0,HP5&gt;0),HP5-HN5,"0")</f>
        <v>0</v>
      </c>
      <c r="HR5" s="497">
        <f>+HQ5-30</f>
        <v>-30</v>
      </c>
      <c r="HS5" s="506" t="str">
        <f>IF(AND(HL5&gt;0,HP5&gt;0),HP5-HL5,"0")</f>
        <v>0</v>
      </c>
      <c r="HT5" s="477"/>
      <c r="HU5" s="497" t="str">
        <f>IF(AND(HP5&gt;0,HT5&gt;0),HT5-HP5,"0")</f>
        <v>0</v>
      </c>
      <c r="HV5" s="477">
        <f>DATE(YEAR(HT5),MONTH(HT5),DAY(HT5)+21)</f>
        <v>21</v>
      </c>
      <c r="HW5" s="477"/>
      <c r="HX5" s="497" t="str">
        <f>IF(AND(HV5&gt;0,HW5&gt;0),HW5-HV5,"0")</f>
        <v>0</v>
      </c>
      <c r="HY5" s="476"/>
      <c r="HZ5" s="481" t="str">
        <f>IF(AND(HW5&gt;0,HY5&gt;0),HY5-HW5,"0")</f>
        <v>0</v>
      </c>
      <c r="IA5" s="497">
        <f>+HZ5-30</f>
        <v>-30</v>
      </c>
      <c r="IB5" s="506" t="str">
        <f>IF(AND(HT5&gt;0,HY5&gt;0),HY5-HT5,"0")</f>
        <v>0</v>
      </c>
      <c r="IC5" s="490"/>
      <c r="ID5" s="491"/>
      <c r="IE5" s="477"/>
      <c r="IF5" s="477"/>
      <c r="IG5" s="494"/>
      <c r="IH5" s="491"/>
      <c r="II5" s="478"/>
      <c r="IJ5" s="497" t="str">
        <f>IF(AND(HY5&gt;0,II5&gt;0),II5-HY5,"0")</f>
        <v>0</v>
      </c>
      <c r="IK5" s="478"/>
      <c r="IL5" s="478"/>
      <c r="IM5" s="497" t="str">
        <f>IF(AND(IK5&gt;0,IL5&gt;0),IL5-IK5,"0")</f>
        <v>0</v>
      </c>
      <c r="IN5" s="478"/>
      <c r="IO5" s="481" t="str">
        <f>IF(AND(IL5&gt;0,IN5&gt;0),IN5-IL5,"0")</f>
        <v>0</v>
      </c>
      <c r="IP5" s="497">
        <f>+IO5-30</f>
        <v>-30</v>
      </c>
      <c r="IQ5" s="506" t="str">
        <f>IF(AND(II5&gt;0,IN5&gt;0),IN5-II5,"0")</f>
        <v>0</v>
      </c>
      <c r="IR5" s="490"/>
      <c r="IS5" s="491"/>
      <c r="IT5" s="478"/>
      <c r="IU5" s="498" t="str">
        <f>IF(AND(IN5&gt;0,IT5&gt;0),IT5-IN5,"0")</f>
        <v>0</v>
      </c>
      <c r="IV5" s="478"/>
      <c r="IW5" s="478"/>
      <c r="IX5" s="498" t="str">
        <f>IF(AND(IV5&gt;0,IW5&gt;0),IW5-IV5,"0")</f>
        <v>0</v>
      </c>
      <c r="IY5" s="478"/>
      <c r="IZ5" s="482" t="str">
        <f>IF(AND(IW5&gt;0,IY5&gt;0),IY5-IW5,"0")</f>
        <v>0</v>
      </c>
      <c r="JA5" s="498">
        <f>IZ5-30</f>
        <v>-30</v>
      </c>
      <c r="JB5" s="508" t="str">
        <f>IF(AND(IT5&gt;0,IY5&gt;0),IY5-IT5,"0")</f>
        <v>0</v>
      </c>
      <c r="JC5" s="490"/>
      <c r="JD5" s="491"/>
      <c r="JE5" s="212"/>
      <c r="JF5" s="487" t="str">
        <f>IF(AND(IY5&gt;0,JE5&gt;0),JE5-IY5,"0")</f>
        <v>0</v>
      </c>
      <c r="JG5" s="212">
        <f>DATE(YEAR(JE5),MONTH(JE5),DAY(JE5)+15)</f>
        <v>15</v>
      </c>
      <c r="JH5" s="212"/>
      <c r="JI5" s="487" t="str">
        <f>IF(AND(JG5&gt;0,JH5&gt;0),JH5-JG5,"0")</f>
        <v>0</v>
      </c>
      <c r="JJ5" s="212">
        <f>DATE(YEAR(JH5),MONTH(JH5),DAY(JH5)+15)</f>
        <v>15</v>
      </c>
      <c r="JK5" s="212"/>
      <c r="JL5" s="487" t="str">
        <f>IF(AND(JJ5&gt;0,JK5&gt;0),JK5-JJ5,"0")</f>
        <v>0</v>
      </c>
      <c r="JM5" s="509" t="str">
        <f>IF(AND(JE5&gt;0,JK5&gt;0),JK5-JE5,"0")</f>
        <v>0</v>
      </c>
      <c r="JN5" s="499"/>
      <c r="JO5" s="501" t="str">
        <f>IF(AND(JK5&gt;0,JN5&gt;0),JN5-JK5,"0")</f>
        <v>0</v>
      </c>
      <c r="JP5" s="498">
        <f>JO5-60</f>
        <v>-60</v>
      </c>
      <c r="JQ5" s="482">
        <f>291/30</f>
        <v>9.6999999999999993</v>
      </c>
      <c r="JR5" s="504">
        <f>((+HS5+HU5+IB5+IJ5+IQ5+IU5+JB5+JI5+JF5)/30)-JQ5</f>
        <v>-9.6999999999999993</v>
      </c>
      <c r="JS5" s="490"/>
      <c r="JT5" s="491"/>
      <c r="JU5" s="490"/>
      <c r="JV5" s="491"/>
      <c r="JW5" s="488"/>
      <c r="JX5" s="488"/>
      <c r="JY5" s="488"/>
      <c r="JZ5" s="488"/>
    </row>
    <row r="6" spans="1:286" s="31" customFormat="1" ht="48" hidden="1" customHeight="1" x14ac:dyDescent="0.25">
      <c r="A6" s="19" t="s">
        <v>477</v>
      </c>
      <c r="B6" s="20" t="s">
        <v>46</v>
      </c>
      <c r="C6" s="20" t="s">
        <v>157</v>
      </c>
      <c r="D6" s="20">
        <v>2011</v>
      </c>
      <c r="E6" s="20" t="s">
        <v>131</v>
      </c>
      <c r="F6" s="20" t="s">
        <v>48</v>
      </c>
      <c r="G6" s="20" t="s">
        <v>275</v>
      </c>
      <c r="H6" s="110" t="s">
        <v>385</v>
      </c>
      <c r="I6" s="110"/>
      <c r="J6" s="110"/>
      <c r="K6" s="453"/>
      <c r="L6" s="295"/>
      <c r="M6" s="295"/>
      <c r="N6" s="295"/>
      <c r="O6" s="379">
        <v>3280</v>
      </c>
      <c r="P6" s="379">
        <f>Q6</f>
        <v>700000</v>
      </c>
      <c r="Q6" s="379">
        <v>700000</v>
      </c>
      <c r="R6" s="379">
        <f>P6/AD6</f>
        <v>35000</v>
      </c>
      <c r="S6" s="379">
        <f>P6/O6</f>
        <v>213.41463414634146</v>
      </c>
      <c r="T6" s="379">
        <f>Q6/O6</f>
        <v>213.41463414634146</v>
      </c>
      <c r="U6" s="379">
        <f>Q6/AH6</f>
        <v>409.99209300963486</v>
      </c>
      <c r="V6" s="379">
        <f>Q6/AD6</f>
        <v>35000</v>
      </c>
      <c r="W6" s="379">
        <f>O6/AD6</f>
        <v>164</v>
      </c>
      <c r="X6" s="380"/>
      <c r="Y6" s="381">
        <f>AH6/O6</f>
        <v>0.52053353658536583</v>
      </c>
      <c r="Z6" s="380" t="s">
        <v>327</v>
      </c>
      <c r="AA6" s="382"/>
      <c r="AB6" s="382"/>
      <c r="AC6" s="20" t="s">
        <v>25</v>
      </c>
      <c r="AD6" s="640">
        <f>AE6+AF6</f>
        <v>20</v>
      </c>
      <c r="AE6" s="20">
        <v>20</v>
      </c>
      <c r="AF6" s="455"/>
      <c r="AG6" s="22">
        <v>1707.35</v>
      </c>
      <c r="AH6" s="139">
        <v>1707.35</v>
      </c>
      <c r="AI6" s="22">
        <f>AH6/AD6</f>
        <v>85.367499999999993</v>
      </c>
      <c r="AJ6" s="135">
        <v>0</v>
      </c>
      <c r="AK6" s="135">
        <v>0</v>
      </c>
      <c r="AL6" s="135">
        <f>2/AD6</f>
        <v>0.1</v>
      </c>
      <c r="AM6" s="135">
        <f>18/AD6</f>
        <v>0.9</v>
      </c>
      <c r="AN6" s="135">
        <v>0</v>
      </c>
      <c r="AO6" s="22">
        <v>461.7</v>
      </c>
      <c r="AP6" s="133" t="s">
        <v>515</v>
      </c>
      <c r="AQ6" s="135" t="e">
        <f>AP6/O6</f>
        <v>#VALUE!</v>
      </c>
      <c r="AR6" s="114">
        <v>2</v>
      </c>
      <c r="AS6" s="456"/>
      <c r="AT6" s="113"/>
      <c r="AU6" s="113"/>
      <c r="AV6" s="456"/>
      <c r="AW6" s="332">
        <v>40583</v>
      </c>
      <c r="AX6" s="110"/>
      <c r="AY6" s="332">
        <v>40816</v>
      </c>
      <c r="AZ6" s="332" t="s">
        <v>230</v>
      </c>
      <c r="BA6" s="332"/>
      <c r="BB6" s="332"/>
      <c r="BC6" s="332"/>
      <c r="BD6" s="332"/>
      <c r="BE6" s="332"/>
      <c r="BF6" s="332"/>
      <c r="BG6" s="332"/>
      <c r="BH6" s="332"/>
      <c r="BI6" s="332"/>
      <c r="BJ6" s="332"/>
      <c r="BK6" s="332"/>
      <c r="BL6" s="332"/>
      <c r="BM6" s="332"/>
      <c r="BN6" s="344" t="s">
        <v>18</v>
      </c>
      <c r="BO6" s="344" t="s">
        <v>178</v>
      </c>
      <c r="BP6" s="339"/>
      <c r="BQ6" s="344"/>
      <c r="BR6" s="344"/>
      <c r="BS6" s="344" t="s">
        <v>356</v>
      </c>
      <c r="BT6" s="458"/>
      <c r="BU6" s="376">
        <v>40722</v>
      </c>
      <c r="BV6" s="160"/>
      <c r="BW6" s="160"/>
      <c r="BX6" s="160"/>
      <c r="BY6" s="160"/>
      <c r="BZ6" s="376"/>
      <c r="CA6" s="160"/>
      <c r="CB6" s="71"/>
      <c r="CC6" s="369"/>
      <c r="CD6" s="197"/>
      <c r="CE6" s="197"/>
      <c r="CF6" s="336"/>
      <c r="CG6" s="336">
        <f>DATE(YEAR(CF6),MONTH(CF6)+24,DAY(CF6))</f>
        <v>731</v>
      </c>
      <c r="CH6" s="336">
        <f>DATE(YEAR(CF6),MONTH(CF6)+36,DAY(CF6))</f>
        <v>1096</v>
      </c>
      <c r="CI6" s="336"/>
      <c r="CJ6" s="197"/>
      <c r="CK6" s="71"/>
      <c r="CL6" s="71"/>
      <c r="CM6" s="369"/>
      <c r="CN6" s="71"/>
      <c r="CO6" s="197"/>
      <c r="CP6" s="70"/>
      <c r="CQ6" s="363"/>
      <c r="CR6" s="70"/>
      <c r="CS6" s="165"/>
      <c r="CT6" s="70"/>
      <c r="CU6" s="363"/>
      <c r="CV6" s="70"/>
      <c r="CW6" s="165"/>
      <c r="CX6" s="70"/>
      <c r="CY6" s="363"/>
      <c r="CZ6" s="70"/>
      <c r="DA6" s="165"/>
      <c r="DB6" s="296" t="s">
        <v>279</v>
      </c>
      <c r="DC6" s="300"/>
      <c r="DD6" s="300"/>
      <c r="DE6" s="296"/>
      <c r="DF6" s="296"/>
      <c r="DG6" s="296"/>
      <c r="DH6" s="299"/>
      <c r="DI6" s="296"/>
      <c r="DJ6" s="296"/>
      <c r="DK6" s="297"/>
      <c r="DL6" s="298"/>
      <c r="DM6" s="298"/>
      <c r="DN6" s="297"/>
      <c r="DO6" s="297"/>
      <c r="DP6" s="298"/>
      <c r="DQ6" s="304"/>
      <c r="DR6" s="443"/>
      <c r="DS6" s="443"/>
      <c r="DT6" s="297"/>
      <c r="DU6" s="304">
        <f>DATE(YEAR(DQ6),MONTH(DQ6)+18,DAY(DQ6))</f>
        <v>547</v>
      </c>
      <c r="DV6" s="443"/>
      <c r="DW6" s="443"/>
      <c r="DX6" s="415" t="s">
        <v>178</v>
      </c>
      <c r="DY6" s="415" t="s">
        <v>178</v>
      </c>
      <c r="DZ6" s="416">
        <v>41365</v>
      </c>
      <c r="EA6" s="213">
        <v>40899</v>
      </c>
      <c r="EB6" s="202"/>
      <c r="EC6" s="229">
        <v>15</v>
      </c>
      <c r="ED6" s="229">
        <f>EC6+1</f>
        <v>16</v>
      </c>
      <c r="EE6" s="229">
        <f>DATEDIF(EA6,EN6,"M")</f>
        <v>19</v>
      </c>
      <c r="EF6" s="229">
        <f>DATEDIF(EA6,EV6,"M")</f>
        <v>20</v>
      </c>
      <c r="EG6" s="229">
        <f>EE6-EC6</f>
        <v>4</v>
      </c>
      <c r="EH6" s="229">
        <f>EF6-ED6</f>
        <v>4</v>
      </c>
      <c r="EI6" s="408">
        <v>10566</v>
      </c>
      <c r="EJ6" s="408">
        <f>EI6*(EE6-EC6)</f>
        <v>42264</v>
      </c>
      <c r="EK6" s="213" t="s">
        <v>178</v>
      </c>
      <c r="EL6" s="230" t="s">
        <v>461</v>
      </c>
      <c r="EM6" s="203" t="s">
        <v>462</v>
      </c>
      <c r="EN6" s="230">
        <v>41500</v>
      </c>
      <c r="EO6" s="230"/>
      <c r="EP6" s="230" t="s">
        <v>178</v>
      </c>
      <c r="EQ6" s="202"/>
      <c r="ER6" s="202"/>
      <c r="ES6" s="201">
        <v>41429</v>
      </c>
      <c r="ET6" s="201"/>
      <c r="EU6" s="230">
        <v>41508</v>
      </c>
      <c r="EV6" s="230">
        <v>41529</v>
      </c>
      <c r="EW6" s="230"/>
      <c r="EX6" s="230"/>
      <c r="EY6" s="213"/>
      <c r="EZ6" s="213"/>
      <c r="FA6" s="213"/>
      <c r="FB6" s="213"/>
      <c r="FC6" s="213"/>
      <c r="FD6" s="202"/>
      <c r="FE6" s="213">
        <f>DATE(YEAR(EN6)+1,MONTH(EN6),DAY(EN6))</f>
        <v>41865</v>
      </c>
      <c r="FF6" s="213" t="s">
        <v>471</v>
      </c>
      <c r="FG6" s="213" t="s">
        <v>178</v>
      </c>
      <c r="FH6" s="213" t="s">
        <v>178</v>
      </c>
      <c r="FI6" s="213">
        <v>41932</v>
      </c>
      <c r="FJ6" s="213" t="s">
        <v>178</v>
      </c>
      <c r="FK6" s="213"/>
      <c r="FL6" s="201">
        <v>42178</v>
      </c>
      <c r="FM6" s="201"/>
      <c r="FN6" s="212"/>
      <c r="FO6" s="212"/>
      <c r="FP6" s="459"/>
      <c r="FQ6" s="23"/>
      <c r="FR6" s="28">
        <f>GB6+GF6+GM6+HF6+GK6+GQ6</f>
        <v>3732556</v>
      </c>
      <c r="FS6" s="25">
        <f>FR6-FQ6</f>
        <v>3732556</v>
      </c>
      <c r="FT6" s="25">
        <f>FR6/AG6</f>
        <v>2186.1692095938151</v>
      </c>
      <c r="FU6" s="25">
        <f>FR6/AD6</f>
        <v>186627.8</v>
      </c>
      <c r="FV6" s="460">
        <v>3491780</v>
      </c>
      <c r="FW6" s="24"/>
      <c r="FX6" s="25">
        <f>FW6-FV6</f>
        <v>-3491780</v>
      </c>
      <c r="FY6" s="231" t="e">
        <f>FV6*1.021/FQ6</f>
        <v>#DIV/0!</v>
      </c>
      <c r="FZ6" s="232"/>
      <c r="GA6" s="23">
        <v>1090089</v>
      </c>
      <c r="GB6" s="30">
        <v>1090090</v>
      </c>
      <c r="GC6" s="50">
        <f>GB6/AD6</f>
        <v>54504.5</v>
      </c>
      <c r="GD6" s="73">
        <f>GB6-GA6</f>
        <v>1</v>
      </c>
      <c r="GE6" s="23">
        <v>2287465</v>
      </c>
      <c r="GF6" s="24">
        <f>+GG6+GH6</f>
        <v>2287466</v>
      </c>
      <c r="GG6" s="26">
        <v>616923</v>
      </c>
      <c r="GH6" s="26">
        <v>1670543</v>
      </c>
      <c r="GI6" s="73">
        <f>GF6-GE6</f>
        <v>1</v>
      </c>
      <c r="GJ6" s="50">
        <f>GF6/AD6</f>
        <v>114373.3</v>
      </c>
      <c r="GK6" s="24">
        <v>0</v>
      </c>
      <c r="GL6" s="29">
        <v>355000</v>
      </c>
      <c r="GM6" s="30">
        <v>355000</v>
      </c>
      <c r="GN6" s="123"/>
      <c r="GO6" s="76">
        <f>GM6/FR6</f>
        <v>9.5109088785272078E-2</v>
      </c>
      <c r="GP6" s="590"/>
      <c r="GQ6" s="30">
        <v>0</v>
      </c>
      <c r="GR6" s="51">
        <f>GM6-GL6</f>
        <v>0</v>
      </c>
      <c r="GS6" s="50">
        <f>GM6/AD6</f>
        <v>17750</v>
      </c>
      <c r="GT6" s="98"/>
      <c r="GU6" s="51">
        <f>GR6/AD6</f>
        <v>0</v>
      </c>
      <c r="GV6" s="97"/>
      <c r="GW6" s="97"/>
      <c r="GX6" s="75">
        <v>0</v>
      </c>
      <c r="GY6" s="75">
        <v>0</v>
      </c>
      <c r="GZ6" s="50">
        <f>(GB6+GM6+GY6)/AD6</f>
        <v>72254.5</v>
      </c>
      <c r="HA6" s="75">
        <v>0</v>
      </c>
      <c r="HB6" s="50">
        <f>(GB6+GM6+GY6+HA6)/AD6</f>
        <v>72254.5</v>
      </c>
      <c r="HC6" s="99">
        <f>(GB6+GM6+GY6+HA6)/(GX6+FR6-HD6)</f>
        <v>0.38715829045833472</v>
      </c>
      <c r="HD6" s="75"/>
      <c r="HE6" s="75"/>
      <c r="HF6" s="24">
        <v>0</v>
      </c>
      <c r="HG6" s="77">
        <f>FR6+GX6</f>
        <v>3732556</v>
      </c>
      <c r="HH6" s="491"/>
      <c r="HI6" s="491"/>
      <c r="HJ6" s="494"/>
      <c r="HK6" s="491"/>
      <c r="HL6" s="477"/>
      <c r="HM6" s="477">
        <f>DATE(YEAR(HL6),MONTH(HL6),DAY(HL6)+21)</f>
        <v>21</v>
      </c>
      <c r="HN6" s="477"/>
      <c r="HO6" s="497" t="str">
        <f>IF(AND(HM6&gt;0,HN6&gt;0),HN6-HM6,"0")</f>
        <v>0</v>
      </c>
      <c r="HP6" s="477"/>
      <c r="HQ6" s="481" t="str">
        <f>IF(AND(HN6&gt;0,HP6&gt;0),HP6-HN6,"0")</f>
        <v>0</v>
      </c>
      <c r="HR6" s="497">
        <f>+HQ6-30</f>
        <v>-30</v>
      </c>
      <c r="HS6" s="506" t="str">
        <f>IF(AND(HL6&gt;0,HP6&gt;0),HP6-HL6,"0")</f>
        <v>0</v>
      </c>
      <c r="HT6" s="477"/>
      <c r="HU6" s="497" t="str">
        <f>IF(AND(HP6&gt;0,HT6&gt;0),HT6-HP6,"0")</f>
        <v>0</v>
      </c>
      <c r="HV6" s="477">
        <f>DATE(YEAR(HT6),MONTH(HT6),DAY(HT6)+21)</f>
        <v>21</v>
      </c>
      <c r="HW6" s="477"/>
      <c r="HX6" s="497" t="str">
        <f>IF(AND(HV6&gt;0,HW6&gt;0),HW6-HV6,"0")</f>
        <v>0</v>
      </c>
      <c r="HY6" s="476"/>
      <c r="HZ6" s="481" t="str">
        <f>IF(AND(HW6&gt;0,HY6&gt;0),HY6-HW6,"0")</f>
        <v>0</v>
      </c>
      <c r="IA6" s="497">
        <f>+HZ6-30</f>
        <v>-30</v>
      </c>
      <c r="IB6" s="506" t="str">
        <f>IF(AND(HT6&gt;0,HY6&gt;0),HY6-HT6,"0")</f>
        <v>0</v>
      </c>
      <c r="IC6" s="490"/>
      <c r="ID6" s="491"/>
      <c r="IE6" s="477"/>
      <c r="IF6" s="477"/>
      <c r="IG6" s="494"/>
      <c r="IH6" s="491"/>
      <c r="II6" s="478"/>
      <c r="IJ6" s="497" t="str">
        <f>IF(AND(HY6&gt;0,II6&gt;0),II6-HY6,"0")</f>
        <v>0</v>
      </c>
      <c r="IK6" s="478"/>
      <c r="IL6" s="478"/>
      <c r="IM6" s="497" t="str">
        <f>IF(AND(IK6&gt;0,IL6&gt;0),IL6-IK6,"0")</f>
        <v>0</v>
      </c>
      <c r="IN6" s="478"/>
      <c r="IO6" s="481" t="str">
        <f>IF(AND(IL6&gt;0,IN6&gt;0),IN6-IL6,"0")</f>
        <v>0</v>
      </c>
      <c r="IP6" s="497">
        <f>+IO6-30</f>
        <v>-30</v>
      </c>
      <c r="IQ6" s="506" t="str">
        <f>IF(AND(II6&gt;0,IN6&gt;0),IN6-II6,"0")</f>
        <v>0</v>
      </c>
      <c r="IR6" s="490"/>
      <c r="IS6" s="491"/>
      <c r="IT6" s="478"/>
      <c r="IU6" s="498" t="str">
        <f>IF(AND(IN6&gt;0,IT6&gt;0),IT6-IN6,"0")</f>
        <v>0</v>
      </c>
      <c r="IV6" s="478"/>
      <c r="IW6" s="478"/>
      <c r="IX6" s="498" t="str">
        <f>IF(AND(IV6&gt;0,IW6&gt;0),IW6-IV6,"0")</f>
        <v>0</v>
      </c>
      <c r="IY6" s="478"/>
      <c r="IZ6" s="482" t="str">
        <f>IF(AND(IW6&gt;0,IY6&gt;0),IY6-IW6,"0")</f>
        <v>0</v>
      </c>
      <c r="JA6" s="498">
        <f>IZ6-30</f>
        <v>-30</v>
      </c>
      <c r="JB6" s="508" t="str">
        <f>IF(AND(IT6&gt;0,IY6&gt;0),IY6-IT6,"0")</f>
        <v>0</v>
      </c>
      <c r="JC6" s="490"/>
      <c r="JD6" s="491"/>
      <c r="JE6" s="212"/>
      <c r="JF6" s="487" t="str">
        <f>IF(AND(IY6&gt;0,JE6&gt;0),JE6-IY6,"0")</f>
        <v>0</v>
      </c>
      <c r="JG6" s="212">
        <f>DATE(YEAR(JE6),MONTH(JE6),DAY(JE6)+15)</f>
        <v>15</v>
      </c>
      <c r="JH6" s="212"/>
      <c r="JI6" s="487" t="str">
        <f>IF(AND(JG6&gt;0,JH6&gt;0),JH6-JG6,"0")</f>
        <v>0</v>
      </c>
      <c r="JJ6" s="212">
        <f>DATE(YEAR(JH6),MONTH(JH6),DAY(JH6)+15)</f>
        <v>15</v>
      </c>
      <c r="JK6" s="212"/>
      <c r="JL6" s="487" t="str">
        <f>IF(AND(JJ6&gt;0,JK6&gt;0),JK6-JJ6,"0")</f>
        <v>0</v>
      </c>
      <c r="JM6" s="509" t="str">
        <f>IF(AND(JE6&gt;0,JK6&gt;0),JK6-JE6,"0")</f>
        <v>0</v>
      </c>
      <c r="JN6" s="499"/>
      <c r="JO6" s="501" t="str">
        <f>IF(AND(JK6&gt;0,JN6&gt;0),JN6-JK6,"0")</f>
        <v>0</v>
      </c>
      <c r="JP6" s="498">
        <f>JO6-60</f>
        <v>-60</v>
      </c>
      <c r="JQ6" s="482">
        <f>291/30</f>
        <v>9.6999999999999993</v>
      </c>
      <c r="JR6" s="504">
        <f>((+HS6+HU6+IB6+IJ6+IQ6+IU6+JB6+JI6+JF6)/30)-JQ6</f>
        <v>-9.6999999999999993</v>
      </c>
      <c r="JS6" s="490"/>
      <c r="JT6" s="491"/>
      <c r="JU6" s="490"/>
      <c r="JV6" s="491"/>
      <c r="JW6" s="488"/>
      <c r="JX6" s="488"/>
      <c r="JY6" s="488"/>
      <c r="JZ6" s="488"/>
    </row>
    <row r="7" spans="1:286" s="31" customFormat="1" ht="39.950000000000003" hidden="1" customHeight="1" x14ac:dyDescent="0.25">
      <c r="A7" s="19" t="s">
        <v>138</v>
      </c>
      <c r="B7" s="20" t="s">
        <v>44</v>
      </c>
      <c r="C7" s="20" t="s">
        <v>158</v>
      </c>
      <c r="D7" s="20">
        <v>2011</v>
      </c>
      <c r="E7" s="20" t="s">
        <v>134</v>
      </c>
      <c r="F7" s="20"/>
      <c r="G7" s="20" t="s">
        <v>274</v>
      </c>
      <c r="H7" s="110" t="s">
        <v>385</v>
      </c>
      <c r="I7" s="110"/>
      <c r="J7" s="110"/>
      <c r="K7" s="453" t="s">
        <v>1007</v>
      </c>
      <c r="L7" s="295"/>
      <c r="M7" s="295"/>
      <c r="N7" s="295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382"/>
      <c r="AB7" s="382"/>
      <c r="AC7" s="20" t="s">
        <v>26</v>
      </c>
      <c r="AD7" s="640">
        <f>AE7+AF7</f>
        <v>16</v>
      </c>
      <c r="AE7" s="21"/>
      <c r="AF7" s="20">
        <v>16</v>
      </c>
      <c r="AG7" s="22">
        <v>1432.77</v>
      </c>
      <c r="AH7" s="139">
        <v>1432.77</v>
      </c>
      <c r="AI7" s="22">
        <f>AH7/AD7</f>
        <v>89.548124999999999</v>
      </c>
      <c r="AJ7" s="114"/>
      <c r="AK7" s="114"/>
      <c r="AL7" s="114"/>
      <c r="AM7" s="114"/>
      <c r="AN7" s="114"/>
      <c r="AO7" s="21"/>
      <c r="AP7" s="329"/>
      <c r="AQ7" s="193"/>
      <c r="AR7" s="114">
        <v>2.5</v>
      </c>
      <c r="AS7" s="456"/>
      <c r="AT7" s="113"/>
      <c r="AU7" s="113"/>
      <c r="AV7" s="456" t="s">
        <v>168</v>
      </c>
      <c r="AW7" s="332">
        <v>40583</v>
      </c>
      <c r="AX7" s="110"/>
      <c r="AY7" s="332">
        <v>40816</v>
      </c>
      <c r="AZ7" s="332" t="s">
        <v>230</v>
      </c>
      <c r="BA7" s="332"/>
      <c r="BB7" s="332"/>
      <c r="BC7" s="332"/>
      <c r="BD7" s="332"/>
      <c r="BE7" s="332"/>
      <c r="BF7" s="332"/>
      <c r="BG7" s="332"/>
      <c r="BH7" s="332"/>
      <c r="BI7" s="332"/>
      <c r="BJ7" s="332"/>
      <c r="BK7" s="332"/>
      <c r="BL7" s="332"/>
      <c r="BM7" s="332"/>
      <c r="BN7" s="344" t="s">
        <v>18</v>
      </c>
      <c r="BO7" s="344" t="s">
        <v>178</v>
      </c>
      <c r="BP7" s="339"/>
      <c r="BQ7" s="344"/>
      <c r="BR7" s="344"/>
      <c r="BS7" s="344" t="s">
        <v>346</v>
      </c>
      <c r="BT7" s="458"/>
      <c r="BU7" s="376">
        <v>40722</v>
      </c>
      <c r="BV7" s="160">
        <v>42291</v>
      </c>
      <c r="BW7" s="160"/>
      <c r="BX7" s="160"/>
      <c r="BY7" s="160"/>
      <c r="BZ7" s="376"/>
      <c r="CA7" s="160"/>
      <c r="CB7" s="71"/>
      <c r="CC7" s="369"/>
      <c r="CD7" s="197"/>
      <c r="CE7" s="197"/>
      <c r="CF7" s="336"/>
      <c r="CG7" s="336">
        <f>DATE(YEAR(CF7),MONTH(CF7)+24,DAY(CF7))</f>
        <v>731</v>
      </c>
      <c r="CH7" s="336">
        <f>DATE(YEAR(CF7),MONTH(CF7)+36,DAY(CF7))</f>
        <v>1096</v>
      </c>
      <c r="CI7" s="336"/>
      <c r="CJ7" s="197"/>
      <c r="CK7" s="71"/>
      <c r="CL7" s="71"/>
      <c r="CM7" s="369"/>
      <c r="CN7" s="71"/>
      <c r="CO7" s="197"/>
      <c r="CP7" s="70"/>
      <c r="CQ7" s="363"/>
      <c r="CR7" s="70"/>
      <c r="CS7" s="165"/>
      <c r="CT7" s="70"/>
      <c r="CU7" s="363"/>
      <c r="CV7" s="70"/>
      <c r="CW7" s="165"/>
      <c r="CX7" s="70"/>
      <c r="CY7" s="363"/>
      <c r="CZ7" s="70"/>
      <c r="DA7" s="165"/>
      <c r="DB7" s="296"/>
      <c r="DC7" s="300"/>
      <c r="DD7" s="300"/>
      <c r="DE7" s="296"/>
      <c r="DF7" s="296"/>
      <c r="DG7" s="296"/>
      <c r="DH7" s="299"/>
      <c r="DI7" s="296"/>
      <c r="DJ7" s="296"/>
      <c r="DK7" s="297"/>
      <c r="DL7" s="298"/>
      <c r="DM7" s="298"/>
      <c r="DN7" s="297"/>
      <c r="DO7" s="297"/>
      <c r="DP7" s="298"/>
      <c r="DQ7" s="304"/>
      <c r="DR7" s="443"/>
      <c r="DS7" s="443"/>
      <c r="DT7" s="297"/>
      <c r="DU7" s="304">
        <f>DATE(YEAR(DQ7),MONTH(DQ7)+18,DAY(DQ7))</f>
        <v>547</v>
      </c>
      <c r="DV7" s="443"/>
      <c r="DW7" s="443"/>
      <c r="DX7" s="415" t="s">
        <v>178</v>
      </c>
      <c r="DY7" s="415" t="s">
        <v>178</v>
      </c>
      <c r="DZ7" s="417">
        <v>41333</v>
      </c>
      <c r="EA7" s="213">
        <v>40940</v>
      </c>
      <c r="EB7" s="202"/>
      <c r="EC7" s="229">
        <v>13</v>
      </c>
      <c r="ED7" s="229">
        <f>EC7+1</f>
        <v>14</v>
      </c>
      <c r="EE7" s="229">
        <f>DATEDIF(EA7,EN7,"M")</f>
        <v>24</v>
      </c>
      <c r="EF7" s="229">
        <f>DATEDIF(EA7,EV7,"M")</f>
        <v>24</v>
      </c>
      <c r="EG7" s="229">
        <f>EE7-EC7</f>
        <v>11</v>
      </c>
      <c r="EH7" s="229">
        <f>EF7-ED7</f>
        <v>10</v>
      </c>
      <c r="EI7" s="408">
        <v>7110</v>
      </c>
      <c r="EJ7" s="408">
        <f>EI7*(EE7-EC7)</f>
        <v>78210</v>
      </c>
      <c r="EK7" s="230" t="s">
        <v>178</v>
      </c>
      <c r="EL7" s="230">
        <v>41513</v>
      </c>
      <c r="EM7" s="230">
        <v>41576</v>
      </c>
      <c r="EN7" s="230">
        <v>41688</v>
      </c>
      <c r="EO7" s="230"/>
      <c r="EP7" s="230" t="s">
        <v>178</v>
      </c>
      <c r="EQ7" s="230"/>
      <c r="ER7" s="230"/>
      <c r="ES7" s="230">
        <v>41689</v>
      </c>
      <c r="ET7" s="230"/>
      <c r="EU7" s="230">
        <v>41696</v>
      </c>
      <c r="EV7" s="230">
        <v>41696</v>
      </c>
      <c r="EW7" s="230"/>
      <c r="EX7" s="230"/>
      <c r="EY7" s="213" t="s">
        <v>370</v>
      </c>
      <c r="EZ7" s="213"/>
      <c r="FA7" s="213"/>
      <c r="FB7" s="213"/>
      <c r="FC7" s="213">
        <v>41787</v>
      </c>
      <c r="FD7" s="202"/>
      <c r="FE7" s="213">
        <f>DATE(YEAR(EN7)+1,MONTH(EN7),DAY(EN7))</f>
        <v>42053</v>
      </c>
      <c r="FF7" s="213" t="s">
        <v>178</v>
      </c>
      <c r="FG7" s="213"/>
      <c r="FH7" s="213">
        <v>41919</v>
      </c>
      <c r="FI7" s="213">
        <v>41921</v>
      </c>
      <c r="FJ7" s="213" t="s">
        <v>178</v>
      </c>
      <c r="FK7" s="213"/>
      <c r="FL7" s="201">
        <v>42291</v>
      </c>
      <c r="FM7" s="201"/>
      <c r="FN7" s="212"/>
      <c r="FO7" s="212"/>
      <c r="FP7" s="459"/>
      <c r="FQ7" s="23"/>
      <c r="FR7" s="28">
        <f>GB7+GF7+GM7+HF7+GK7+GQ7</f>
        <v>2817333</v>
      </c>
      <c r="FS7" s="25">
        <f>FR7-FQ7</f>
        <v>2817333</v>
      </c>
      <c r="FT7" s="25">
        <f>FR7/AG7</f>
        <v>1966.3539856362152</v>
      </c>
      <c r="FU7" s="25">
        <f>FR7/AD7</f>
        <v>176083.3125</v>
      </c>
      <c r="FV7" s="23"/>
      <c r="FW7" s="24"/>
      <c r="FX7" s="25">
        <f>FW7-FV7</f>
        <v>0</v>
      </c>
      <c r="FY7" s="231" t="e">
        <f>FV7*1.021/FQ7</f>
        <v>#DIV/0!</v>
      </c>
      <c r="FZ7" s="232"/>
      <c r="GA7" s="23">
        <v>853424</v>
      </c>
      <c r="GB7" s="30">
        <v>853424</v>
      </c>
      <c r="GC7" s="50">
        <f>GB7/AD7</f>
        <v>53339</v>
      </c>
      <c r="GD7" s="73">
        <f>GB7-GA7</f>
        <v>0</v>
      </c>
      <c r="GE7" s="23">
        <v>1530227</v>
      </c>
      <c r="GF7" s="24">
        <f>+GG7+GH7</f>
        <v>1530227</v>
      </c>
      <c r="GG7" s="26">
        <v>304961</v>
      </c>
      <c r="GH7" s="26">
        <v>1225266</v>
      </c>
      <c r="GI7" s="73">
        <f>GF7-GE7</f>
        <v>0</v>
      </c>
      <c r="GJ7" s="50">
        <f>GF7/AD7</f>
        <v>95639.1875</v>
      </c>
      <c r="GK7" s="24">
        <v>0</v>
      </c>
      <c r="GL7" s="29">
        <f>380000+41063</f>
        <v>421063</v>
      </c>
      <c r="GM7" s="30">
        <v>380000</v>
      </c>
      <c r="GN7" s="123"/>
      <c r="GO7" s="76">
        <f>GM7/FR7</f>
        <v>0.13487933446277028</v>
      </c>
      <c r="GP7" s="590"/>
      <c r="GQ7" s="30">
        <v>53682</v>
      </c>
      <c r="GR7" s="51">
        <f>GM7-GL7</f>
        <v>-41063</v>
      </c>
      <c r="GS7" s="50">
        <f>GM7/AD7</f>
        <v>23750</v>
      </c>
      <c r="GT7" s="98"/>
      <c r="GU7" s="51">
        <f>GR7/AD7</f>
        <v>-2566.4375</v>
      </c>
      <c r="GV7" s="97"/>
      <c r="GW7" s="97"/>
      <c r="GX7" s="75">
        <v>0</v>
      </c>
      <c r="GY7" s="75">
        <v>0</v>
      </c>
      <c r="GZ7" s="50">
        <f>(GB7+GM7+GY7)/AD7</f>
        <v>77089</v>
      </c>
      <c r="HA7" s="75">
        <v>0</v>
      </c>
      <c r="HB7" s="50">
        <f>(GB7+GM7+GY7+HA7)/AD7</f>
        <v>77089</v>
      </c>
      <c r="HC7" s="99">
        <f>(GB7+GM7+GY7+HA7)/(GX7+FR7-HD7)</f>
        <v>0.46171877778297693</v>
      </c>
      <c r="HD7" s="75">
        <v>145958</v>
      </c>
      <c r="HE7" s="75"/>
      <c r="HF7" s="24">
        <v>0</v>
      </c>
      <c r="HG7" s="77">
        <f>FR7+GX7</f>
        <v>2817333</v>
      </c>
      <c r="HH7" s="491"/>
      <c r="HI7" s="491"/>
      <c r="HJ7" s="494"/>
      <c r="HK7" s="491"/>
      <c r="HL7" s="477"/>
      <c r="HM7" s="477">
        <f>DATE(YEAR(HL7),MONTH(HL7),DAY(HL7)+21)</f>
        <v>21</v>
      </c>
      <c r="HN7" s="477"/>
      <c r="HO7" s="497" t="str">
        <f>IF(AND(HM7&gt;0,HN7&gt;0),HN7-HM7,"0")</f>
        <v>0</v>
      </c>
      <c r="HP7" s="477"/>
      <c r="HQ7" s="481" t="str">
        <f>IF(AND(HN7&gt;0,HP7&gt;0),HP7-HN7,"0")</f>
        <v>0</v>
      </c>
      <c r="HR7" s="497">
        <f>+HQ7-30</f>
        <v>-30</v>
      </c>
      <c r="HS7" s="506" t="str">
        <f>IF(AND(HL7&gt;0,HP7&gt;0),HP7-HL7,"0")</f>
        <v>0</v>
      </c>
      <c r="HT7" s="477"/>
      <c r="HU7" s="497" t="str">
        <f>IF(AND(HP7&gt;0,HT7&gt;0),HT7-HP7,"0")</f>
        <v>0</v>
      </c>
      <c r="HV7" s="477">
        <f>DATE(YEAR(HT7),MONTH(HT7),DAY(HT7)+21)</f>
        <v>21</v>
      </c>
      <c r="HW7" s="477"/>
      <c r="HX7" s="497" t="str">
        <f>IF(AND(HV7&gt;0,HW7&gt;0),HW7-HV7,"0")</f>
        <v>0</v>
      </c>
      <c r="HY7" s="476"/>
      <c r="HZ7" s="481" t="str">
        <f>IF(AND(HW7&gt;0,HY7&gt;0),HY7-HW7,"0")</f>
        <v>0</v>
      </c>
      <c r="IA7" s="497">
        <f>+HZ7-30</f>
        <v>-30</v>
      </c>
      <c r="IB7" s="506" t="str">
        <f>IF(AND(HT7&gt;0,HY7&gt;0),HY7-HT7,"0")</f>
        <v>0</v>
      </c>
      <c r="IC7" s="490"/>
      <c r="ID7" s="491"/>
      <c r="IE7" s="477"/>
      <c r="IF7" s="477"/>
      <c r="IG7" s="494"/>
      <c r="IH7" s="491"/>
      <c r="II7" s="478"/>
      <c r="IJ7" s="497" t="str">
        <f>IF(AND(HY7&gt;0,II7&gt;0),II7-HY7,"0")</f>
        <v>0</v>
      </c>
      <c r="IK7" s="478">
        <f>DATE(YEAR(II7),MONTH(II7),DAY(II7)+30)</f>
        <v>30</v>
      </c>
      <c r="IL7" s="478"/>
      <c r="IM7" s="497" t="str">
        <f>IF(AND(IK7&gt;0,IL7&gt;0),IL7-IK7,"0")</f>
        <v>0</v>
      </c>
      <c r="IN7" s="478"/>
      <c r="IO7" s="481" t="str">
        <f>IF(AND(IL7&gt;0,IN7&gt;0),IN7-IL7,"0")</f>
        <v>0</v>
      </c>
      <c r="IP7" s="497">
        <f>+IO7-30</f>
        <v>-30</v>
      </c>
      <c r="IQ7" s="506" t="str">
        <f>IF(AND(II7&gt;0,IN7&gt;0),IN7-II7,"0")</f>
        <v>0</v>
      </c>
      <c r="IR7" s="490"/>
      <c r="IS7" s="491"/>
      <c r="IT7" s="478"/>
      <c r="IU7" s="498" t="str">
        <f>IF(AND(IN7&gt;0,IT7&gt;0),IT7-IN7,"0")</f>
        <v>0</v>
      </c>
      <c r="IV7" s="478">
        <f>DATE(YEAR(IT7),MONTH(IT7),DAY(IT7)+30)</f>
        <v>30</v>
      </c>
      <c r="IW7" s="478"/>
      <c r="IX7" s="498" t="str">
        <f>IF(AND(IV7&gt;0,IW7&gt;0),IW7-IV7,"0")</f>
        <v>0</v>
      </c>
      <c r="IY7" s="478"/>
      <c r="IZ7" s="482" t="str">
        <f>IF(AND(IW7&gt;0,IY7&gt;0),IY7-IW7,"0")</f>
        <v>0</v>
      </c>
      <c r="JA7" s="498">
        <f>IZ7-30</f>
        <v>-30</v>
      </c>
      <c r="JB7" s="508" t="str">
        <f>IF(AND(IT7&gt;0,IY7&gt;0),IY7-IT7,"0")</f>
        <v>0</v>
      </c>
      <c r="JC7" s="490"/>
      <c r="JD7" s="491"/>
      <c r="JE7" s="212"/>
      <c r="JF7" s="487" t="str">
        <f>IF(AND(IY7&gt;0,JE7&gt;0),JE7-IY7,"0")</f>
        <v>0</v>
      </c>
      <c r="JG7" s="212">
        <f>DATE(YEAR(JE7),MONTH(JE7),DAY(JE7)+15)</f>
        <v>15</v>
      </c>
      <c r="JH7" s="212"/>
      <c r="JI7" s="487" t="str">
        <f>IF(AND(JG7&gt;0,JH7&gt;0),JH7-JG7,"0")</f>
        <v>0</v>
      </c>
      <c r="JJ7" s="212">
        <f>DATE(YEAR(JH7),MONTH(JH7),DAY(JH7)+15)</f>
        <v>15</v>
      </c>
      <c r="JK7" s="212"/>
      <c r="JL7" s="487" t="str">
        <f>IF(AND(JJ7&gt;0,JK7&gt;0),JK7-JJ7,"0")</f>
        <v>0</v>
      </c>
      <c r="JM7" s="509" t="str">
        <f>IF(AND(JE7&gt;0,JK7&gt;0),JK7-JE7,"0")</f>
        <v>0</v>
      </c>
      <c r="JN7" s="499"/>
      <c r="JO7" s="501" t="str">
        <f>IF(AND(JK7&gt;0,JN7&gt;0),JN7-JK7,"0")</f>
        <v>0</v>
      </c>
      <c r="JP7" s="498">
        <f>JO7-60</f>
        <v>-60</v>
      </c>
      <c r="JQ7" s="482">
        <f>291/30</f>
        <v>9.6999999999999993</v>
      </c>
      <c r="JR7" s="504">
        <f>((+HS7+HU7+IB7+IJ7+IQ7+IU7+JB7+JI7+JF7)/30)-JQ7</f>
        <v>-9.6999999999999993</v>
      </c>
      <c r="JS7" s="490"/>
      <c r="JT7" s="491"/>
      <c r="JU7" s="490"/>
      <c r="JV7" s="491"/>
      <c r="JW7" s="488"/>
      <c r="JX7" s="488"/>
      <c r="JY7" s="488"/>
      <c r="JZ7" s="488"/>
    </row>
    <row r="8" spans="1:286" s="31" customFormat="1" ht="39.950000000000003" hidden="1" customHeight="1" x14ac:dyDescent="0.25">
      <c r="A8" s="19" t="s">
        <v>137</v>
      </c>
      <c r="B8" s="20" t="s">
        <v>44</v>
      </c>
      <c r="C8" s="20" t="s">
        <v>158</v>
      </c>
      <c r="D8" s="20">
        <v>2011</v>
      </c>
      <c r="E8" s="20" t="s">
        <v>134</v>
      </c>
      <c r="F8" s="20"/>
      <c r="G8" s="20" t="s">
        <v>274</v>
      </c>
      <c r="H8" s="110" t="s">
        <v>385</v>
      </c>
      <c r="I8" s="110"/>
      <c r="J8" s="110"/>
      <c r="K8" s="453" t="s">
        <v>1007</v>
      </c>
      <c r="L8" s="295"/>
      <c r="M8" s="295"/>
      <c r="N8" s="295"/>
      <c r="O8" s="379">
        <v>8131</v>
      </c>
      <c r="P8" s="379">
        <v>227747.25</v>
      </c>
      <c r="Q8" s="379">
        <v>178042</v>
      </c>
      <c r="R8" s="379" t="e">
        <f>P8/(AD8+#REF!)</f>
        <v>#REF!</v>
      </c>
      <c r="S8" s="379">
        <f>P8/O8</f>
        <v>28.009746648628706</v>
      </c>
      <c r="T8" s="379">
        <f>Q8/O8</f>
        <v>21.896691673840856</v>
      </c>
      <c r="U8" s="379" t="e">
        <f>Q8/(AH8+#REF!)</f>
        <v>#REF!</v>
      </c>
      <c r="V8" s="379" t="e">
        <f>Q8/(AD8+#REF!)</f>
        <v>#REF!</v>
      </c>
      <c r="W8" s="379" t="e">
        <f>O8/(AD8+#REF!)</f>
        <v>#REF!</v>
      </c>
      <c r="X8" s="380">
        <v>1079</v>
      </c>
      <c r="Y8" s="381" t="e">
        <f>(AH8+#REF!)/O8</f>
        <v>#REF!</v>
      </c>
      <c r="Z8" s="380" t="s">
        <v>327</v>
      </c>
      <c r="AA8" s="382"/>
      <c r="AB8" s="382"/>
      <c r="AC8" s="20" t="s">
        <v>25</v>
      </c>
      <c r="AD8" s="640">
        <f>AE8+AF8</f>
        <v>4</v>
      </c>
      <c r="AE8" s="20">
        <v>4</v>
      </c>
      <c r="AF8" s="455"/>
      <c r="AG8" s="22">
        <v>317.76</v>
      </c>
      <c r="AH8" s="139">
        <v>317.76</v>
      </c>
      <c r="AI8" s="22">
        <f>AH8/AD8</f>
        <v>79.44</v>
      </c>
      <c r="AJ8" s="114"/>
      <c r="AK8" s="114"/>
      <c r="AL8" s="114"/>
      <c r="AM8" s="114"/>
      <c r="AN8" s="114"/>
      <c r="AO8" s="22">
        <f>830+889+461</f>
        <v>2180</v>
      </c>
      <c r="AP8" s="133">
        <v>850</v>
      </c>
      <c r="AQ8" s="135">
        <f>AP8/O8</f>
        <v>0.10453818718484811</v>
      </c>
      <c r="AR8" s="114">
        <v>2.5</v>
      </c>
      <c r="AS8" s="456"/>
      <c r="AT8" s="113"/>
      <c r="AU8" s="113"/>
      <c r="AV8" s="456" t="s">
        <v>168</v>
      </c>
      <c r="AW8" s="332">
        <v>40583</v>
      </c>
      <c r="AX8" s="110"/>
      <c r="AY8" s="332">
        <v>40816</v>
      </c>
      <c r="AZ8" s="332" t="s">
        <v>230</v>
      </c>
      <c r="BA8" s="332"/>
      <c r="BB8" s="332"/>
      <c r="BC8" s="332"/>
      <c r="BD8" s="332"/>
      <c r="BE8" s="332"/>
      <c r="BF8" s="332"/>
      <c r="BG8" s="332"/>
      <c r="BH8" s="332"/>
      <c r="BI8" s="332"/>
      <c r="BJ8" s="332"/>
      <c r="BK8" s="332"/>
      <c r="BL8" s="332"/>
      <c r="BM8" s="332"/>
      <c r="BN8" s="344" t="s">
        <v>18</v>
      </c>
      <c r="BO8" s="344" t="s">
        <v>178</v>
      </c>
      <c r="BP8" s="339"/>
      <c r="BQ8" s="344"/>
      <c r="BR8" s="344"/>
      <c r="BS8" s="344" t="s">
        <v>346</v>
      </c>
      <c r="BT8" s="458"/>
      <c r="BU8" s="376">
        <v>40730</v>
      </c>
      <c r="BV8" s="160">
        <v>42291</v>
      </c>
      <c r="BW8" s="160"/>
      <c r="BX8" s="160"/>
      <c r="BY8" s="160"/>
      <c r="BZ8" s="376"/>
      <c r="CA8" s="160"/>
      <c r="CB8" s="71"/>
      <c r="CC8" s="369"/>
      <c r="CD8" s="197"/>
      <c r="CE8" s="197"/>
      <c r="CF8" s="336"/>
      <c r="CG8" s="336">
        <f>DATE(YEAR(CF8),MONTH(CF8)+24,DAY(CF8))</f>
        <v>731</v>
      </c>
      <c r="CH8" s="336">
        <f>DATE(YEAR(CF8),MONTH(CF8)+36,DAY(CF8))</f>
        <v>1096</v>
      </c>
      <c r="CI8" s="336"/>
      <c r="CJ8" s="197"/>
      <c r="CK8" s="71"/>
      <c r="CL8" s="71"/>
      <c r="CM8" s="549"/>
      <c r="CN8" s="197"/>
      <c r="CO8" s="197"/>
      <c r="CP8" s="70"/>
      <c r="CQ8" s="363"/>
      <c r="CR8" s="70"/>
      <c r="CS8" s="165"/>
      <c r="CT8" s="70"/>
      <c r="CU8" s="363"/>
      <c r="CV8" s="70"/>
      <c r="CW8" s="165"/>
      <c r="CX8" s="70"/>
      <c r="CY8" s="363"/>
      <c r="CZ8" s="70"/>
      <c r="DA8" s="165"/>
      <c r="DB8" s="296" t="s">
        <v>88</v>
      </c>
      <c r="DC8" s="300"/>
      <c r="DD8" s="300"/>
      <c r="DE8" s="296"/>
      <c r="DF8" s="296"/>
      <c r="DG8" s="296"/>
      <c r="DH8" s="299"/>
      <c r="DI8" s="296"/>
      <c r="DJ8" s="296"/>
      <c r="DK8" s="297"/>
      <c r="DL8" s="298"/>
      <c r="DM8" s="298"/>
      <c r="DN8" s="297"/>
      <c r="DO8" s="297"/>
      <c r="DP8" s="298"/>
      <c r="DQ8" s="304"/>
      <c r="DR8" s="443"/>
      <c r="DS8" s="443"/>
      <c r="DT8" s="297"/>
      <c r="DU8" s="304">
        <f>DATE(YEAR(DQ8),MONTH(DQ8)+18,DAY(DQ8))</f>
        <v>547</v>
      </c>
      <c r="DV8" s="443"/>
      <c r="DW8" s="443"/>
      <c r="DX8" s="415" t="s">
        <v>178</v>
      </c>
      <c r="DY8" s="415" t="s">
        <v>178</v>
      </c>
      <c r="DZ8" s="417">
        <v>41333</v>
      </c>
      <c r="EA8" s="213">
        <v>40940</v>
      </c>
      <c r="EB8" s="202"/>
      <c r="EC8" s="229">
        <v>13</v>
      </c>
      <c r="ED8" s="229">
        <f>EC8+1</f>
        <v>14</v>
      </c>
      <c r="EE8" s="229">
        <f>DATEDIF(EA8,EN8,"M")</f>
        <v>24</v>
      </c>
      <c r="EF8" s="229">
        <f>DATEDIF(EA8,EV8,"M")</f>
        <v>24</v>
      </c>
      <c r="EG8" s="229">
        <f>EE8-EC8</f>
        <v>11</v>
      </c>
      <c r="EH8" s="229">
        <f>EF8-ED8</f>
        <v>10</v>
      </c>
      <c r="EI8" s="408">
        <v>2035</v>
      </c>
      <c r="EJ8" s="408">
        <f>EI8*(EE8-EC8)</f>
        <v>22385</v>
      </c>
      <c r="EK8" s="230" t="s">
        <v>178</v>
      </c>
      <c r="EL8" s="230">
        <v>41513</v>
      </c>
      <c r="EM8" s="230">
        <v>41576</v>
      </c>
      <c r="EN8" s="230">
        <v>41688</v>
      </c>
      <c r="EO8" s="230"/>
      <c r="EP8" s="230" t="s">
        <v>178</v>
      </c>
      <c r="EQ8" s="230"/>
      <c r="ER8" s="230"/>
      <c r="ES8" s="230">
        <v>41689</v>
      </c>
      <c r="ET8" s="230"/>
      <c r="EU8" s="230">
        <v>41696</v>
      </c>
      <c r="EV8" s="230">
        <v>41696</v>
      </c>
      <c r="EW8" s="230"/>
      <c r="EX8" s="230"/>
      <c r="EY8" s="213" t="s">
        <v>370</v>
      </c>
      <c r="EZ8" s="213"/>
      <c r="FA8" s="213"/>
      <c r="FB8" s="213"/>
      <c r="FC8" s="213">
        <v>41787</v>
      </c>
      <c r="FD8" s="202"/>
      <c r="FE8" s="213">
        <f>DATE(YEAR(EN8)+1,MONTH(EN8),DAY(EN8))</f>
        <v>42053</v>
      </c>
      <c r="FF8" s="213" t="s">
        <v>178</v>
      </c>
      <c r="FG8" s="213"/>
      <c r="FH8" s="213">
        <v>41919</v>
      </c>
      <c r="FI8" s="213">
        <v>41921</v>
      </c>
      <c r="FJ8" s="213" t="s">
        <v>178</v>
      </c>
      <c r="FK8" s="213"/>
      <c r="FL8" s="201">
        <v>42291</v>
      </c>
      <c r="FM8" s="201"/>
      <c r="FN8" s="212"/>
      <c r="FO8" s="212"/>
      <c r="FP8" s="459"/>
      <c r="FQ8" s="23"/>
      <c r="FR8" s="28">
        <f>GB8+GF8+GM8+HF8+GK8+GQ8</f>
        <v>642137</v>
      </c>
      <c r="FS8" s="25">
        <f>FR8-FQ8</f>
        <v>642137</v>
      </c>
      <c r="FT8" s="25">
        <f>FR8/AG8</f>
        <v>2020.8238922457201</v>
      </c>
      <c r="FU8" s="25">
        <f>FR8/AD8</f>
        <v>160534.25</v>
      </c>
      <c r="FV8" s="23"/>
      <c r="FW8" s="24"/>
      <c r="FX8" s="25">
        <f>FW8-FV8</f>
        <v>0</v>
      </c>
      <c r="FY8" s="231" t="e">
        <f>FV8*1.021/FQ8</f>
        <v>#DIV/0!</v>
      </c>
      <c r="FZ8" s="232"/>
      <c r="GA8" s="23">
        <v>75000</v>
      </c>
      <c r="GB8" s="30">
        <v>75000</v>
      </c>
      <c r="GC8" s="50">
        <f>GB8/AD8</f>
        <v>18750</v>
      </c>
      <c r="GD8" s="73">
        <f>GB8-GA8</f>
        <v>0</v>
      </c>
      <c r="GE8" s="23"/>
      <c r="GF8" s="24">
        <f>+GG8+GH8</f>
        <v>335412</v>
      </c>
      <c r="GG8" s="26">
        <v>85556</v>
      </c>
      <c r="GH8" s="26">
        <v>249856</v>
      </c>
      <c r="GI8" s="73">
        <f>GF8-GE8</f>
        <v>335412</v>
      </c>
      <c r="GJ8" s="50">
        <f>GF8/AD8</f>
        <v>83853</v>
      </c>
      <c r="GK8" s="24">
        <v>100000</v>
      </c>
      <c r="GL8" s="29">
        <f>GM8</f>
        <v>119398</v>
      </c>
      <c r="GM8" s="30">
        <v>119398</v>
      </c>
      <c r="GN8" s="123"/>
      <c r="GO8" s="76">
        <f>GM8/FR8</f>
        <v>0.18593851467833189</v>
      </c>
      <c r="GP8" s="590"/>
      <c r="GQ8" s="30">
        <v>12327</v>
      </c>
      <c r="GR8" s="51">
        <f>GM8-GL8</f>
        <v>0</v>
      </c>
      <c r="GS8" s="50">
        <f>GM8/AD8</f>
        <v>29849.5</v>
      </c>
      <c r="GT8" s="98"/>
      <c r="GU8" s="51">
        <f>GR8/AD8</f>
        <v>0</v>
      </c>
      <c r="GV8" s="97"/>
      <c r="GW8" s="97"/>
      <c r="GX8" s="75">
        <v>1087937.9071325003</v>
      </c>
      <c r="GY8" s="75">
        <v>400000</v>
      </c>
      <c r="GZ8" s="50">
        <f>(GB8+GM8+GY8)/AD8</f>
        <v>148599.5</v>
      </c>
      <c r="HA8" s="75">
        <v>474274.71</v>
      </c>
      <c r="HB8" s="50">
        <f>(GB8+GM8+GY8+HA8)/AD8</f>
        <v>267168.17749999999</v>
      </c>
      <c r="HC8" s="99">
        <f>(GB8+GM8+GY8+HA8)/(GX8+FR8-HD8)</f>
        <v>0.62937481320481981</v>
      </c>
      <c r="HD8" s="75">
        <v>32084</v>
      </c>
      <c r="HE8" s="75"/>
      <c r="HF8" s="24">
        <v>0</v>
      </c>
      <c r="HG8" s="77">
        <f>FR8+GX8</f>
        <v>1730074.9071325003</v>
      </c>
      <c r="HH8" s="491"/>
      <c r="HI8" s="491"/>
      <c r="HJ8" s="494"/>
      <c r="HK8" s="491"/>
      <c r="HL8" s="477"/>
      <c r="HM8" s="477">
        <f>DATE(YEAR(HL8),MONTH(HL8),DAY(HL8)+21)</f>
        <v>21</v>
      </c>
      <c r="HN8" s="477"/>
      <c r="HO8" s="497" t="str">
        <f>IF(AND(HM8&gt;0,HN8&gt;0),HN8-HM8,"0")</f>
        <v>0</v>
      </c>
      <c r="HP8" s="477"/>
      <c r="HQ8" s="481" t="str">
        <f>IF(AND(HN8&gt;0,HP8&gt;0),HP8-HN8,"0")</f>
        <v>0</v>
      </c>
      <c r="HR8" s="497">
        <f>+HQ8-30</f>
        <v>-30</v>
      </c>
      <c r="HS8" s="506" t="str">
        <f>IF(AND(HL8&gt;0,HP8&gt;0),HP8-HL8,"0")</f>
        <v>0</v>
      </c>
      <c r="HT8" s="477"/>
      <c r="HU8" s="497" t="str">
        <f>IF(AND(HP8&gt;0,HT8&gt;0),HT8-HP8,"0")</f>
        <v>0</v>
      </c>
      <c r="HV8" s="477">
        <f>DATE(YEAR(HT8),MONTH(HT8),DAY(HT8)+21)</f>
        <v>21</v>
      </c>
      <c r="HW8" s="477"/>
      <c r="HX8" s="497" t="str">
        <f>IF(AND(HV8&gt;0,HW8&gt;0),HW8-HV8,"0")</f>
        <v>0</v>
      </c>
      <c r="HY8" s="476"/>
      <c r="HZ8" s="481" t="str">
        <f>IF(AND(HW8&gt;0,HY8&gt;0),HY8-HW8,"0")</f>
        <v>0</v>
      </c>
      <c r="IA8" s="497">
        <f>+HZ8-30</f>
        <v>-30</v>
      </c>
      <c r="IB8" s="506" t="str">
        <f>IF(AND(HT8&gt;0,HY8&gt;0),HY8-HT8,"0")</f>
        <v>0</v>
      </c>
      <c r="IC8" s="490"/>
      <c r="ID8" s="491"/>
      <c r="IE8" s="477"/>
      <c r="IF8" s="477"/>
      <c r="IG8" s="494"/>
      <c r="IH8" s="491"/>
      <c r="II8" s="478"/>
      <c r="IJ8" s="497" t="str">
        <f>IF(AND(HY8&gt;0,II8&gt;0),II8-HY8,"0")</f>
        <v>0</v>
      </c>
      <c r="IK8" s="478">
        <f>DATE(YEAR(II8),MONTH(II8),DAY(II8)+30)</f>
        <v>30</v>
      </c>
      <c r="IL8" s="478"/>
      <c r="IM8" s="497" t="str">
        <f>IF(AND(IK8&gt;0,IL8&gt;0),IL8-IK8,"0")</f>
        <v>0</v>
      </c>
      <c r="IN8" s="478"/>
      <c r="IO8" s="481" t="str">
        <f>IF(AND(IL8&gt;0,IN8&gt;0),IN8-IL8,"0")</f>
        <v>0</v>
      </c>
      <c r="IP8" s="497">
        <f>+IO8-30</f>
        <v>-30</v>
      </c>
      <c r="IQ8" s="506" t="str">
        <f>IF(AND(II8&gt;0,IN8&gt;0),IN8-II8,"0")</f>
        <v>0</v>
      </c>
      <c r="IR8" s="490"/>
      <c r="IS8" s="491"/>
      <c r="IT8" s="478"/>
      <c r="IU8" s="498" t="str">
        <f>IF(AND(IN8&gt;0,IT8&gt;0),IT8-IN8,"0")</f>
        <v>0</v>
      </c>
      <c r="IV8" s="478">
        <f>DATE(YEAR(IT8),MONTH(IT8),DAY(IT8)+30)</f>
        <v>30</v>
      </c>
      <c r="IW8" s="478"/>
      <c r="IX8" s="498" t="str">
        <f>IF(AND(IV8&gt;0,IW8&gt;0),IW8-IV8,"0")</f>
        <v>0</v>
      </c>
      <c r="IY8" s="478"/>
      <c r="IZ8" s="482" t="str">
        <f>IF(AND(IW8&gt;0,IY8&gt;0),IY8-IW8,"0")</f>
        <v>0</v>
      </c>
      <c r="JA8" s="498">
        <f>IZ8-30</f>
        <v>-30</v>
      </c>
      <c r="JB8" s="508" t="str">
        <f>IF(AND(IT8&gt;0,IY8&gt;0),IY8-IT8,"0")</f>
        <v>0</v>
      </c>
      <c r="JC8" s="490"/>
      <c r="JD8" s="491"/>
      <c r="JE8" s="212"/>
      <c r="JF8" s="487" t="str">
        <f>IF(AND(IY8&gt;0,JE8&gt;0),JE8-IY8,"0")</f>
        <v>0</v>
      </c>
      <c r="JG8" s="212">
        <f>DATE(YEAR(JE8),MONTH(JE8),DAY(JE8)+15)</f>
        <v>15</v>
      </c>
      <c r="JH8" s="212"/>
      <c r="JI8" s="487" t="str">
        <f>IF(AND(JG8&gt;0,JH8&gt;0),JH8-JG8,"0")</f>
        <v>0</v>
      </c>
      <c r="JJ8" s="212">
        <f>DATE(YEAR(JH8),MONTH(JH8),DAY(JH8)+15)</f>
        <v>15</v>
      </c>
      <c r="JK8" s="212"/>
      <c r="JL8" s="487" t="str">
        <f>IF(AND(JJ8&gt;0,JK8&gt;0),JK8-JJ8,"0")</f>
        <v>0</v>
      </c>
      <c r="JM8" s="509" t="str">
        <f>IF(AND(JE8&gt;0,JK8&gt;0),JK8-JE8,"0")</f>
        <v>0</v>
      </c>
      <c r="JN8" s="499"/>
      <c r="JO8" s="501" t="str">
        <f>IF(AND(JK8&gt;0,JN8&gt;0),JN8-JK8,"0")</f>
        <v>0</v>
      </c>
      <c r="JP8" s="498">
        <f>JO8-60</f>
        <v>-60</v>
      </c>
      <c r="JQ8" s="482">
        <f>291/30</f>
        <v>9.6999999999999993</v>
      </c>
      <c r="JR8" s="504">
        <f>((+HS8+HU8+IB8+IJ8+IQ8+IU8+JB8+JI8+JF8)/30)-JQ8</f>
        <v>-9.6999999999999993</v>
      </c>
      <c r="JS8" s="490"/>
      <c r="JT8" s="491"/>
      <c r="JU8" s="490"/>
      <c r="JV8" s="491"/>
      <c r="JW8" s="488"/>
      <c r="JX8" s="488"/>
      <c r="JY8" s="488"/>
      <c r="JZ8" s="488"/>
    </row>
    <row r="9" spans="1:286" s="31" customFormat="1" ht="39.950000000000003" hidden="1" customHeight="1" x14ac:dyDescent="0.25">
      <c r="A9" s="19" t="s">
        <v>207</v>
      </c>
      <c r="B9" s="20" t="s">
        <v>101</v>
      </c>
      <c r="C9" s="20" t="s">
        <v>159</v>
      </c>
      <c r="D9" s="20">
        <v>2010</v>
      </c>
      <c r="E9" s="20" t="s">
        <v>211</v>
      </c>
      <c r="F9" s="20" t="s">
        <v>48</v>
      </c>
      <c r="G9" s="20" t="s">
        <v>275</v>
      </c>
      <c r="H9" s="110" t="s">
        <v>385</v>
      </c>
      <c r="I9" s="110"/>
      <c r="J9" s="110"/>
      <c r="K9" s="453" t="s">
        <v>1006</v>
      </c>
      <c r="L9" s="295"/>
      <c r="M9" s="295"/>
      <c r="N9" s="295"/>
      <c r="O9" s="379">
        <v>9462</v>
      </c>
      <c r="P9" s="379">
        <v>874165.66</v>
      </c>
      <c r="Q9" s="379">
        <v>262890</v>
      </c>
      <c r="R9" s="379">
        <f>P9/AD9</f>
        <v>29138.855333333333</v>
      </c>
      <c r="S9" s="379">
        <f>P9/O9</f>
        <v>92.386985838089203</v>
      </c>
      <c r="T9" s="379">
        <f>Q9/O9</f>
        <v>27.783766645529486</v>
      </c>
      <c r="U9" s="379">
        <f>Q9/AH9</f>
        <v>117.46438848277958</v>
      </c>
      <c r="V9" s="379">
        <f>Q9/AD9</f>
        <v>8763</v>
      </c>
      <c r="W9" s="379">
        <f>O9/AD9</f>
        <v>315.39999999999998</v>
      </c>
      <c r="X9" s="380">
        <v>379.2</v>
      </c>
      <c r="Y9" s="381">
        <f>AH9/O9</f>
        <v>0.23652927499471571</v>
      </c>
      <c r="Z9" s="380" t="s">
        <v>327</v>
      </c>
      <c r="AA9" s="382"/>
      <c r="AB9" s="382"/>
      <c r="AC9" s="20" t="s">
        <v>26</v>
      </c>
      <c r="AD9" s="640">
        <f>AE9+AF9</f>
        <v>30</v>
      </c>
      <c r="AE9" s="455"/>
      <c r="AF9" s="233">
        <v>30</v>
      </c>
      <c r="AG9" s="22">
        <v>2238.04</v>
      </c>
      <c r="AH9" s="139">
        <v>2238.04</v>
      </c>
      <c r="AI9" s="22">
        <f>AH9/AD9</f>
        <v>74.601333333333329</v>
      </c>
      <c r="AJ9" s="135"/>
      <c r="AK9" s="135">
        <v>0.17</v>
      </c>
      <c r="AL9" s="135">
        <v>0.37</v>
      </c>
      <c r="AM9" s="135">
        <v>0.33</v>
      </c>
      <c r="AN9" s="135">
        <v>0.13</v>
      </c>
      <c r="AO9" s="22">
        <v>1419.56</v>
      </c>
      <c r="AP9" s="133">
        <v>664</v>
      </c>
      <c r="AQ9" s="135">
        <f>AP9/O9</f>
        <v>7.0175438596491224E-2</v>
      </c>
      <c r="AR9" s="114"/>
      <c r="AS9" s="456">
        <v>5</v>
      </c>
      <c r="AT9" s="113"/>
      <c r="AU9" s="113"/>
      <c r="AV9" s="456"/>
      <c r="AW9" s="110"/>
      <c r="AX9" s="110"/>
      <c r="AY9" s="332">
        <v>40816</v>
      </c>
      <c r="AZ9" s="332" t="s">
        <v>230</v>
      </c>
      <c r="BA9" s="332"/>
      <c r="BB9" s="332"/>
      <c r="BC9" s="332"/>
      <c r="BD9" s="332"/>
      <c r="BE9" s="332"/>
      <c r="BF9" s="332"/>
      <c r="BG9" s="332"/>
      <c r="BH9" s="332"/>
      <c r="BI9" s="332"/>
      <c r="BJ9" s="332"/>
      <c r="BK9" s="332"/>
      <c r="BL9" s="332"/>
      <c r="BM9" s="332"/>
      <c r="BN9" s="339" t="s">
        <v>230</v>
      </c>
      <c r="BO9" s="339" t="s">
        <v>230</v>
      </c>
      <c r="BP9" s="339"/>
      <c r="BQ9" s="339" t="s">
        <v>230</v>
      </c>
      <c r="BR9" s="339" t="s">
        <v>230</v>
      </c>
      <c r="BS9" s="339" t="s">
        <v>230</v>
      </c>
      <c r="BT9" s="458"/>
      <c r="BU9" s="376">
        <v>40491</v>
      </c>
      <c r="BV9" s="160"/>
      <c r="BW9" s="160"/>
      <c r="BX9" s="160"/>
      <c r="BY9" s="160"/>
      <c r="BZ9" s="376"/>
      <c r="CA9" s="160"/>
      <c r="CB9" s="71"/>
      <c r="CC9" s="369"/>
      <c r="CD9" s="197"/>
      <c r="CE9" s="197"/>
      <c r="CF9" s="336"/>
      <c r="CG9" s="336">
        <f>DATE(YEAR(CF9),MONTH(CF9)+24,DAY(CF9))</f>
        <v>731</v>
      </c>
      <c r="CH9" s="336">
        <f>DATE(YEAR(CF9),MONTH(CF9)+36,DAY(CF9))</f>
        <v>1096</v>
      </c>
      <c r="CI9" s="336"/>
      <c r="CJ9" s="197"/>
      <c r="CK9" s="71"/>
      <c r="CL9" s="71"/>
      <c r="CM9" s="369"/>
      <c r="CN9" s="71"/>
      <c r="CO9" s="197"/>
      <c r="CP9" s="70"/>
      <c r="CQ9" s="363"/>
      <c r="CR9" s="70"/>
      <c r="CS9" s="165"/>
      <c r="CT9" s="70"/>
      <c r="CU9" s="363"/>
      <c r="CV9" s="70"/>
      <c r="CW9" s="165"/>
      <c r="CX9" s="70"/>
      <c r="CY9" s="363"/>
      <c r="CZ9" s="70"/>
      <c r="DA9" s="165"/>
      <c r="DB9" s="296"/>
      <c r="DC9" s="300"/>
      <c r="DD9" s="300"/>
      <c r="DE9" s="296"/>
      <c r="DF9" s="296"/>
      <c r="DG9" s="296"/>
      <c r="DH9" s="299"/>
      <c r="DI9" s="296"/>
      <c r="DJ9" s="296"/>
      <c r="DK9" s="297"/>
      <c r="DL9" s="298"/>
      <c r="DM9" s="298"/>
      <c r="DN9" s="297"/>
      <c r="DO9" s="297"/>
      <c r="DP9" s="298"/>
      <c r="DQ9" s="304" t="s">
        <v>230</v>
      </c>
      <c r="DR9" s="443"/>
      <c r="DS9" s="443"/>
      <c r="DT9" s="297" t="s">
        <v>230</v>
      </c>
      <c r="DU9" s="304" t="s">
        <v>230</v>
      </c>
      <c r="DV9" s="443"/>
      <c r="DW9" s="443"/>
      <c r="DX9" s="415" t="s">
        <v>178</v>
      </c>
      <c r="DY9" s="415" t="s">
        <v>178</v>
      </c>
      <c r="DZ9" s="416">
        <v>40969</v>
      </c>
      <c r="EA9" s="213">
        <v>40945</v>
      </c>
      <c r="EB9" s="202"/>
      <c r="EC9" s="229">
        <v>15</v>
      </c>
      <c r="ED9" s="229">
        <f>EC9+1</f>
        <v>16</v>
      </c>
      <c r="EE9" s="229">
        <f>DATEDIF(EA9,EN9,"M")</f>
        <v>21</v>
      </c>
      <c r="EF9" s="229">
        <f>DATEDIF(EA9,EV9,"M")</f>
        <v>23</v>
      </c>
      <c r="EG9" s="229">
        <f>EE9-EC9</f>
        <v>6</v>
      </c>
      <c r="EH9" s="229">
        <f>EF9-ED9</f>
        <v>7</v>
      </c>
      <c r="EI9" s="408">
        <v>11928</v>
      </c>
      <c r="EJ9" s="408">
        <f>EI9*(EE9-EC9)</f>
        <v>71568</v>
      </c>
      <c r="EK9" s="213" t="s">
        <v>178</v>
      </c>
      <c r="EL9" s="230">
        <v>41514</v>
      </c>
      <c r="EM9" s="230" t="s">
        <v>463</v>
      </c>
      <c r="EN9" s="230">
        <v>41601</v>
      </c>
      <c r="EO9" s="230"/>
      <c r="EP9" s="230" t="s">
        <v>178</v>
      </c>
      <c r="EQ9" s="230"/>
      <c r="ER9" s="230"/>
      <c r="ES9" s="230">
        <v>41669</v>
      </c>
      <c r="ET9" s="230"/>
      <c r="EU9" s="333">
        <v>41663</v>
      </c>
      <c r="EV9" s="333">
        <v>41663</v>
      </c>
      <c r="EW9" s="333"/>
      <c r="EX9" s="333"/>
      <c r="EY9" s="328" t="s">
        <v>901</v>
      </c>
      <c r="EZ9" s="213"/>
      <c r="FA9" s="213" t="s">
        <v>178</v>
      </c>
      <c r="FB9" s="213" t="s">
        <v>178</v>
      </c>
      <c r="FC9" s="213"/>
      <c r="FD9" s="201">
        <v>42697</v>
      </c>
      <c r="FE9" s="201">
        <f>DATE(YEAR(EN9)+1,MONTH(EN9),DAY(EN9))</f>
        <v>41966</v>
      </c>
      <c r="FF9" s="201" t="s">
        <v>178</v>
      </c>
      <c r="FG9" s="201"/>
      <c r="FH9" s="201">
        <v>41925</v>
      </c>
      <c r="FI9" s="201">
        <v>41928</v>
      </c>
      <c r="FJ9" s="201"/>
      <c r="FK9" s="201"/>
      <c r="FL9" s="201" t="s">
        <v>230</v>
      </c>
      <c r="FM9" s="201"/>
      <c r="FN9" s="332"/>
      <c r="FO9" s="332"/>
      <c r="FP9" s="459"/>
      <c r="FQ9" s="23"/>
      <c r="FR9" s="28">
        <f>GB9+GF9+GM9+HF9+GK9+GQ9</f>
        <v>3911389</v>
      </c>
      <c r="FS9" s="25">
        <f>FR9-FQ9</f>
        <v>3911389</v>
      </c>
      <c r="FT9" s="25">
        <f>FR9/AG9</f>
        <v>1747.6850279709031</v>
      </c>
      <c r="FU9" s="25">
        <f>FR9/AD9</f>
        <v>130379.63333333333</v>
      </c>
      <c r="FV9" s="460"/>
      <c r="FW9" s="24"/>
      <c r="FX9" s="25">
        <f>FW9-FV9</f>
        <v>0</v>
      </c>
      <c r="FY9" s="231" t="e">
        <f>FV9*1.021/FQ9</f>
        <v>#DIV/0!</v>
      </c>
      <c r="FZ9" s="232"/>
      <c r="GA9" s="29">
        <v>0</v>
      </c>
      <c r="GB9" s="30">
        <v>0</v>
      </c>
      <c r="GC9" s="50">
        <f>GB9/AD9</f>
        <v>0</v>
      </c>
      <c r="GD9" s="73">
        <f>GB9-GA9</f>
        <v>0</v>
      </c>
      <c r="GE9" s="23"/>
      <c r="GF9" s="24">
        <f>+GG9+GH9</f>
        <v>2481000</v>
      </c>
      <c r="GG9" s="26">
        <v>486094</v>
      </c>
      <c r="GH9" s="26">
        <v>1994906</v>
      </c>
      <c r="GI9" s="73">
        <f>GF9-GE9</f>
        <v>2481000</v>
      </c>
      <c r="GJ9" s="50">
        <f>GF9/AD9</f>
        <v>82700</v>
      </c>
      <c r="GK9" s="24"/>
      <c r="GL9" s="29">
        <f>GM9</f>
        <v>1359605</v>
      </c>
      <c r="GM9" s="30">
        <v>1359605</v>
      </c>
      <c r="GN9" s="123"/>
      <c r="GO9" s="76">
        <f>GM9/FR9</f>
        <v>0.34760158092176463</v>
      </c>
      <c r="GP9" s="590"/>
      <c r="GQ9" s="30"/>
      <c r="GR9" s="51">
        <f>GM9-GL9</f>
        <v>0</v>
      </c>
      <c r="GS9" s="50">
        <f>GM9/AD9</f>
        <v>45320.166666666664</v>
      </c>
      <c r="GT9" s="98"/>
      <c r="GU9" s="51">
        <f>GR9/AD9</f>
        <v>0</v>
      </c>
      <c r="GV9" s="97"/>
      <c r="GW9" s="97"/>
      <c r="GX9" s="75">
        <v>2106869</v>
      </c>
      <c r="GY9" s="75">
        <v>550000</v>
      </c>
      <c r="GZ9" s="50">
        <f>(GB9+GM9+GY9)/AD9</f>
        <v>63653.5</v>
      </c>
      <c r="HA9" s="75">
        <v>1220907.39295</v>
      </c>
      <c r="HB9" s="50">
        <f>(GB9+GM9+GY9+HA9)/AD9</f>
        <v>104350.41309833335</v>
      </c>
      <c r="HC9" s="99">
        <f>(GB9+GM9+GY9+HA9)/(GX9+FR9-HD9)</f>
        <v>0.5439291445742479</v>
      </c>
      <c r="HD9" s="75">
        <v>262890</v>
      </c>
      <c r="HE9" s="75"/>
      <c r="HF9" s="24">
        <v>70784</v>
      </c>
      <c r="HG9" s="77">
        <f>FR9+GX9</f>
        <v>6018258</v>
      </c>
      <c r="HH9" s="491"/>
      <c r="HI9" s="491"/>
      <c r="HJ9" s="494"/>
      <c r="HK9" s="491"/>
      <c r="HL9" s="477"/>
      <c r="HM9" s="477">
        <f>DATE(YEAR(HL9),MONTH(HL9),DAY(HL9)+21)</f>
        <v>21</v>
      </c>
      <c r="HN9" s="477"/>
      <c r="HO9" s="497" t="str">
        <f>IF(AND(HM9&gt;0,HN9&gt;0),HN9-HM9,"0")</f>
        <v>0</v>
      </c>
      <c r="HP9" s="477"/>
      <c r="HQ9" s="481" t="str">
        <f>IF(AND(HN9&gt;0,HP9&gt;0),HP9-HN9,"0")</f>
        <v>0</v>
      </c>
      <c r="HR9" s="497">
        <f>+HQ9-30</f>
        <v>-30</v>
      </c>
      <c r="HS9" s="506" t="str">
        <f>IF(AND(HL9&gt;0,HP9&gt;0),HP9-HL9,"0")</f>
        <v>0</v>
      </c>
      <c r="HT9" s="477"/>
      <c r="HU9" s="497" t="str">
        <f>IF(AND(HP9&gt;0,HT9&gt;0),HT9-HP9,"0")</f>
        <v>0</v>
      </c>
      <c r="HV9" s="477">
        <f>DATE(YEAR(HT9),MONTH(HT9),DAY(HT9)+21)</f>
        <v>21</v>
      </c>
      <c r="HW9" s="477"/>
      <c r="HX9" s="497" t="str">
        <f>IF(AND(HV9&gt;0,HW9&gt;0),HW9-HV9,"0")</f>
        <v>0</v>
      </c>
      <c r="HY9" s="476"/>
      <c r="HZ9" s="481" t="str">
        <f>IF(AND(HW9&gt;0,HY9&gt;0),HY9-HW9,"0")</f>
        <v>0</v>
      </c>
      <c r="IA9" s="497">
        <f>+HZ9-30</f>
        <v>-30</v>
      </c>
      <c r="IB9" s="506" t="str">
        <f>IF(AND(HT9&gt;0,HY9&gt;0),HY9-HT9,"0")</f>
        <v>0</v>
      </c>
      <c r="IC9" s="490"/>
      <c r="ID9" s="491"/>
      <c r="IE9" s="477"/>
      <c r="IF9" s="477"/>
      <c r="IG9" s="494"/>
      <c r="IH9" s="491"/>
      <c r="II9" s="478"/>
      <c r="IJ9" s="497" t="str">
        <f>IF(AND(HY9&gt;0,II9&gt;0),II9-HY9,"0")</f>
        <v>0</v>
      </c>
      <c r="IK9" s="478">
        <f>DATE(YEAR(II9),MONTH(II9),DAY(II9)+30)</f>
        <v>30</v>
      </c>
      <c r="IL9" s="478"/>
      <c r="IM9" s="497" t="str">
        <f>IF(AND(IK9&gt;0,IL9&gt;0),IL9-IK9,"0")</f>
        <v>0</v>
      </c>
      <c r="IN9" s="478"/>
      <c r="IO9" s="481" t="str">
        <f>IF(AND(IL9&gt;0,IN9&gt;0),IN9-IL9,"0")</f>
        <v>0</v>
      </c>
      <c r="IP9" s="497">
        <f>+IO9-30</f>
        <v>-30</v>
      </c>
      <c r="IQ9" s="506" t="str">
        <f>IF(AND(II9&gt;0,IN9&gt;0),IN9-II9,"0")</f>
        <v>0</v>
      </c>
      <c r="IR9" s="490"/>
      <c r="IS9" s="491"/>
      <c r="IT9" s="478"/>
      <c r="IU9" s="498" t="str">
        <f>IF(AND(IN9&gt;0,IT9&gt;0),IT9-IN9,"0")</f>
        <v>0</v>
      </c>
      <c r="IV9" s="478">
        <f>DATE(YEAR(IT9),MONTH(IT9),DAY(IT9)+30)</f>
        <v>30</v>
      </c>
      <c r="IW9" s="478"/>
      <c r="IX9" s="498" t="str">
        <f>IF(AND(IV9&gt;0,IW9&gt;0),IW9-IV9,"0")</f>
        <v>0</v>
      </c>
      <c r="IY9" s="478"/>
      <c r="IZ9" s="482" t="str">
        <f>IF(AND(IW9&gt;0,IY9&gt;0),IY9-IW9,"0")</f>
        <v>0</v>
      </c>
      <c r="JA9" s="498">
        <f>IZ9-30</f>
        <v>-30</v>
      </c>
      <c r="JB9" s="508" t="str">
        <f>IF(AND(IT9&gt;0,IY9&gt;0),IY9-IT9,"0")</f>
        <v>0</v>
      </c>
      <c r="JC9" s="490"/>
      <c r="JD9" s="491"/>
      <c r="JE9" s="212"/>
      <c r="JF9" s="487" t="str">
        <f>IF(AND(IY9&gt;0,JE9&gt;0),JE9-IY9,"0")</f>
        <v>0</v>
      </c>
      <c r="JG9" s="212">
        <f>DATE(YEAR(JE9),MONTH(JE9),DAY(JE9)+15)</f>
        <v>15</v>
      </c>
      <c r="JH9" s="212"/>
      <c r="JI9" s="487" t="str">
        <f>IF(AND(JG9&gt;0,JH9&gt;0),JH9-JG9,"0")</f>
        <v>0</v>
      </c>
      <c r="JJ9" s="212">
        <f>DATE(YEAR(JH9),MONTH(JH9),DAY(JH9)+15)</f>
        <v>15</v>
      </c>
      <c r="JK9" s="212"/>
      <c r="JL9" s="487" t="str">
        <f>IF(AND(JJ9&gt;0,JK9&gt;0),JK9-JJ9,"0")</f>
        <v>0</v>
      </c>
      <c r="JM9" s="509" t="str">
        <f>IF(AND(JE9&gt;0,JK9&gt;0),JK9-JE9,"0")</f>
        <v>0</v>
      </c>
      <c r="JN9" s="499"/>
      <c r="JO9" s="501" t="str">
        <f>IF(AND(JK9&gt;0,JN9&gt;0),JN9-JK9,"0")</f>
        <v>0</v>
      </c>
      <c r="JP9" s="498">
        <f>JO9-60</f>
        <v>-60</v>
      </c>
      <c r="JQ9" s="482">
        <f>291/30</f>
        <v>9.6999999999999993</v>
      </c>
      <c r="JR9" s="504">
        <f>((+HS9+HU9+IB9+IJ9+IQ9+IU9+JB9+JI9+JF9)/30)-JQ9</f>
        <v>-9.6999999999999993</v>
      </c>
      <c r="JS9" s="490"/>
      <c r="JT9" s="491"/>
      <c r="JU9" s="490"/>
      <c r="JV9" s="491"/>
      <c r="JW9" s="488"/>
      <c r="JX9" s="488"/>
      <c r="JY9" s="488"/>
      <c r="JZ9" s="488"/>
    </row>
    <row r="10" spans="1:286" s="31" customFormat="1" ht="103.5" hidden="1" customHeight="1" x14ac:dyDescent="0.25">
      <c r="A10" s="19" t="s">
        <v>129</v>
      </c>
      <c r="B10" s="20" t="s">
        <v>44</v>
      </c>
      <c r="C10" s="20" t="s">
        <v>158</v>
      </c>
      <c r="D10" s="20">
        <v>2011</v>
      </c>
      <c r="E10" s="20" t="s">
        <v>132</v>
      </c>
      <c r="F10" s="20" t="s">
        <v>74</v>
      </c>
      <c r="G10" s="20" t="s">
        <v>276</v>
      </c>
      <c r="H10" s="20" t="s">
        <v>385</v>
      </c>
      <c r="I10" s="110"/>
      <c r="J10" s="110"/>
      <c r="K10" s="453"/>
      <c r="L10" s="295"/>
      <c r="M10" s="295"/>
      <c r="N10" s="295"/>
      <c r="O10" s="379">
        <f>2009+396</f>
        <v>2405</v>
      </c>
      <c r="P10" s="379">
        <v>133800</v>
      </c>
      <c r="Q10" s="379">
        <v>120788</v>
      </c>
      <c r="R10" s="379">
        <f>P10/AD10</f>
        <v>9557.1428571428569</v>
      </c>
      <c r="S10" s="379">
        <f>P10/O10</f>
        <v>55.634095634095637</v>
      </c>
      <c r="T10" s="379">
        <f>Q10/O10</f>
        <v>50.223700623700623</v>
      </c>
      <c r="U10" s="379">
        <f>Q10/AH10</f>
        <v>115.00004760408635</v>
      </c>
      <c r="V10" s="379">
        <f>Q10/AD10</f>
        <v>8627.7142857142862</v>
      </c>
      <c r="W10" s="379">
        <f>O10/AD10</f>
        <v>171.78571428571428</v>
      </c>
      <c r="X10" s="380"/>
      <c r="Y10" s="381">
        <f>AH10/O10</f>
        <v>0.43672765072765068</v>
      </c>
      <c r="Z10" s="380" t="s">
        <v>327</v>
      </c>
      <c r="AA10" s="382"/>
      <c r="AB10" s="382"/>
      <c r="AC10" s="20" t="s">
        <v>26</v>
      </c>
      <c r="AD10" s="640">
        <f>AE10+AF10</f>
        <v>14</v>
      </c>
      <c r="AE10" s="455"/>
      <c r="AF10" s="20">
        <v>14</v>
      </c>
      <c r="AG10" s="22">
        <v>1050.33</v>
      </c>
      <c r="AH10" s="139">
        <v>1050.33</v>
      </c>
      <c r="AI10" s="22">
        <f>AH10/AD10</f>
        <v>75.023571428571429</v>
      </c>
      <c r="AJ10" s="114"/>
      <c r="AK10" s="114"/>
      <c r="AL10" s="114"/>
      <c r="AM10" s="114"/>
      <c r="AN10" s="114"/>
      <c r="AO10" s="22">
        <v>600</v>
      </c>
      <c r="AP10" s="192" t="s">
        <v>515</v>
      </c>
      <c r="AQ10" s="135" t="e">
        <f>AP10/O10</f>
        <v>#VALUE!</v>
      </c>
      <c r="AR10" s="114">
        <v>2</v>
      </c>
      <c r="AS10" s="456"/>
      <c r="AT10" s="113"/>
      <c r="AU10" s="113"/>
      <c r="AV10" s="456" t="s">
        <v>168</v>
      </c>
      <c r="AW10" s="332">
        <v>40610</v>
      </c>
      <c r="AX10" s="110"/>
      <c r="AY10" s="332">
        <v>40816</v>
      </c>
      <c r="AZ10" s="332" t="s">
        <v>230</v>
      </c>
      <c r="BA10" s="332"/>
      <c r="BB10" s="332"/>
      <c r="BC10" s="332"/>
      <c r="BD10" s="332"/>
      <c r="BE10" s="332"/>
      <c r="BF10" s="332"/>
      <c r="BG10" s="332"/>
      <c r="BH10" s="332"/>
      <c r="BI10" s="332"/>
      <c r="BJ10" s="332"/>
      <c r="BK10" s="332"/>
      <c r="BL10" s="332"/>
      <c r="BM10" s="332"/>
      <c r="BN10" s="344" t="s">
        <v>230</v>
      </c>
      <c r="BO10" s="344" t="s">
        <v>230</v>
      </c>
      <c r="BP10" s="339"/>
      <c r="BQ10" s="344" t="s">
        <v>230</v>
      </c>
      <c r="BR10" s="344" t="s">
        <v>230</v>
      </c>
      <c r="BS10" s="344" t="s">
        <v>230</v>
      </c>
      <c r="BT10" s="458"/>
      <c r="BU10" s="376">
        <v>40884</v>
      </c>
      <c r="BV10" s="160"/>
      <c r="BW10" s="160"/>
      <c r="BX10" s="160"/>
      <c r="BY10" s="160"/>
      <c r="BZ10" s="376"/>
      <c r="CA10" s="160"/>
      <c r="CB10" s="71"/>
      <c r="CC10" s="369"/>
      <c r="CD10" s="197"/>
      <c r="CE10" s="197"/>
      <c r="CF10" s="336"/>
      <c r="CG10" s="336">
        <f>DATE(YEAR(CF10),MONTH(CF10)+24,DAY(CF10))</f>
        <v>731</v>
      </c>
      <c r="CH10" s="336">
        <f>DATE(YEAR(CF10),MONTH(CF10)+36,DAY(CF10))</f>
        <v>1096</v>
      </c>
      <c r="CI10" s="336"/>
      <c r="CJ10" s="197"/>
      <c r="CK10" s="71"/>
      <c r="CL10" s="71"/>
      <c r="CM10" s="369"/>
      <c r="CN10" s="71"/>
      <c r="CO10" s="197"/>
      <c r="CP10" s="70"/>
      <c r="CQ10" s="363"/>
      <c r="CR10" s="70"/>
      <c r="CS10" s="165"/>
      <c r="CT10" s="70"/>
      <c r="CU10" s="363"/>
      <c r="CV10" s="70"/>
      <c r="CW10" s="165"/>
      <c r="CX10" s="70"/>
      <c r="CY10" s="363"/>
      <c r="CZ10" s="81"/>
      <c r="DA10" s="162"/>
      <c r="DB10" s="296"/>
      <c r="DC10" s="300"/>
      <c r="DD10" s="300"/>
      <c r="DE10" s="296"/>
      <c r="DF10" s="296"/>
      <c r="DG10" s="296"/>
      <c r="DH10" s="299"/>
      <c r="DI10" s="296"/>
      <c r="DJ10" s="296"/>
      <c r="DK10" s="297"/>
      <c r="DL10" s="298"/>
      <c r="DM10" s="298"/>
      <c r="DN10" s="297"/>
      <c r="DO10" s="297"/>
      <c r="DP10" s="298"/>
      <c r="DQ10" s="304" t="s">
        <v>230</v>
      </c>
      <c r="DR10" s="443"/>
      <c r="DS10" s="443"/>
      <c r="DT10" s="297" t="s">
        <v>230</v>
      </c>
      <c r="DU10" s="304" t="s">
        <v>230</v>
      </c>
      <c r="DV10" s="443"/>
      <c r="DW10" s="443"/>
      <c r="DX10" s="415" t="s">
        <v>178</v>
      </c>
      <c r="DY10" s="415" t="s">
        <v>178</v>
      </c>
      <c r="DZ10" s="417">
        <v>41361</v>
      </c>
      <c r="EA10" s="213">
        <v>40970</v>
      </c>
      <c r="EB10" s="204"/>
      <c r="EC10" s="229">
        <v>12</v>
      </c>
      <c r="ED10" s="229">
        <f>EC10+1</f>
        <v>13</v>
      </c>
      <c r="EE10" s="229">
        <f>DATEDIF(EA10,EN10,"M")</f>
        <v>20</v>
      </c>
      <c r="EF10" s="229">
        <f>DATEDIF(EA10,EV10,"M")</f>
        <v>26</v>
      </c>
      <c r="EG10" s="229">
        <f>EE10-EC10</f>
        <v>8</v>
      </c>
      <c r="EH10" s="229">
        <f>EF10-ED10</f>
        <v>13</v>
      </c>
      <c r="EI10" s="408">
        <v>5964</v>
      </c>
      <c r="EJ10" s="408">
        <f>EI10*(EE10-EC10)</f>
        <v>47712</v>
      </c>
      <c r="EK10" s="230" t="s">
        <v>178</v>
      </c>
      <c r="EL10" s="230">
        <v>41492</v>
      </c>
      <c r="EM10" s="230">
        <v>41505</v>
      </c>
      <c r="EN10" s="230">
        <v>41583</v>
      </c>
      <c r="EO10" s="230"/>
      <c r="EP10" s="230" t="s">
        <v>178</v>
      </c>
      <c r="EQ10" s="230">
        <v>41716</v>
      </c>
      <c r="ER10" s="230"/>
      <c r="ES10" s="230">
        <v>41627</v>
      </c>
      <c r="ET10" s="230"/>
      <c r="EU10" s="230">
        <v>41774</v>
      </c>
      <c r="EV10" s="230">
        <v>41774</v>
      </c>
      <c r="EW10" s="230"/>
      <c r="EX10" s="230"/>
      <c r="EY10" s="328" t="s">
        <v>895</v>
      </c>
      <c r="EZ10" s="213"/>
      <c r="FA10" s="213"/>
      <c r="FB10" s="213"/>
      <c r="FC10" s="213">
        <v>41661</v>
      </c>
      <c r="FD10" s="202" t="s">
        <v>178</v>
      </c>
      <c r="FE10" s="213">
        <f>DATE(YEAR(EN10)+1,MONTH(EN10),DAY(EN10))</f>
        <v>41948</v>
      </c>
      <c r="FF10" s="213" t="s">
        <v>178</v>
      </c>
      <c r="FG10" s="213"/>
      <c r="FH10" s="213">
        <v>41919</v>
      </c>
      <c r="FI10" s="213">
        <v>41925</v>
      </c>
      <c r="FJ10" s="213"/>
      <c r="FK10" s="213"/>
      <c r="FL10" s="213" t="s">
        <v>230</v>
      </c>
      <c r="FM10" s="213"/>
      <c r="FN10" s="212"/>
      <c r="FO10" s="212"/>
      <c r="FP10" s="459"/>
      <c r="FQ10" s="23"/>
      <c r="FR10" s="28">
        <f>GB10+GF10+GM10+HF10+GK10+GQ10+GN10</f>
        <v>2230353.88</v>
      </c>
      <c r="FS10" s="25">
        <f>FR10-FQ10</f>
        <v>2230353.88</v>
      </c>
      <c r="FT10" s="25">
        <f>FR10/AG10</f>
        <v>2123.4791732122285</v>
      </c>
      <c r="FU10" s="25">
        <f>FR10/AD10</f>
        <v>159310.99142857143</v>
      </c>
      <c r="FV10" s="608"/>
      <c r="FW10" s="24">
        <v>0</v>
      </c>
      <c r="FX10" s="25">
        <f>FW10-FV10</f>
        <v>0</v>
      </c>
      <c r="FY10" s="231" t="e">
        <f>FV10*1.021/FQ10</f>
        <v>#DIV/0!</v>
      </c>
      <c r="FZ10" s="232"/>
      <c r="GA10" s="29">
        <v>0</v>
      </c>
      <c r="GB10" s="30">
        <v>0</v>
      </c>
      <c r="GC10" s="50">
        <f>GB10/AD10</f>
        <v>0</v>
      </c>
      <c r="GD10" s="73">
        <f>GB10-GA10</f>
        <v>0</v>
      </c>
      <c r="GE10" s="23">
        <v>1285412</v>
      </c>
      <c r="GF10" s="24">
        <f>+GG10+GH10</f>
        <v>1285412</v>
      </c>
      <c r="GG10" s="26">
        <v>305730</v>
      </c>
      <c r="GH10" s="26">
        <v>979682</v>
      </c>
      <c r="GI10" s="73">
        <f>GF10-GE10</f>
        <v>0</v>
      </c>
      <c r="GJ10" s="50">
        <f>GF10/AD10</f>
        <v>91815.142857142855</v>
      </c>
      <c r="GK10" s="24"/>
      <c r="GL10" s="29">
        <f>GM10</f>
        <v>620464</v>
      </c>
      <c r="GM10" s="30">
        <v>620464</v>
      </c>
      <c r="GN10" s="123">
        <v>70000</v>
      </c>
      <c r="GO10" s="76">
        <f>GM10/FR10</f>
        <v>0.27819083131328021</v>
      </c>
      <c r="GP10" s="590"/>
      <c r="GQ10" s="30">
        <v>1120</v>
      </c>
      <c r="GR10" s="51">
        <f>GM10-GL10</f>
        <v>0</v>
      </c>
      <c r="GS10" s="50">
        <f>GM10/AD10</f>
        <v>44318.857142857145</v>
      </c>
      <c r="GT10" s="98"/>
      <c r="GU10" s="51">
        <f>GR10/AD10</f>
        <v>0</v>
      </c>
      <c r="GV10" s="97"/>
      <c r="GW10" s="97"/>
      <c r="GX10" s="75">
        <v>715424.22886499984</v>
      </c>
      <c r="GY10" s="75">
        <v>280000</v>
      </c>
      <c r="GZ10" s="50">
        <f>(GB10+GM10+GY10)/AD10</f>
        <v>64318.857142857145</v>
      </c>
      <c r="HA10" s="75">
        <v>259894.04</v>
      </c>
      <c r="HB10" s="50">
        <f>(GB10+GM10+GY10+HA10)/AD10</f>
        <v>82882.717142857146</v>
      </c>
      <c r="HC10" s="99">
        <f>(GB10+GM10+GY10+HA10)/(GX10+FR10-HD10)</f>
        <v>0.41111677977683803</v>
      </c>
      <c r="HD10" s="75">
        <v>123324.49695</v>
      </c>
      <c r="HE10" s="75"/>
      <c r="HF10" s="24">
        <v>253357.88</v>
      </c>
      <c r="HG10" s="77">
        <f>FR10+GX10</f>
        <v>2945778.1088649998</v>
      </c>
      <c r="HH10" s="491"/>
      <c r="HI10" s="491"/>
      <c r="HJ10" s="494"/>
      <c r="HK10" s="491"/>
      <c r="HL10" s="477"/>
      <c r="HM10" s="477">
        <f>DATE(YEAR(HL10),MONTH(HL10),DAY(HL10)+21)</f>
        <v>21</v>
      </c>
      <c r="HN10" s="477"/>
      <c r="HO10" s="497" t="str">
        <f>IF(AND(HM10&gt;0,HN10&gt;0),HN10-HM10,"0")</f>
        <v>0</v>
      </c>
      <c r="HP10" s="477"/>
      <c r="HQ10" s="481" t="str">
        <f>IF(AND(HN10&gt;0,HP10&gt;0),HP10-HN10,"0")</f>
        <v>0</v>
      </c>
      <c r="HR10" s="497">
        <f>+HQ10-30</f>
        <v>-30</v>
      </c>
      <c r="HS10" s="506" t="str">
        <f>IF(AND(HL10&gt;0,HP10&gt;0),HP10-HL10,"0")</f>
        <v>0</v>
      </c>
      <c r="HT10" s="477"/>
      <c r="HU10" s="497" t="str">
        <f>IF(AND(HP10&gt;0,HT10&gt;0),HT10-HP10,"0")</f>
        <v>0</v>
      </c>
      <c r="HV10" s="477">
        <f>DATE(YEAR(HT10),MONTH(HT10),DAY(HT10)+21)</f>
        <v>21</v>
      </c>
      <c r="HW10" s="477"/>
      <c r="HX10" s="497" t="str">
        <f>IF(AND(HV10&gt;0,HW10&gt;0),HW10-HV10,"0")</f>
        <v>0</v>
      </c>
      <c r="HY10" s="476"/>
      <c r="HZ10" s="481" t="str">
        <f>IF(AND(HW10&gt;0,HY10&gt;0),HY10-HW10,"0")</f>
        <v>0</v>
      </c>
      <c r="IA10" s="497">
        <f>+HZ10-30</f>
        <v>-30</v>
      </c>
      <c r="IB10" s="506" t="str">
        <f>IF(AND(HT10&gt;0,HY10&gt;0),HY10-HT10,"0")</f>
        <v>0</v>
      </c>
      <c r="IC10" s="490"/>
      <c r="ID10" s="491"/>
      <c r="IE10" s="477"/>
      <c r="IF10" s="477"/>
      <c r="IG10" s="494"/>
      <c r="IH10" s="491"/>
      <c r="II10" s="478"/>
      <c r="IJ10" s="497" t="str">
        <f>IF(AND(HY10&gt;0,II10&gt;0),II10-HY10,"0")</f>
        <v>0</v>
      </c>
      <c r="IK10" s="478">
        <f>DATE(YEAR(II10),MONTH(II10),DAY(II10)+30)</f>
        <v>30</v>
      </c>
      <c r="IL10" s="478"/>
      <c r="IM10" s="497" t="str">
        <f>IF(AND(IK10&gt;0,IL10&gt;0),IL10-IK10,"0")</f>
        <v>0</v>
      </c>
      <c r="IN10" s="478"/>
      <c r="IO10" s="481" t="str">
        <f>IF(AND(IL10&gt;0,IN10&gt;0),IN10-IL10,"0")</f>
        <v>0</v>
      </c>
      <c r="IP10" s="497">
        <f>+IO10-30</f>
        <v>-30</v>
      </c>
      <c r="IQ10" s="506" t="str">
        <f>IF(AND(II10&gt;0,IN10&gt;0),IN10-II10,"0")</f>
        <v>0</v>
      </c>
      <c r="IR10" s="490"/>
      <c r="IS10" s="491"/>
      <c r="IT10" s="478"/>
      <c r="IU10" s="498" t="str">
        <f>IF(AND(IN10&gt;0,IT10&gt;0),IT10-IN10,"0")</f>
        <v>0</v>
      </c>
      <c r="IV10" s="478">
        <f>DATE(YEAR(IT10),MONTH(IT10),DAY(IT10)+30)</f>
        <v>30</v>
      </c>
      <c r="IW10" s="478"/>
      <c r="IX10" s="498" t="str">
        <f>IF(AND(IV10&gt;0,IW10&gt;0),IW10-IV10,"0")</f>
        <v>0</v>
      </c>
      <c r="IY10" s="478"/>
      <c r="IZ10" s="482" t="str">
        <f>IF(AND(IW10&gt;0,IY10&gt;0),IY10-IW10,"0")</f>
        <v>0</v>
      </c>
      <c r="JA10" s="498">
        <f>IZ10-30</f>
        <v>-30</v>
      </c>
      <c r="JB10" s="508" t="str">
        <f>IF(AND(IT10&gt;0,IY10&gt;0),IY10-IT10,"0")</f>
        <v>0</v>
      </c>
      <c r="JC10" s="490"/>
      <c r="JD10" s="491"/>
      <c r="JE10" s="212"/>
      <c r="JF10" s="487" t="str">
        <f>IF(AND(IY10&gt;0,JE10&gt;0),JE10-IY10,"0")</f>
        <v>0</v>
      </c>
      <c r="JG10" s="212">
        <f>DATE(YEAR(JE10),MONTH(JE10),DAY(JE10)+15)</f>
        <v>15</v>
      </c>
      <c r="JH10" s="212"/>
      <c r="JI10" s="487" t="str">
        <f>IF(AND(JG10&gt;0,JH10&gt;0),JH10-JG10,"0")</f>
        <v>0</v>
      </c>
      <c r="JJ10" s="212">
        <f>DATE(YEAR(JH10),MONTH(JH10),DAY(JH10)+15)</f>
        <v>15</v>
      </c>
      <c r="JK10" s="212"/>
      <c r="JL10" s="487" t="str">
        <f>IF(AND(JJ10&gt;0,JK10&gt;0),JK10-JJ10,"0")</f>
        <v>0</v>
      </c>
      <c r="JM10" s="509" t="str">
        <f>IF(AND(JE10&gt;0,JK10&gt;0),JK10-JE10,"0")</f>
        <v>0</v>
      </c>
      <c r="JN10" s="499"/>
      <c r="JO10" s="501" t="str">
        <f>IF(AND(JK10&gt;0,JN10&gt;0),JN10-JK10,"0")</f>
        <v>0</v>
      </c>
      <c r="JP10" s="498">
        <f>JO10-60</f>
        <v>-60</v>
      </c>
      <c r="JQ10" s="482">
        <f>291/30</f>
        <v>9.6999999999999993</v>
      </c>
      <c r="JR10" s="504">
        <f>((+HS10+HU10+IB10+IJ10+IQ10+IU10+JB10+JI10+JF10)/30)-JQ10</f>
        <v>-9.6999999999999993</v>
      </c>
      <c r="JS10" s="490"/>
      <c r="JT10" s="491"/>
      <c r="JU10" s="490"/>
      <c r="JV10" s="491"/>
      <c r="JW10" s="488"/>
      <c r="JX10" s="488"/>
      <c r="JY10" s="488"/>
      <c r="JZ10" s="488"/>
    </row>
    <row r="11" spans="1:286" s="31" customFormat="1" ht="82.5" hidden="1" customHeight="1" x14ac:dyDescent="0.25">
      <c r="A11" s="52" t="s">
        <v>99</v>
      </c>
      <c r="B11" s="20" t="s">
        <v>44</v>
      </c>
      <c r="C11" s="20" t="s">
        <v>158</v>
      </c>
      <c r="D11" s="20">
        <v>2012</v>
      </c>
      <c r="E11" s="20" t="s">
        <v>111</v>
      </c>
      <c r="F11" s="20" t="s">
        <v>630</v>
      </c>
      <c r="G11" s="20" t="s">
        <v>273</v>
      </c>
      <c r="H11" s="20" t="s">
        <v>243</v>
      </c>
      <c r="I11" s="110"/>
      <c r="J11" s="110"/>
      <c r="K11" s="453" t="s">
        <v>1023</v>
      </c>
      <c r="L11" s="290"/>
      <c r="M11" s="290"/>
      <c r="N11" s="290"/>
      <c r="O11" s="379">
        <v>6156.15</v>
      </c>
      <c r="P11" s="379">
        <v>164070</v>
      </c>
      <c r="Q11" s="379">
        <v>163875</v>
      </c>
      <c r="R11" s="379">
        <f>P11/AD11</f>
        <v>7457.727272727273</v>
      </c>
      <c r="S11" s="379">
        <f>P11/O11</f>
        <v>26.651397383104701</v>
      </c>
      <c r="T11" s="379">
        <f>Q11/O11</f>
        <v>26.619721741672961</v>
      </c>
      <c r="U11" s="379">
        <f>Q11/AH11</f>
        <v>97.053597867930122</v>
      </c>
      <c r="V11" s="379">
        <f>Q11/AD11</f>
        <v>7448.863636363636</v>
      </c>
      <c r="W11" s="379">
        <f>O11/AD11</f>
        <v>279.82499999999999</v>
      </c>
      <c r="X11" s="380"/>
      <c r="Y11" s="381">
        <f>AH11/O11</f>
        <v>0.27427856696149383</v>
      </c>
      <c r="Z11" s="380" t="s">
        <v>308</v>
      </c>
      <c r="AA11" s="382">
        <v>890</v>
      </c>
      <c r="AB11" s="383"/>
      <c r="AC11" s="20" t="s">
        <v>26</v>
      </c>
      <c r="AD11" s="640">
        <f>AE11+AF11</f>
        <v>22</v>
      </c>
      <c r="AE11" s="21"/>
      <c r="AF11" s="20">
        <v>22</v>
      </c>
      <c r="AG11" s="22">
        <v>1688.5</v>
      </c>
      <c r="AH11" s="139">
        <v>1688.5</v>
      </c>
      <c r="AI11" s="22">
        <f>AH11/AD11</f>
        <v>76.75</v>
      </c>
      <c r="AJ11" s="135">
        <v>0</v>
      </c>
      <c r="AK11" s="135">
        <f>4/AD11</f>
        <v>0.18181818181818182</v>
      </c>
      <c r="AL11" s="135">
        <f>8/AD11</f>
        <v>0.36363636363636365</v>
      </c>
      <c r="AM11" s="135">
        <f>6/AD11</f>
        <v>0.27272727272727271</v>
      </c>
      <c r="AN11" s="135">
        <f>4/AD11</f>
        <v>0.18181818181818182</v>
      </c>
      <c r="AO11" s="22">
        <f>96.15+803.85+941.6</f>
        <v>1841.6</v>
      </c>
      <c r="AP11" s="192"/>
      <c r="AQ11" s="135">
        <f>AP11/O11</f>
        <v>0</v>
      </c>
      <c r="AR11" s="114">
        <v>1.5</v>
      </c>
      <c r="AS11" s="233"/>
      <c r="AT11" s="116"/>
      <c r="AU11" s="116"/>
      <c r="AV11" s="22" t="s">
        <v>169</v>
      </c>
      <c r="AW11" s="332">
        <v>41152</v>
      </c>
      <c r="AX11" s="110"/>
      <c r="AY11" s="332">
        <v>40963</v>
      </c>
      <c r="AZ11" s="332" t="s">
        <v>230</v>
      </c>
      <c r="BA11" s="332"/>
      <c r="BB11" s="332"/>
      <c r="BC11" s="332"/>
      <c r="BD11" s="332"/>
      <c r="BE11" s="332">
        <v>41137</v>
      </c>
      <c r="BF11" s="332"/>
      <c r="BG11" s="332"/>
      <c r="BH11" s="332"/>
      <c r="BI11" s="332">
        <v>41256</v>
      </c>
      <c r="BJ11" s="332"/>
      <c r="BK11" s="332" t="s">
        <v>178</v>
      </c>
      <c r="BL11" s="332">
        <v>41661</v>
      </c>
      <c r="BM11" s="332" t="s">
        <v>178</v>
      </c>
      <c r="BN11" s="344" t="s">
        <v>17</v>
      </c>
      <c r="BO11" s="344" t="s">
        <v>178</v>
      </c>
      <c r="BP11" s="339"/>
      <c r="BQ11" s="343"/>
      <c r="BR11" s="343"/>
      <c r="BS11" s="344" t="s">
        <v>348</v>
      </c>
      <c r="BT11" s="5"/>
      <c r="BU11" s="376">
        <v>41177</v>
      </c>
      <c r="BV11" s="160"/>
      <c r="BW11" s="160"/>
      <c r="BX11" s="160"/>
      <c r="BY11" s="160"/>
      <c r="BZ11" s="376">
        <v>41197</v>
      </c>
      <c r="CA11" s="160"/>
      <c r="CB11" s="72"/>
      <c r="CC11" s="362"/>
      <c r="CD11" s="164"/>
      <c r="CE11" s="164"/>
      <c r="CF11" s="569">
        <v>41319</v>
      </c>
      <c r="CG11" s="569">
        <f>DATE(YEAR(CF11),MONTH(CF11)+24,DAY(CF11))</f>
        <v>42049</v>
      </c>
      <c r="CH11" s="569">
        <f>DATE(YEAR(CF11),MONTH(CF11)+36,DAY(CF11))</f>
        <v>42414</v>
      </c>
      <c r="CI11" s="569" t="str">
        <f>IF(EV11&gt;CG9,"oui","non")</f>
        <v>oui</v>
      </c>
      <c r="CJ11" s="164"/>
      <c r="CK11" s="72"/>
      <c r="CL11" s="72"/>
      <c r="CM11" s="362"/>
      <c r="CN11" s="72"/>
      <c r="CO11" s="164"/>
      <c r="CP11" s="69"/>
      <c r="CQ11" s="364"/>
      <c r="CR11" s="69"/>
      <c r="CS11" s="198"/>
      <c r="CT11" s="69"/>
      <c r="CU11" s="364"/>
      <c r="CV11" s="69"/>
      <c r="CW11" s="198"/>
      <c r="CX11" s="69"/>
      <c r="CY11" s="364"/>
      <c r="CZ11" s="69"/>
      <c r="DA11" s="198"/>
      <c r="DB11" s="296" t="s">
        <v>88</v>
      </c>
      <c r="DC11" s="300">
        <v>83482</v>
      </c>
      <c r="DD11" s="300">
        <f>DC11*3/5</f>
        <v>50089.2</v>
      </c>
      <c r="DE11" s="296" t="s">
        <v>178</v>
      </c>
      <c r="DF11" s="296" t="s">
        <v>178</v>
      </c>
      <c r="DG11" s="296" t="s">
        <v>178</v>
      </c>
      <c r="DH11" s="299"/>
      <c r="DI11" s="296" t="s">
        <v>178</v>
      </c>
      <c r="DJ11" s="296" t="s">
        <v>178</v>
      </c>
      <c r="DK11" s="304">
        <v>41208</v>
      </c>
      <c r="DL11" s="443"/>
      <c r="DM11" s="443"/>
      <c r="DN11" s="304">
        <v>41256</v>
      </c>
      <c r="DO11" s="297" t="s">
        <v>178</v>
      </c>
      <c r="DP11" s="298"/>
      <c r="DQ11" s="304">
        <v>41256</v>
      </c>
      <c r="DR11" s="443" t="s">
        <v>178</v>
      </c>
      <c r="DS11" s="443" t="s">
        <v>178</v>
      </c>
      <c r="DT11" s="297">
        <v>3409415.73</v>
      </c>
      <c r="DU11" s="304">
        <f>DATE(YEAR(DQ11),MONTH(DQ11)+18,DAY(DQ11))</f>
        <v>41803</v>
      </c>
      <c r="DV11" s="443">
        <v>41569</v>
      </c>
      <c r="DW11" s="443"/>
      <c r="DX11" s="415">
        <v>41353</v>
      </c>
      <c r="DY11" s="415">
        <v>41430</v>
      </c>
      <c r="DZ11" s="415">
        <v>41739</v>
      </c>
      <c r="EA11" s="413">
        <v>41295</v>
      </c>
      <c r="EB11" s="413">
        <v>41366</v>
      </c>
      <c r="EC11" s="421">
        <v>13</v>
      </c>
      <c r="ED11" s="205">
        <f>EC11+2</f>
        <v>15</v>
      </c>
      <c r="EE11" s="205">
        <f>DATEDIF(EA11,EN11,"M")</f>
        <v>33</v>
      </c>
      <c r="EF11" s="205">
        <f>DATEDIF(EA11,EV11,"M")</f>
        <v>36</v>
      </c>
      <c r="EG11" s="205">
        <f>EE11-EC11</f>
        <v>20</v>
      </c>
      <c r="EH11" s="205">
        <f>EF11-ED11</f>
        <v>21</v>
      </c>
      <c r="EI11" s="409">
        <f>106635.529075152/12</f>
        <v>8886.294089596</v>
      </c>
      <c r="EJ11" s="409">
        <f>EI11*(EE11-EC11)</f>
        <v>177725.88179191999</v>
      </c>
      <c r="EK11" s="413" t="s">
        <v>178</v>
      </c>
      <c r="EL11" s="413" t="s">
        <v>178</v>
      </c>
      <c r="EM11" s="413">
        <v>42234</v>
      </c>
      <c r="EN11" s="203">
        <v>42326</v>
      </c>
      <c r="EO11" s="203"/>
      <c r="EP11" s="203">
        <v>42348</v>
      </c>
      <c r="EQ11" s="203" t="s">
        <v>178</v>
      </c>
      <c r="ER11" s="203" t="s">
        <v>178</v>
      </c>
      <c r="ES11" s="413">
        <v>42338</v>
      </c>
      <c r="ET11" s="413">
        <v>42535</v>
      </c>
      <c r="EU11" s="413" t="s">
        <v>178</v>
      </c>
      <c r="EV11" s="230">
        <v>42409</v>
      </c>
      <c r="EW11" s="413"/>
      <c r="EX11" s="413"/>
      <c r="EY11" s="356" t="s">
        <v>897</v>
      </c>
      <c r="EZ11" s="356">
        <v>42321</v>
      </c>
      <c r="FA11" s="356" t="s">
        <v>1033</v>
      </c>
      <c r="FB11" s="356">
        <v>42348</v>
      </c>
      <c r="FC11" s="356">
        <v>42340</v>
      </c>
      <c r="FD11" s="225" t="s">
        <v>1061</v>
      </c>
      <c r="FE11" s="356">
        <f>DATE(YEAR(EN11)+1,MONTH(EN11),DAY(EN11))</f>
        <v>42692</v>
      </c>
      <c r="FF11" s="213">
        <v>42530</v>
      </c>
      <c r="FG11" s="213">
        <v>42531</v>
      </c>
      <c r="FH11" s="212"/>
      <c r="FI11" s="212"/>
      <c r="FJ11" s="212"/>
      <c r="FK11" s="565" t="s">
        <v>1051</v>
      </c>
      <c r="FL11" s="330" t="s">
        <v>1061</v>
      </c>
      <c r="FM11" s="212" t="s">
        <v>977</v>
      </c>
      <c r="FN11" s="212"/>
      <c r="FO11" s="212"/>
      <c r="FP11" s="294"/>
      <c r="FQ11" s="23">
        <f>+GA11+GE11+GL11+HF11</f>
        <v>3674939</v>
      </c>
      <c r="FR11" s="28">
        <f>GB11+GF11+GM11+HF11+GK11+GQ11+GN11</f>
        <v>3674939</v>
      </c>
      <c r="FS11" s="25">
        <f>FR11-FQ11</f>
        <v>0</v>
      </c>
      <c r="FT11" s="25">
        <f>FR11/AG11</f>
        <v>2176.4518803671899</v>
      </c>
      <c r="FU11" s="25">
        <f>FR11/AD11</f>
        <v>167042.68181818182</v>
      </c>
      <c r="FV11" s="23">
        <v>3169080</v>
      </c>
      <c r="FW11" s="24"/>
      <c r="FX11" s="25">
        <f>FW11-FV11</f>
        <v>-3169080</v>
      </c>
      <c r="FY11" s="231">
        <f>FV11*1.021/FQ11</f>
        <v>0.88045833685946884</v>
      </c>
      <c r="FZ11" s="232"/>
      <c r="GA11" s="23">
        <v>929819</v>
      </c>
      <c r="GB11" s="24">
        <v>929819</v>
      </c>
      <c r="GC11" s="50">
        <f>GB11/AD11</f>
        <v>42264.5</v>
      </c>
      <c r="GD11" s="73">
        <f>GB11-GA11</f>
        <v>0</v>
      </c>
      <c r="GE11" s="23">
        <v>1895079</v>
      </c>
      <c r="GF11" s="24">
        <f>+GG11+GH11</f>
        <v>1895079</v>
      </c>
      <c r="GG11" s="26">
        <v>328778</v>
      </c>
      <c r="GH11" s="26">
        <v>1566301</v>
      </c>
      <c r="GI11" s="73">
        <f>GF11-GE11</f>
        <v>0</v>
      </c>
      <c r="GJ11" s="50">
        <f>GF11/AD11</f>
        <v>86139.954545454544</v>
      </c>
      <c r="GK11" s="24">
        <v>0</v>
      </c>
      <c r="GL11" s="23">
        <f>558000+110000</f>
        <v>668000</v>
      </c>
      <c r="GM11" s="30">
        <v>558000</v>
      </c>
      <c r="GN11" s="123">
        <v>110000</v>
      </c>
      <c r="GO11" s="76">
        <f>GM11/FR11</f>
        <v>0.15183925501892684</v>
      </c>
      <c r="GP11" s="590"/>
      <c r="GQ11" s="30">
        <v>0</v>
      </c>
      <c r="GR11" s="51">
        <f>GM11-GL11</f>
        <v>-110000</v>
      </c>
      <c r="GS11" s="50">
        <f>GM11/AD11</f>
        <v>25363.636363636364</v>
      </c>
      <c r="GT11" s="98"/>
      <c r="GU11" s="51">
        <f>GR11/AD11</f>
        <v>-5000</v>
      </c>
      <c r="GV11" s="97"/>
      <c r="GW11" s="97"/>
      <c r="GX11" s="75">
        <v>1214321.7850000001</v>
      </c>
      <c r="GY11" s="75">
        <v>440000</v>
      </c>
      <c r="GZ11" s="50">
        <f>(GB11+GM11+GY11)/AD11</f>
        <v>87628.136363636368</v>
      </c>
      <c r="HA11" s="75">
        <v>91493</v>
      </c>
      <c r="HB11" s="50">
        <f>(GB11+GM11+GY11+HA11)/AD11</f>
        <v>91786.909090909088</v>
      </c>
      <c r="HC11" s="99">
        <f>(GB11+GM11+GY11+HA11)/(GX11+FR11-HD11)</f>
        <v>0.42764417042342945</v>
      </c>
      <c r="HD11" s="75">
        <v>167316.375</v>
      </c>
      <c r="HE11" s="632"/>
      <c r="HF11" s="631">
        <v>182041</v>
      </c>
      <c r="HG11" s="77">
        <f>FR11+GX11</f>
        <v>4889260.7850000001</v>
      </c>
      <c r="HH11" s="491"/>
      <c r="HI11" s="491"/>
      <c r="HJ11" s="494"/>
      <c r="HK11" s="491"/>
      <c r="HL11" s="477"/>
      <c r="HM11" s="477">
        <f>DATE(YEAR(HL11),MONTH(HL11),DAY(HL11)+21)</f>
        <v>21</v>
      </c>
      <c r="HN11" s="477"/>
      <c r="HO11" s="497" t="str">
        <f>IF(AND(HM11&gt;0,HN11&gt;0),HN11-HM11,"0")</f>
        <v>0</v>
      </c>
      <c r="HP11" s="477"/>
      <c r="HQ11" s="481" t="str">
        <f>IF(AND(HN11&gt;0,HP11&gt;0),HP11-HN11,"0")</f>
        <v>0</v>
      </c>
      <c r="HR11" s="497">
        <f>+HQ11-30</f>
        <v>-30</v>
      </c>
      <c r="HS11" s="506" t="str">
        <f>IF(AND(HL11&gt;0,HP11&gt;0),HP11-HL11,"0")</f>
        <v>0</v>
      </c>
      <c r="HT11" s="477"/>
      <c r="HU11" s="497" t="str">
        <f>IF(AND(HP11&gt;0,HT11&gt;0),HT11-HP11,"0")</f>
        <v>0</v>
      </c>
      <c r="HV11" s="477">
        <f>DATE(YEAR(HT11),MONTH(HT11),DAY(HT11)+21)</f>
        <v>21</v>
      </c>
      <c r="HW11" s="477"/>
      <c r="HX11" s="497" t="str">
        <f>IF(AND(HV11&gt;0,HW11&gt;0),HW11-HV11,"0")</f>
        <v>0</v>
      </c>
      <c r="HY11" s="476"/>
      <c r="HZ11" s="481" t="str">
        <f>IF(AND(HW11&gt;0,HY11&gt;0),HY11-HW11,"0")</f>
        <v>0</v>
      </c>
      <c r="IA11" s="497">
        <f>+HZ11-30</f>
        <v>-30</v>
      </c>
      <c r="IB11" s="506" t="str">
        <f>IF(AND(HT11&gt;0,HY11&gt;0),HY11-HT11,"0")</f>
        <v>0</v>
      </c>
      <c r="IC11" s="490"/>
      <c r="ID11" s="491"/>
      <c r="IE11" s="477"/>
      <c r="IF11" s="477"/>
      <c r="IG11" s="494"/>
      <c r="IH11" s="491"/>
      <c r="II11" s="478"/>
      <c r="IJ11" s="497" t="str">
        <f>IF(AND(HY11&gt;0,II11&gt;0),II11-HY11,"0")</f>
        <v>0</v>
      </c>
      <c r="IK11" s="478">
        <f>DATE(YEAR(II11),MONTH(II11),DAY(II11)+30)</f>
        <v>30</v>
      </c>
      <c r="IL11" s="478"/>
      <c r="IM11" s="497" t="str">
        <f>IF(AND(IK11&gt;0,IL11&gt;0),IL11-IK11,"0")</f>
        <v>0</v>
      </c>
      <c r="IN11" s="478"/>
      <c r="IO11" s="481" t="str">
        <f>IF(AND(IL11&gt;0,IN11&gt;0),IN11-IL11,"0")</f>
        <v>0</v>
      </c>
      <c r="IP11" s="497">
        <f>+IO11-30</f>
        <v>-30</v>
      </c>
      <c r="IQ11" s="506" t="str">
        <f>IF(AND(II11&gt;0,IN11&gt;0),IN11-II11,"0")</f>
        <v>0</v>
      </c>
      <c r="IR11" s="490"/>
      <c r="IS11" s="491"/>
      <c r="IT11" s="478"/>
      <c r="IU11" s="498" t="str">
        <f>IF(AND(IN11&gt;0,IT11&gt;0),IT11-IN11,"0")</f>
        <v>0</v>
      </c>
      <c r="IV11" s="478">
        <f>DATE(YEAR(IT11),MONTH(IT11),DAY(IT11)+30)</f>
        <v>30</v>
      </c>
      <c r="IW11" s="478"/>
      <c r="IX11" s="498" t="str">
        <f>IF(AND(IV11&gt;0,IW11&gt;0),IW11-IV11,"0")</f>
        <v>0</v>
      </c>
      <c r="IY11" s="478"/>
      <c r="IZ11" s="482" t="str">
        <f>IF(AND(IW11&gt;0,IY11&gt;0),IY11-IW11,"0")</f>
        <v>0</v>
      </c>
      <c r="JA11" s="498">
        <f>IZ11-30</f>
        <v>-30</v>
      </c>
      <c r="JB11" s="508" t="str">
        <f>IF(AND(IT11&gt;0,IY11&gt;0),IY11-IT11,"0")</f>
        <v>0</v>
      </c>
      <c r="JC11" s="490"/>
      <c r="JD11" s="491"/>
      <c r="JE11" s="212"/>
      <c r="JF11" s="487" t="str">
        <f>IF(AND(IY11&gt;0,JE11&gt;0),JE11-IY11,"0")</f>
        <v>0</v>
      </c>
      <c r="JG11" s="212">
        <f>DATE(YEAR(JE11),MONTH(JE11),DAY(JE11)+15)</f>
        <v>15</v>
      </c>
      <c r="JH11" s="212"/>
      <c r="JI11" s="487" t="str">
        <f>IF(AND(JG11&gt;0,JH11&gt;0),JH11-JG11,"0")</f>
        <v>0</v>
      </c>
      <c r="JJ11" s="212">
        <f>DATE(YEAR(JH11),MONTH(JH11),DAY(JH11)+15)</f>
        <v>15</v>
      </c>
      <c r="JK11" s="212"/>
      <c r="JL11" s="487" t="str">
        <f>IF(AND(JJ11&gt;0,JK11&gt;0),JK11-JJ11,"0")</f>
        <v>0</v>
      </c>
      <c r="JM11" s="509" t="str">
        <f>IF(AND(JE11&gt;0,JK11&gt;0),JK11-JE11,"0")</f>
        <v>0</v>
      </c>
      <c r="JN11" s="499"/>
      <c r="JO11" s="501" t="str">
        <f>IF(AND(JK11&gt;0,JN11&gt;0),JN11-JK11,"0")</f>
        <v>0</v>
      </c>
      <c r="JP11" s="498">
        <f>JO11-60</f>
        <v>-60</v>
      </c>
      <c r="JQ11" s="482">
        <f>291/30</f>
        <v>9.6999999999999993</v>
      </c>
      <c r="JR11" s="504">
        <f>((+HS11+HU11+IB11+IJ11+IQ11+IU11+JB11+JI11+JF11)/30)-JQ11</f>
        <v>-9.6999999999999993</v>
      </c>
      <c r="JS11" s="490"/>
      <c r="JT11" s="491"/>
      <c r="JU11" s="490"/>
      <c r="JV11" s="491"/>
      <c r="JW11" s="488"/>
      <c r="JX11" s="488"/>
      <c r="JY11" s="488"/>
      <c r="JZ11" s="488"/>
    </row>
    <row r="12" spans="1:286" s="31" customFormat="1" ht="76.5" hidden="1" customHeight="1" x14ac:dyDescent="0.25">
      <c r="A12" s="52" t="s">
        <v>95</v>
      </c>
      <c r="B12" s="20" t="s">
        <v>46</v>
      </c>
      <c r="C12" s="20" t="s">
        <v>157</v>
      </c>
      <c r="D12" s="20">
        <v>2012</v>
      </c>
      <c r="E12" s="20" t="s">
        <v>106</v>
      </c>
      <c r="F12" s="20"/>
      <c r="G12" s="20" t="s">
        <v>278</v>
      </c>
      <c r="H12" s="20" t="s">
        <v>643</v>
      </c>
      <c r="I12" s="110"/>
      <c r="J12" s="110"/>
      <c r="K12" s="453"/>
      <c r="L12" s="290"/>
      <c r="M12" s="290"/>
      <c r="N12" s="290"/>
      <c r="O12" s="379">
        <v>7275</v>
      </c>
      <c r="P12" s="379">
        <f>Q12</f>
        <v>773000</v>
      </c>
      <c r="Q12" s="379">
        <v>773000</v>
      </c>
      <c r="R12" s="379">
        <f>P12/AD12</f>
        <v>9202.3809523809523</v>
      </c>
      <c r="S12" s="379">
        <f>P12/O12</f>
        <v>106.25429553264605</v>
      </c>
      <c r="T12" s="379">
        <f>Q12/O12</f>
        <v>106.25429553264605</v>
      </c>
      <c r="U12" s="379">
        <f>Q12/AH12</f>
        <v>168.94476183815397</v>
      </c>
      <c r="V12" s="379">
        <f>Q12/AD12</f>
        <v>9202.3809523809523</v>
      </c>
      <c r="W12" s="379">
        <f>O12/AD12</f>
        <v>86.607142857142861</v>
      </c>
      <c r="X12" s="379"/>
      <c r="Y12" s="381">
        <f>AH12/O12</f>
        <v>0.62892920962199317</v>
      </c>
      <c r="Z12" s="380" t="s">
        <v>303</v>
      </c>
      <c r="AA12" s="382">
        <v>530</v>
      </c>
      <c r="AB12" s="383">
        <v>0.1</v>
      </c>
      <c r="AC12" s="20" t="s">
        <v>25</v>
      </c>
      <c r="AD12" s="640">
        <f>AE12+AF12</f>
        <v>84</v>
      </c>
      <c r="AE12" s="20">
        <v>84</v>
      </c>
      <c r="AF12" s="21"/>
      <c r="AG12" s="22">
        <v>4575.46</v>
      </c>
      <c r="AH12" s="139">
        <v>4575.46</v>
      </c>
      <c r="AI12" s="22">
        <f>AH12/AD12</f>
        <v>54.469761904761903</v>
      </c>
      <c r="AJ12" s="116"/>
      <c r="AK12" s="116"/>
      <c r="AL12" s="116"/>
      <c r="AM12" s="116"/>
      <c r="AN12" s="116"/>
      <c r="AO12" s="22">
        <v>2038</v>
      </c>
      <c r="AP12" s="133">
        <v>0</v>
      </c>
      <c r="AQ12" s="135">
        <f>AP12/O12</f>
        <v>0</v>
      </c>
      <c r="AR12" s="114">
        <v>4</v>
      </c>
      <c r="AS12" s="233"/>
      <c r="AT12" s="116"/>
      <c r="AU12" s="116"/>
      <c r="AV12" s="22"/>
      <c r="AW12" s="332">
        <v>40855</v>
      </c>
      <c r="AX12" s="110"/>
      <c r="AY12" s="332">
        <v>40963</v>
      </c>
      <c r="AZ12" s="332" t="s">
        <v>230</v>
      </c>
      <c r="BA12" s="332"/>
      <c r="BB12" s="332"/>
      <c r="BC12" s="332"/>
      <c r="BD12" s="332"/>
      <c r="BE12" s="332">
        <v>41173</v>
      </c>
      <c r="BF12" s="332"/>
      <c r="BG12" s="332"/>
      <c r="BH12" s="332"/>
      <c r="BI12" s="332">
        <v>41253</v>
      </c>
      <c r="BJ12" s="332"/>
      <c r="BK12" s="332" t="s">
        <v>178</v>
      </c>
      <c r="BL12" s="332" t="s">
        <v>178</v>
      </c>
      <c r="BM12" s="332"/>
      <c r="BN12" s="344" t="s">
        <v>18</v>
      </c>
      <c r="BO12" s="344" t="s">
        <v>178</v>
      </c>
      <c r="BP12" s="339"/>
      <c r="BQ12" s="343"/>
      <c r="BR12" s="343"/>
      <c r="BS12" s="344" t="s">
        <v>349</v>
      </c>
      <c r="BT12" s="5"/>
      <c r="BU12" s="376">
        <v>41144</v>
      </c>
      <c r="BV12" s="160">
        <v>42481</v>
      </c>
      <c r="BW12" s="160"/>
      <c r="BX12" s="160"/>
      <c r="BY12" s="160"/>
      <c r="BZ12" s="376">
        <v>41199</v>
      </c>
      <c r="CA12" s="160"/>
      <c r="CB12" s="72"/>
      <c r="CC12" s="362"/>
      <c r="CD12" s="164"/>
      <c r="CE12" s="164"/>
      <c r="CF12" s="568"/>
      <c r="CG12" s="569">
        <f>DATE(YEAR(CF12),MONTH(CF12)+24,DAY(CF12))</f>
        <v>731</v>
      </c>
      <c r="CH12" s="569">
        <f>DATE(YEAR(CF12),MONTH(CF12)+36,DAY(CF12))</f>
        <v>1096</v>
      </c>
      <c r="CI12" s="569" t="str">
        <f>IF(EV12&gt;CG12,"oui","non")</f>
        <v>oui</v>
      </c>
      <c r="CJ12" s="164"/>
      <c r="CK12" s="72"/>
      <c r="CL12" s="72"/>
      <c r="CM12" s="362"/>
      <c r="CN12" s="72"/>
      <c r="CO12" s="164"/>
      <c r="CP12" s="69"/>
      <c r="CQ12" s="364"/>
      <c r="CR12" s="69"/>
      <c r="CS12" s="198"/>
      <c r="CT12" s="69"/>
      <c r="CU12" s="364"/>
      <c r="CV12" s="69"/>
      <c r="CW12" s="198"/>
      <c r="CX12" s="69"/>
      <c r="CY12" s="364"/>
      <c r="CZ12" s="69"/>
      <c r="DA12" s="198"/>
      <c r="DB12" s="296" t="s">
        <v>202</v>
      </c>
      <c r="DC12" s="300">
        <v>238468</v>
      </c>
      <c r="DD12" s="300">
        <f>DC12*3/5</f>
        <v>143080.79999999999</v>
      </c>
      <c r="DE12" s="291"/>
      <c r="DF12" s="291"/>
      <c r="DG12" s="291"/>
      <c r="DH12" s="312"/>
      <c r="DI12" s="291"/>
      <c r="DJ12" s="291"/>
      <c r="DK12" s="292"/>
      <c r="DL12" s="293"/>
      <c r="DM12" s="293"/>
      <c r="DN12" s="292"/>
      <c r="DO12" s="292"/>
      <c r="DP12" s="293"/>
      <c r="DQ12" s="304">
        <v>41270</v>
      </c>
      <c r="DR12" s="443"/>
      <c r="DS12" s="443"/>
      <c r="DT12" s="297">
        <v>9461576.1300000008</v>
      </c>
      <c r="DU12" s="304">
        <f>DATE(YEAR(DQ12),MONTH(DQ12)+18,DAY(DQ12))</f>
        <v>41817</v>
      </c>
      <c r="DV12" s="443"/>
      <c r="DW12" s="443"/>
      <c r="DX12" s="415" t="s">
        <v>178</v>
      </c>
      <c r="DY12" s="415">
        <v>41470</v>
      </c>
      <c r="DZ12" s="418" t="s">
        <v>499</v>
      </c>
      <c r="EA12" s="203">
        <v>41295</v>
      </c>
      <c r="EB12" s="203">
        <v>41365</v>
      </c>
      <c r="EC12" s="205">
        <v>19</v>
      </c>
      <c r="ED12" s="205">
        <f>EC12+1</f>
        <v>20</v>
      </c>
      <c r="EE12" s="205">
        <f>DATEDIF(EA12,EN12,"M")</f>
        <v>20</v>
      </c>
      <c r="EF12" s="205">
        <f>DATEDIF(EA12,EV12,"M")</f>
        <v>21</v>
      </c>
      <c r="EG12" s="205">
        <f>EE12-EC12</f>
        <v>1</v>
      </c>
      <c r="EH12" s="205">
        <f>EF12-ED12</f>
        <v>1</v>
      </c>
      <c r="EI12" s="409">
        <f>403704.659129873/12</f>
        <v>33642.054927489415</v>
      </c>
      <c r="EJ12" s="409">
        <f>EI12*(EE12-EC12)</f>
        <v>33642.054927489415</v>
      </c>
      <c r="EK12" s="203" t="s">
        <v>178</v>
      </c>
      <c r="EL12" s="203">
        <v>41883</v>
      </c>
      <c r="EM12" s="203">
        <v>41883</v>
      </c>
      <c r="EN12" s="203">
        <v>41927</v>
      </c>
      <c r="EO12" s="203"/>
      <c r="EP12" s="203"/>
      <c r="EQ12" s="333" t="s">
        <v>464</v>
      </c>
      <c r="ER12" s="333"/>
      <c r="ES12" s="203">
        <v>41935</v>
      </c>
      <c r="ET12" s="413"/>
      <c r="EU12" s="203">
        <v>41955</v>
      </c>
      <c r="EV12" s="230">
        <v>41955</v>
      </c>
      <c r="EW12" s="203"/>
      <c r="EX12" s="203"/>
      <c r="EY12" s="213" t="s">
        <v>892</v>
      </c>
      <c r="EZ12" s="213"/>
      <c r="FA12" s="213"/>
      <c r="FB12" s="213"/>
      <c r="FC12" s="212"/>
      <c r="FD12" s="347">
        <v>42250</v>
      </c>
      <c r="FE12" s="347">
        <f>DATE(YEAR(EN12)+1,MONTH(EN12),DAY(EN12))</f>
        <v>42292</v>
      </c>
      <c r="FF12" s="347">
        <v>41968</v>
      </c>
      <c r="FG12" s="213">
        <v>41969</v>
      </c>
      <c r="FH12" s="213" t="s">
        <v>178</v>
      </c>
      <c r="FI12" s="213">
        <v>42306</v>
      </c>
      <c r="FJ12" s="212"/>
      <c r="FK12" s="347" t="s">
        <v>178</v>
      </c>
      <c r="FL12" s="201">
        <v>42475</v>
      </c>
      <c r="FM12" s="201"/>
      <c r="FN12" s="213">
        <v>42219</v>
      </c>
      <c r="FO12" s="213"/>
      <c r="FP12" s="294"/>
      <c r="FQ12" s="23">
        <f>+GA12+GE12+GL12+HF12</f>
        <v>9693250</v>
      </c>
      <c r="FR12" s="28">
        <f>GB12+GF12+GM12+HF12+GK12+GQ12</f>
        <v>9756378.3699999992</v>
      </c>
      <c r="FS12" s="25">
        <f>FR12-FQ12</f>
        <v>63128.36999999918</v>
      </c>
      <c r="FT12" s="25">
        <f>FR12/AG12</f>
        <v>2132.327322280164</v>
      </c>
      <c r="FU12" s="25">
        <f>FR12/AD12</f>
        <v>116147.36154761903</v>
      </c>
      <c r="FV12" s="23">
        <v>8749715</v>
      </c>
      <c r="FW12" s="24"/>
      <c r="FX12" s="25">
        <f>FW12-FV12</f>
        <v>-8749715</v>
      </c>
      <c r="FY12" s="231">
        <f>FV12*1.021/FQ12</f>
        <v>0.92161648724627954</v>
      </c>
      <c r="FZ12" s="232"/>
      <c r="GA12" s="23">
        <v>3263643</v>
      </c>
      <c r="GB12" s="24">
        <v>3263643</v>
      </c>
      <c r="GC12" s="50">
        <f>GB12/AD12</f>
        <v>38852.892857142855</v>
      </c>
      <c r="GD12" s="73">
        <f>GB12-GA12</f>
        <v>0</v>
      </c>
      <c r="GE12" s="23">
        <v>6429606</v>
      </c>
      <c r="GF12" s="24">
        <f>+GG12+GH12</f>
        <v>6429606.3699999992</v>
      </c>
      <c r="GG12" s="26">
        <v>1639468.02</v>
      </c>
      <c r="GH12" s="26">
        <v>4790138.3499999996</v>
      </c>
      <c r="GI12" s="73">
        <f>GF12-GE12</f>
        <v>0.36999999918043613</v>
      </c>
      <c r="GJ12" s="50">
        <f>GF12/AD12</f>
        <v>76542.932976190466</v>
      </c>
      <c r="GK12" s="24">
        <v>0</v>
      </c>
      <c r="GL12" s="23">
        <v>1</v>
      </c>
      <c r="GM12" s="30">
        <v>1</v>
      </c>
      <c r="GN12" s="123"/>
      <c r="GO12" s="76">
        <f>GM12/FR12</f>
        <v>1.0249704983510188E-7</v>
      </c>
      <c r="GP12" s="590"/>
      <c r="GQ12" s="30">
        <v>63128</v>
      </c>
      <c r="GR12" s="51">
        <f>GM12-GL12</f>
        <v>0</v>
      </c>
      <c r="GS12" s="50">
        <f>GM12/AD12</f>
        <v>1.1904761904761904E-2</v>
      </c>
      <c r="GT12" s="98"/>
      <c r="GU12" s="51">
        <f>GR12/AD12</f>
        <v>0</v>
      </c>
      <c r="GV12" s="97"/>
      <c r="GW12" s="97"/>
      <c r="GX12" s="75">
        <v>0</v>
      </c>
      <c r="GY12" s="75">
        <v>0</v>
      </c>
      <c r="GZ12" s="50">
        <f>(GB12+GM12+GY12)/AD12</f>
        <v>38852.904761904763</v>
      </c>
      <c r="HA12" s="75">
        <v>0</v>
      </c>
      <c r="HB12" s="50">
        <f>(GB12+GM12+GY12+HA12)/AD12</f>
        <v>38852.904761904763</v>
      </c>
      <c r="HC12" s="99">
        <f>(GB12+GM12+GY12+HA12)/(GX12+FR12-HD12)</f>
        <v>0.33451388171203122</v>
      </c>
      <c r="HD12" s="75"/>
      <c r="HE12" s="75"/>
      <c r="HF12" s="24">
        <v>0</v>
      </c>
      <c r="HG12" s="77">
        <f>FR12+GX12</f>
        <v>9756378.3699999992</v>
      </c>
      <c r="HH12" s="491"/>
      <c r="HI12" s="491"/>
      <c r="HJ12" s="494"/>
      <c r="HK12" s="491"/>
      <c r="HL12" s="477"/>
      <c r="HM12" s="477">
        <f>DATE(YEAR(HL12),MONTH(HL12),DAY(HL12)+21)</f>
        <v>21</v>
      </c>
      <c r="HN12" s="477"/>
      <c r="HO12" s="497" t="str">
        <f>IF(AND(HM12&gt;0,HN12&gt;0),HN12-HM12,"0")</f>
        <v>0</v>
      </c>
      <c r="HP12" s="477"/>
      <c r="HQ12" s="481" t="str">
        <f>IF(AND(HN12&gt;0,HP12&gt;0),HP12-HN12,"0")</f>
        <v>0</v>
      </c>
      <c r="HR12" s="497">
        <f>+HQ12-30</f>
        <v>-30</v>
      </c>
      <c r="HS12" s="506" t="str">
        <f>IF(AND(HL12&gt;0,HP12&gt;0),HP12-HL12,"0")</f>
        <v>0</v>
      </c>
      <c r="HT12" s="477"/>
      <c r="HU12" s="497" t="str">
        <f>IF(AND(HP12&gt;0,HT12&gt;0),HT12-HP12,"0")</f>
        <v>0</v>
      </c>
      <c r="HV12" s="477">
        <f>DATE(YEAR(HT12),MONTH(HT12),DAY(HT12)+21)</f>
        <v>21</v>
      </c>
      <c r="HW12" s="477"/>
      <c r="HX12" s="497" t="str">
        <f>IF(AND(HV12&gt;0,HW12&gt;0),HW12-HV12,"0")</f>
        <v>0</v>
      </c>
      <c r="HY12" s="476"/>
      <c r="HZ12" s="481" t="str">
        <f>IF(AND(HW12&gt;0,HY12&gt;0),HY12-HW12,"0")</f>
        <v>0</v>
      </c>
      <c r="IA12" s="497">
        <f>+HZ12-30</f>
        <v>-30</v>
      </c>
      <c r="IB12" s="506" t="str">
        <f>IF(AND(HT12&gt;0,HY12&gt;0),HY12-HT12,"0")</f>
        <v>0</v>
      </c>
      <c r="IC12" s="490"/>
      <c r="ID12" s="491"/>
      <c r="IE12" s="477"/>
      <c r="IF12" s="477"/>
      <c r="IG12" s="494"/>
      <c r="IH12" s="491"/>
      <c r="II12" s="478"/>
      <c r="IJ12" s="497" t="str">
        <f>IF(AND(HY12&gt;0,II12&gt;0),II12-HY12,"0")</f>
        <v>0</v>
      </c>
      <c r="IK12" s="478">
        <f>DATE(YEAR(II12),MONTH(II12),DAY(II12)+30)</f>
        <v>30</v>
      </c>
      <c r="IL12" s="478"/>
      <c r="IM12" s="497" t="str">
        <f>IF(AND(IK12&gt;0,IL12&gt;0),IL12-IK12,"0")</f>
        <v>0</v>
      </c>
      <c r="IN12" s="478"/>
      <c r="IO12" s="481" t="str">
        <f>IF(AND(IL12&gt;0,IN12&gt;0),IN12-IL12,"0")</f>
        <v>0</v>
      </c>
      <c r="IP12" s="497">
        <f>+IO12-30</f>
        <v>-30</v>
      </c>
      <c r="IQ12" s="506" t="str">
        <f>IF(AND(II12&gt;0,IN12&gt;0),IN12-II12,"0")</f>
        <v>0</v>
      </c>
      <c r="IR12" s="490"/>
      <c r="IS12" s="491"/>
      <c r="IT12" s="478"/>
      <c r="IU12" s="498" t="str">
        <f>IF(AND(IN12&gt;0,IT12&gt;0),IT12-IN12,"0")</f>
        <v>0</v>
      </c>
      <c r="IV12" s="478">
        <f>DATE(YEAR(IT12),MONTH(IT12),DAY(IT12)+30)</f>
        <v>30</v>
      </c>
      <c r="IW12" s="478"/>
      <c r="IX12" s="498" t="str">
        <f>IF(AND(IV12&gt;0,IW12&gt;0),IW12-IV12,"0")</f>
        <v>0</v>
      </c>
      <c r="IY12" s="478"/>
      <c r="IZ12" s="482" t="str">
        <f>IF(AND(IW12&gt;0,IY12&gt;0),IY12-IW12,"0")</f>
        <v>0</v>
      </c>
      <c r="JA12" s="498">
        <f>IZ12-30</f>
        <v>-30</v>
      </c>
      <c r="JB12" s="508" t="str">
        <f>IF(AND(IT12&gt;0,IY12&gt;0),IY12-IT12,"0")</f>
        <v>0</v>
      </c>
      <c r="JC12" s="490"/>
      <c r="JD12" s="491"/>
      <c r="JE12" s="212"/>
      <c r="JF12" s="487" t="str">
        <f>IF(AND(IY12&gt;0,JE12&gt;0),JE12-IY12,"0")</f>
        <v>0</v>
      </c>
      <c r="JG12" s="212">
        <f>DATE(YEAR(JE12),MONTH(JE12),DAY(JE12)+15)</f>
        <v>15</v>
      </c>
      <c r="JH12" s="212"/>
      <c r="JI12" s="487" t="str">
        <f>IF(AND(JG12&gt;0,JH12&gt;0),JH12-JG12,"0")</f>
        <v>0</v>
      </c>
      <c r="JJ12" s="212">
        <f>DATE(YEAR(JH12),MONTH(JH12),DAY(JH12)+15)</f>
        <v>15</v>
      </c>
      <c r="JK12" s="212"/>
      <c r="JL12" s="487" t="str">
        <f>IF(AND(JJ12&gt;0,JK12&gt;0),JK12-JJ12,"0")</f>
        <v>0</v>
      </c>
      <c r="JM12" s="509" t="str">
        <f>IF(AND(JE12&gt;0,JK12&gt;0),JK12-JE12,"0")</f>
        <v>0</v>
      </c>
      <c r="JN12" s="499"/>
      <c r="JO12" s="501" t="str">
        <f>IF(AND(JK12&gt;0,JN12&gt;0),JN12-JK12,"0")</f>
        <v>0</v>
      </c>
      <c r="JP12" s="498">
        <f>JO12-60</f>
        <v>-60</v>
      </c>
      <c r="JQ12" s="482">
        <f>291/30</f>
        <v>9.6999999999999993</v>
      </c>
      <c r="JR12" s="504">
        <f>((+HS12+HU12+IB12+IJ12+IQ12+IU12+JB12+JI12+JF12)/30)-JQ12</f>
        <v>-9.6999999999999993</v>
      </c>
      <c r="JS12" s="490"/>
      <c r="JT12" s="491"/>
      <c r="JU12" s="490"/>
      <c r="JV12" s="491"/>
      <c r="JW12" s="488"/>
      <c r="JX12" s="488"/>
      <c r="JY12" s="488"/>
      <c r="JZ12" s="488"/>
    </row>
    <row r="13" spans="1:286" s="31" customFormat="1" ht="84.75" hidden="1" customHeight="1" x14ac:dyDescent="0.25">
      <c r="A13" s="52" t="s">
        <v>92</v>
      </c>
      <c r="B13" s="20" t="s">
        <v>53</v>
      </c>
      <c r="C13" s="20" t="s">
        <v>159</v>
      </c>
      <c r="D13" s="20">
        <v>2012</v>
      </c>
      <c r="E13" s="20" t="s">
        <v>102</v>
      </c>
      <c r="F13" s="20" t="s">
        <v>40</v>
      </c>
      <c r="G13" s="20" t="s">
        <v>276</v>
      </c>
      <c r="H13" s="20" t="s">
        <v>643</v>
      </c>
      <c r="I13" s="110" t="s">
        <v>168</v>
      </c>
      <c r="J13" s="110"/>
      <c r="K13" s="453"/>
      <c r="L13" s="290"/>
      <c r="M13" s="290"/>
      <c r="N13" s="290"/>
      <c r="O13" s="379">
        <v>2671</v>
      </c>
      <c r="P13" s="379">
        <v>176000</v>
      </c>
      <c r="Q13" s="379">
        <v>110833</v>
      </c>
      <c r="R13" s="379">
        <f>P13/AD13</f>
        <v>12571.428571428571</v>
      </c>
      <c r="S13" s="379">
        <f>P13/O13</f>
        <v>65.89292399850244</v>
      </c>
      <c r="T13" s="379">
        <f>Q13/O13</f>
        <v>41.494945713216026</v>
      </c>
      <c r="U13" s="379">
        <f>Q13/AH13</f>
        <v>99.936881779573142</v>
      </c>
      <c r="V13" s="379">
        <f>Q13/AD13</f>
        <v>7916.6428571428569</v>
      </c>
      <c r="W13" s="379">
        <f>O13/AD13</f>
        <v>190.78571428571428</v>
      </c>
      <c r="X13" s="380">
        <v>748.11</v>
      </c>
      <c r="Y13" s="381">
        <f>AH13/O13</f>
        <v>0.41521153126169974</v>
      </c>
      <c r="Z13" s="380" t="s">
        <v>327</v>
      </c>
      <c r="AA13" s="382"/>
      <c r="AB13" s="382"/>
      <c r="AC13" s="20" t="s">
        <v>26</v>
      </c>
      <c r="AD13" s="640">
        <f>AE13+AF13</f>
        <v>14</v>
      </c>
      <c r="AE13" s="21"/>
      <c r="AF13" s="20">
        <v>14</v>
      </c>
      <c r="AG13" s="22">
        <v>1109.03</v>
      </c>
      <c r="AH13" s="139">
        <v>1109.03</v>
      </c>
      <c r="AI13" s="22">
        <f>AH13/AD13</f>
        <v>79.216428571428565</v>
      </c>
      <c r="AJ13" s="135">
        <f>3/AD13</f>
        <v>0.21428571428571427</v>
      </c>
      <c r="AK13" s="135">
        <f>3/AD13</f>
        <v>0.21428571428571427</v>
      </c>
      <c r="AL13" s="135">
        <f>6/AD13</f>
        <v>0.42857142857142855</v>
      </c>
      <c r="AM13" s="135">
        <f>1/AD13</f>
        <v>7.1428571428571425E-2</v>
      </c>
      <c r="AN13" s="135">
        <f>1/AD13</f>
        <v>7.1428571428571425E-2</v>
      </c>
      <c r="AO13" s="22">
        <v>1000</v>
      </c>
      <c r="AP13" s="133"/>
      <c r="AQ13" s="135">
        <f>AP13/O13</f>
        <v>0</v>
      </c>
      <c r="AR13" s="114">
        <v>3</v>
      </c>
      <c r="AS13" s="233">
        <v>1</v>
      </c>
      <c r="AT13" s="116"/>
      <c r="AU13" s="116"/>
      <c r="AV13" s="22"/>
      <c r="AW13" s="332">
        <v>40610</v>
      </c>
      <c r="AX13" s="332"/>
      <c r="AY13" s="332">
        <v>40963</v>
      </c>
      <c r="AZ13" s="332" t="s">
        <v>230</v>
      </c>
      <c r="BA13" s="332"/>
      <c r="BB13" s="332"/>
      <c r="BC13" s="332"/>
      <c r="BD13" s="332"/>
      <c r="BE13" s="332">
        <v>40882</v>
      </c>
      <c r="BF13" s="332"/>
      <c r="BG13" s="332"/>
      <c r="BH13" s="332"/>
      <c r="BI13" s="332">
        <v>41267</v>
      </c>
      <c r="BJ13" s="332"/>
      <c r="BK13" s="332" t="s">
        <v>178</v>
      </c>
      <c r="BL13" s="332" t="s">
        <v>178</v>
      </c>
      <c r="BM13" s="332" t="s">
        <v>178</v>
      </c>
      <c r="BN13" s="344" t="s">
        <v>17</v>
      </c>
      <c r="BO13" s="344" t="s">
        <v>178</v>
      </c>
      <c r="BP13" s="339"/>
      <c r="BQ13" s="343"/>
      <c r="BR13" s="343"/>
      <c r="BS13" s="344" t="s">
        <v>350</v>
      </c>
      <c r="BT13" s="5"/>
      <c r="BU13" s="376">
        <v>41170</v>
      </c>
      <c r="BV13" s="160"/>
      <c r="BW13" s="160"/>
      <c r="BX13" s="160"/>
      <c r="BY13" s="160"/>
      <c r="BZ13" s="376">
        <v>41248</v>
      </c>
      <c r="CA13" s="160"/>
      <c r="CB13" s="72"/>
      <c r="CC13" s="362"/>
      <c r="CD13" s="164"/>
      <c r="CE13" s="164"/>
      <c r="CF13" s="568"/>
      <c r="CG13" s="569">
        <f>DATE(YEAR(CF13),MONTH(CF13)+24,DAY(CF13))</f>
        <v>731</v>
      </c>
      <c r="CH13" s="569">
        <f>DATE(YEAR(CF13),MONTH(CF13)+36,DAY(CF13))</f>
        <v>1096</v>
      </c>
      <c r="CI13" s="569" t="str">
        <f>IF(EV13&lt;$CG$11,"oui","non")</f>
        <v>oui</v>
      </c>
      <c r="CJ13" s="164"/>
      <c r="CK13" s="72"/>
      <c r="CL13" s="72"/>
      <c r="CM13" s="362"/>
      <c r="CN13" s="72"/>
      <c r="CO13" s="72"/>
      <c r="CP13" s="69"/>
      <c r="CQ13" s="364"/>
      <c r="CR13" s="69"/>
      <c r="CS13" s="69"/>
      <c r="CT13" s="69"/>
      <c r="CU13" s="364"/>
      <c r="CV13" s="69"/>
      <c r="CW13" s="69"/>
      <c r="CX13" s="69"/>
      <c r="CY13" s="364"/>
      <c r="CZ13" s="69"/>
      <c r="DA13" s="69"/>
      <c r="DB13" s="296" t="s">
        <v>88</v>
      </c>
      <c r="DC13" s="300">
        <v>49348</v>
      </c>
      <c r="DD13" s="300">
        <f>DC13*3/5</f>
        <v>29608.799999999999</v>
      </c>
      <c r="DE13" s="291"/>
      <c r="DF13" s="291"/>
      <c r="DG13" s="291"/>
      <c r="DH13" s="312"/>
      <c r="DI13" s="291"/>
      <c r="DJ13" s="291"/>
      <c r="DK13" s="292"/>
      <c r="DL13" s="293"/>
      <c r="DM13" s="293"/>
      <c r="DN13" s="292"/>
      <c r="DO13" s="292"/>
      <c r="DP13" s="293"/>
      <c r="DQ13" s="304">
        <v>41255</v>
      </c>
      <c r="DR13" s="443"/>
      <c r="DS13" s="443"/>
      <c r="DT13" s="297">
        <v>2312263.67</v>
      </c>
      <c r="DU13" s="304">
        <f>DATE(YEAR(DQ13),MONTH(DQ13)+18,DAY(DQ13))</f>
        <v>41802</v>
      </c>
      <c r="DV13" s="443"/>
      <c r="DW13" s="443"/>
      <c r="DX13" s="415" t="s">
        <v>178</v>
      </c>
      <c r="DY13" s="415" t="s">
        <v>178</v>
      </c>
      <c r="DZ13" s="415" t="s">
        <v>178</v>
      </c>
      <c r="EA13" s="203">
        <v>41309</v>
      </c>
      <c r="EB13" s="203">
        <v>41401</v>
      </c>
      <c r="EC13" s="205">
        <v>13</v>
      </c>
      <c r="ED13" s="205">
        <f>EC13+1</f>
        <v>14</v>
      </c>
      <c r="EE13" s="205">
        <f>DATEDIF(EA13,EN13,"M")</f>
        <v>20</v>
      </c>
      <c r="EF13" s="205">
        <f>DATEDIF(EA13,EV13,"M")</f>
        <v>21</v>
      </c>
      <c r="EG13" s="205">
        <f>EE13-EC13</f>
        <v>7</v>
      </c>
      <c r="EH13" s="205">
        <f>EF13-ED13</f>
        <v>7</v>
      </c>
      <c r="EI13" s="409">
        <f>69329.9630502528/12</f>
        <v>5777.4969208543998</v>
      </c>
      <c r="EJ13" s="409">
        <f>EI13*(EE13-EC13)</f>
        <v>40442.4784459808</v>
      </c>
      <c r="EK13" s="203" t="s">
        <v>178</v>
      </c>
      <c r="EL13" s="203">
        <v>41890</v>
      </c>
      <c r="EM13" s="203">
        <v>41872</v>
      </c>
      <c r="EN13" s="203">
        <v>41943</v>
      </c>
      <c r="EO13" s="203"/>
      <c r="EP13" s="203" t="s">
        <v>178</v>
      </c>
      <c r="EQ13" s="203"/>
      <c r="ER13" s="203"/>
      <c r="ES13" s="203">
        <v>41983</v>
      </c>
      <c r="ET13" s="203"/>
      <c r="EU13" s="203">
        <v>41949</v>
      </c>
      <c r="EV13" s="203">
        <v>41947</v>
      </c>
      <c r="EW13" s="203"/>
      <c r="EX13" s="203"/>
      <c r="EY13" s="328" t="s">
        <v>896</v>
      </c>
      <c r="EZ13" s="213"/>
      <c r="FA13" s="213"/>
      <c r="FB13" s="213"/>
      <c r="FC13" s="213" t="s">
        <v>178</v>
      </c>
      <c r="FD13" s="202"/>
      <c r="FE13" s="213" t="s">
        <v>237</v>
      </c>
      <c r="FF13" s="347">
        <v>41969</v>
      </c>
      <c r="FG13" s="347">
        <v>41984</v>
      </c>
      <c r="FH13" s="347">
        <v>42324</v>
      </c>
      <c r="FI13" s="347">
        <v>42324</v>
      </c>
      <c r="FJ13" s="212"/>
      <c r="FK13" s="213">
        <v>42426</v>
      </c>
      <c r="FL13" s="628" t="s">
        <v>1049</v>
      </c>
      <c r="FM13" s="212"/>
      <c r="FN13" s="347">
        <v>42426</v>
      </c>
      <c r="FO13" s="347"/>
      <c r="FP13" s="294"/>
      <c r="FQ13" s="23">
        <f>+GA13+GE13+GL13+HF13</f>
        <v>2268881</v>
      </c>
      <c r="FR13" s="28">
        <f>GB13+GF13+GM13+HF13+GK13+GQ13+GN13</f>
        <v>2368881</v>
      </c>
      <c r="FS13" s="25">
        <f>FR13-FQ13</f>
        <v>100000</v>
      </c>
      <c r="FT13" s="25">
        <f>FR13/AG13</f>
        <v>2135.9936160428483</v>
      </c>
      <c r="FU13" s="25">
        <f>FR13/AD13</f>
        <v>169205.78571428571</v>
      </c>
      <c r="FV13" s="23"/>
      <c r="FW13" s="24">
        <v>2068826</v>
      </c>
      <c r="FX13" s="25">
        <f>FW13-FV13</f>
        <v>2068826</v>
      </c>
      <c r="FY13" s="231">
        <f>FV13*1.021/FQ13</f>
        <v>0</v>
      </c>
      <c r="FZ13" s="232"/>
      <c r="GA13" s="23">
        <v>745095</v>
      </c>
      <c r="GB13" s="24">
        <v>745095</v>
      </c>
      <c r="GC13" s="50">
        <f>GB13/AD13</f>
        <v>53221.071428571428</v>
      </c>
      <c r="GD13" s="73">
        <f>GB13-GA13</f>
        <v>0</v>
      </c>
      <c r="GE13" s="23">
        <v>1240121</v>
      </c>
      <c r="GF13" s="24">
        <f>+GG13+GH13</f>
        <v>1240121</v>
      </c>
      <c r="GG13" s="26">
        <v>347814</v>
      </c>
      <c r="GH13" s="26">
        <v>892307</v>
      </c>
      <c r="GI13" s="73">
        <f>GF13-GE13</f>
        <v>0</v>
      </c>
      <c r="GJ13" s="50">
        <f>GF13/AD13</f>
        <v>88580.071428571435</v>
      </c>
      <c r="GK13" s="24">
        <v>100000</v>
      </c>
      <c r="GL13" s="23">
        <f>89905+70000</f>
        <v>159905</v>
      </c>
      <c r="GM13" s="30">
        <v>89905</v>
      </c>
      <c r="GN13" s="123">
        <v>70000</v>
      </c>
      <c r="GO13" s="76">
        <f>GM13/FR13</f>
        <v>3.7952518509794288E-2</v>
      </c>
      <c r="GP13" s="590"/>
      <c r="GQ13" s="30">
        <v>0</v>
      </c>
      <c r="GR13" s="51">
        <f>GM13-GL13</f>
        <v>-70000</v>
      </c>
      <c r="GS13" s="50">
        <f>GM13/AD13</f>
        <v>6421.7857142857147</v>
      </c>
      <c r="GT13" s="98"/>
      <c r="GU13" s="51">
        <f>GR13/AD13</f>
        <v>-5000</v>
      </c>
      <c r="GV13" s="97"/>
      <c r="GW13" s="97"/>
      <c r="GX13" s="75">
        <v>339632.49384750001</v>
      </c>
      <c r="GY13" s="75">
        <v>210000</v>
      </c>
      <c r="GZ13" s="50">
        <f>(GB13+GM13+GY13)/AD13</f>
        <v>74642.857142857145</v>
      </c>
      <c r="HA13" s="75">
        <v>0</v>
      </c>
      <c r="HB13" s="50">
        <f>(GB13+GM13+GY13+HA13)/AD13</f>
        <v>74642.857142857145</v>
      </c>
      <c r="HC13" s="99">
        <f>(GB13+GM13+GY13+HA13)/(GX13+FR13-HD13)</f>
        <v>0.40351792401683728</v>
      </c>
      <c r="HD13" s="75">
        <v>118789.62334999999</v>
      </c>
      <c r="HE13" s="75"/>
      <c r="HF13" s="631">
        <v>123760</v>
      </c>
      <c r="HG13" s="77">
        <f>FR13+GX13</f>
        <v>2708513.4938475001</v>
      </c>
      <c r="HH13" s="491"/>
      <c r="HI13" s="491"/>
      <c r="HJ13" s="494"/>
      <c r="HK13" s="491"/>
      <c r="HL13" s="477"/>
      <c r="HM13" s="477">
        <f>DATE(YEAR(HL13),MONTH(HL13),DAY(HL13)+21)</f>
        <v>21</v>
      </c>
      <c r="HN13" s="477"/>
      <c r="HO13" s="497" t="str">
        <f>IF(AND(HM13&gt;0,HN13&gt;0),HN13-HM13,"0")</f>
        <v>0</v>
      </c>
      <c r="HP13" s="477"/>
      <c r="HQ13" s="481" t="str">
        <f>IF(AND(HN13&gt;0,HP13&gt;0),HP13-HN13,"0")</f>
        <v>0</v>
      </c>
      <c r="HR13" s="497">
        <f>+HQ13-30</f>
        <v>-30</v>
      </c>
      <c r="HS13" s="506" t="str">
        <f>IF(AND(HL13&gt;0,HP13&gt;0),HP13-HL13,"0")</f>
        <v>0</v>
      </c>
      <c r="HT13" s="477"/>
      <c r="HU13" s="497" t="str">
        <f>IF(AND(HP13&gt;0,HT13&gt;0),HT13-HP13,"0")</f>
        <v>0</v>
      </c>
      <c r="HV13" s="477">
        <f>DATE(YEAR(HT13),MONTH(HT13),DAY(HT13)+21)</f>
        <v>21</v>
      </c>
      <c r="HW13" s="477"/>
      <c r="HX13" s="497" t="str">
        <f>IF(AND(HV13&gt;0,HW13&gt;0),HW13-HV13,"0")</f>
        <v>0</v>
      </c>
      <c r="HY13" s="476"/>
      <c r="HZ13" s="481" t="str">
        <f>IF(AND(HW13&gt;0,HY13&gt;0),HY13-HW13,"0")</f>
        <v>0</v>
      </c>
      <c r="IA13" s="497">
        <f>+HZ13-30</f>
        <v>-30</v>
      </c>
      <c r="IB13" s="506" t="str">
        <f>IF(AND(HT13&gt;0,HY13&gt;0),HY13-HT13,"0")</f>
        <v>0</v>
      </c>
      <c r="IC13" s="490"/>
      <c r="ID13" s="491"/>
      <c r="IE13" s="477"/>
      <c r="IF13" s="477"/>
      <c r="IG13" s="494"/>
      <c r="IH13" s="491"/>
      <c r="II13" s="478"/>
      <c r="IJ13" s="497" t="str">
        <f>IF(AND(HY13&gt;0,II13&gt;0),II13-HY13,"0")</f>
        <v>0</v>
      </c>
      <c r="IK13" s="478">
        <f>DATE(YEAR(II13),MONTH(II13),DAY(II13)+30)</f>
        <v>30</v>
      </c>
      <c r="IL13" s="478"/>
      <c r="IM13" s="497" t="str">
        <f>IF(AND(IK13&gt;0,IL13&gt;0),IL13-IK13,"0")</f>
        <v>0</v>
      </c>
      <c r="IN13" s="478"/>
      <c r="IO13" s="481" t="str">
        <f>IF(AND(IL13&gt;0,IN13&gt;0),IN13-IL13,"0")</f>
        <v>0</v>
      </c>
      <c r="IP13" s="497">
        <f>+IO13-30</f>
        <v>-30</v>
      </c>
      <c r="IQ13" s="506" t="str">
        <f>IF(AND(II13&gt;0,IN13&gt;0),IN13-II13,"0")</f>
        <v>0</v>
      </c>
      <c r="IR13" s="490"/>
      <c r="IS13" s="491"/>
      <c r="IT13" s="478"/>
      <c r="IU13" s="498" t="str">
        <f>IF(AND(IN13&gt;0,IT13&gt;0),IT13-IN13,"0")</f>
        <v>0</v>
      </c>
      <c r="IV13" s="478">
        <f>DATE(YEAR(IT13),MONTH(IT13),DAY(IT13)+30)</f>
        <v>30</v>
      </c>
      <c r="IW13" s="478"/>
      <c r="IX13" s="498" t="str">
        <f>IF(AND(IV13&gt;0,IW13&gt;0),IW13-IV13,"0")</f>
        <v>0</v>
      </c>
      <c r="IY13" s="478"/>
      <c r="IZ13" s="482" t="str">
        <f>IF(AND(IW13&gt;0,IY13&gt;0),IY13-IW13,"0")</f>
        <v>0</v>
      </c>
      <c r="JA13" s="498">
        <f>IZ13-30</f>
        <v>-30</v>
      </c>
      <c r="JB13" s="508" t="str">
        <f>IF(AND(IT13&gt;0,IY13&gt;0),IY13-IT13,"0")</f>
        <v>0</v>
      </c>
      <c r="JC13" s="490"/>
      <c r="JD13" s="491"/>
      <c r="JE13" s="212"/>
      <c r="JF13" s="487" t="str">
        <f>IF(AND(IY13&gt;0,JE13&gt;0),JE13-IY13,"0")</f>
        <v>0</v>
      </c>
      <c r="JG13" s="212">
        <f>DATE(YEAR(JE13),MONTH(JE13),DAY(JE13)+15)</f>
        <v>15</v>
      </c>
      <c r="JH13" s="212"/>
      <c r="JI13" s="487" t="str">
        <f>IF(AND(JG13&gt;0,JH13&gt;0),JH13-JG13,"0")</f>
        <v>0</v>
      </c>
      <c r="JJ13" s="212">
        <f>DATE(YEAR(JH13),MONTH(JH13),DAY(JH13)+15)</f>
        <v>15</v>
      </c>
      <c r="JK13" s="212"/>
      <c r="JL13" s="487" t="str">
        <f>IF(AND(JJ13&gt;0,JK13&gt;0),JK13-JJ13,"0")</f>
        <v>0</v>
      </c>
      <c r="JM13" s="509" t="str">
        <f>IF(AND(JE13&gt;0,JK13&gt;0),JK13-JE13,"0")</f>
        <v>0</v>
      </c>
      <c r="JN13" s="499"/>
      <c r="JO13" s="501" t="str">
        <f>IF(AND(JK13&gt;0,JN13&gt;0),JN13-JK13,"0")</f>
        <v>0</v>
      </c>
      <c r="JP13" s="498">
        <f>JO13-60</f>
        <v>-60</v>
      </c>
      <c r="JQ13" s="482">
        <f>291/30</f>
        <v>9.6999999999999993</v>
      </c>
      <c r="JR13" s="504">
        <f>((+HS13+HU13+IB13+IJ13+IQ13+IU13+JB13+JI13+JF13)/30)-JQ13</f>
        <v>-9.6999999999999993</v>
      </c>
      <c r="JS13" s="490"/>
      <c r="JT13" s="491"/>
      <c r="JU13" s="490"/>
      <c r="JV13" s="491"/>
      <c r="JW13" s="488"/>
      <c r="JX13" s="488"/>
      <c r="JY13" s="488"/>
      <c r="JZ13" s="488"/>
    </row>
    <row r="14" spans="1:286" s="31" customFormat="1" ht="144.75" hidden="1" customHeight="1" x14ac:dyDescent="0.25">
      <c r="A14" s="141" t="s">
        <v>640</v>
      </c>
      <c r="B14" s="20" t="s">
        <v>46</v>
      </c>
      <c r="C14" s="20" t="s">
        <v>157</v>
      </c>
      <c r="D14" s="20">
        <v>2012</v>
      </c>
      <c r="E14" s="20" t="s">
        <v>109</v>
      </c>
      <c r="F14" s="20" t="s">
        <v>638</v>
      </c>
      <c r="G14" s="20" t="s">
        <v>719</v>
      </c>
      <c r="H14" s="20" t="s">
        <v>244</v>
      </c>
      <c r="I14" s="110"/>
      <c r="J14" s="110"/>
      <c r="K14" s="453"/>
      <c r="L14" s="290"/>
      <c r="M14" s="290"/>
      <c r="N14" s="290"/>
      <c r="O14" s="379">
        <v>2666</v>
      </c>
      <c r="P14" s="379">
        <v>209000</v>
      </c>
      <c r="Q14" s="379">
        <v>154394</v>
      </c>
      <c r="R14" s="379">
        <f>P14/AD14</f>
        <v>12294.117647058823</v>
      </c>
      <c r="S14" s="379">
        <f>P14/O14</f>
        <v>78.394598649662413</v>
      </c>
      <c r="T14" s="379">
        <f>Q14/O14</f>
        <v>57.912228057014254</v>
      </c>
      <c r="U14" s="379">
        <f>Q14/AH14</f>
        <v>124.49121109498468</v>
      </c>
      <c r="V14" s="379">
        <f>Q14/AD14</f>
        <v>9082</v>
      </c>
      <c r="W14" s="379">
        <f>O14/AD14</f>
        <v>156.8235294117647</v>
      </c>
      <c r="X14" s="379"/>
      <c r="Y14" s="381">
        <f>AH14/O14</f>
        <v>0.46519129782445612</v>
      </c>
      <c r="Z14" s="380" t="s">
        <v>303</v>
      </c>
      <c r="AA14" s="382"/>
      <c r="AB14" s="383"/>
      <c r="AC14" s="20" t="s">
        <v>26</v>
      </c>
      <c r="AD14" s="640">
        <f>AE14+AF14</f>
        <v>17</v>
      </c>
      <c r="AE14" s="21"/>
      <c r="AF14" s="20">
        <v>17</v>
      </c>
      <c r="AG14" s="22">
        <v>1240.2</v>
      </c>
      <c r="AH14" s="139">
        <v>1240.2</v>
      </c>
      <c r="AI14" s="22">
        <f>AH14/AD14</f>
        <v>72.952941176470588</v>
      </c>
      <c r="AJ14" s="114"/>
      <c r="AK14" s="114"/>
      <c r="AL14" s="114"/>
      <c r="AM14" s="114"/>
      <c r="AN14" s="114"/>
      <c r="AO14" s="22">
        <v>760</v>
      </c>
      <c r="AP14" s="133">
        <f>30*10</f>
        <v>300</v>
      </c>
      <c r="AQ14" s="135">
        <f>AP14/O14</f>
        <v>0.11252813203300825</v>
      </c>
      <c r="AR14" s="114">
        <v>3</v>
      </c>
      <c r="AS14" s="233"/>
      <c r="AT14" s="116"/>
      <c r="AU14" s="116"/>
      <c r="AV14" s="22" t="s">
        <v>169</v>
      </c>
      <c r="AW14" s="332">
        <v>40583</v>
      </c>
      <c r="AX14" s="110"/>
      <c r="AY14" s="332">
        <v>40963</v>
      </c>
      <c r="AZ14" s="332" t="s">
        <v>230</v>
      </c>
      <c r="BA14" s="332"/>
      <c r="BB14" s="332"/>
      <c r="BC14" s="332"/>
      <c r="BD14" s="332"/>
      <c r="BE14" s="332"/>
      <c r="BF14" s="332"/>
      <c r="BG14" s="332"/>
      <c r="BH14" s="332"/>
      <c r="BI14" s="332">
        <v>41253</v>
      </c>
      <c r="BJ14" s="332"/>
      <c r="BK14" s="332"/>
      <c r="BL14" s="332" t="s">
        <v>178</v>
      </c>
      <c r="BM14" s="332"/>
      <c r="BN14" s="344" t="s">
        <v>17</v>
      </c>
      <c r="BO14" s="344" t="s">
        <v>178</v>
      </c>
      <c r="BP14" s="339"/>
      <c r="BQ14" s="343"/>
      <c r="BR14" s="343"/>
      <c r="BS14" s="344" t="s">
        <v>347</v>
      </c>
      <c r="BT14" s="5"/>
      <c r="BU14" s="376">
        <v>41170</v>
      </c>
      <c r="BV14" s="160"/>
      <c r="BW14" s="160"/>
      <c r="BX14" s="160"/>
      <c r="BY14" s="160"/>
      <c r="BZ14" s="376">
        <v>41225</v>
      </c>
      <c r="CA14" s="160"/>
      <c r="CB14" s="72"/>
      <c r="CC14" s="362"/>
      <c r="CD14" s="164"/>
      <c r="CE14" s="164"/>
      <c r="CF14" s="569">
        <v>41319</v>
      </c>
      <c r="CG14" s="569">
        <f>DATE(YEAR(CF14),MONTH(CF14)+24,DAY(CF14))</f>
        <v>42049</v>
      </c>
      <c r="CH14" s="569">
        <f>DATE(YEAR(CF14),MONTH(CF14)+36,DAY(CF14))</f>
        <v>42414</v>
      </c>
      <c r="CI14" s="569" t="str">
        <f>IF(EV14&gt;CG14,"oui","non")</f>
        <v>oui</v>
      </c>
      <c r="CJ14" s="164"/>
      <c r="CK14" s="72"/>
      <c r="CL14" s="72"/>
      <c r="CM14" s="362"/>
      <c r="CN14" s="72"/>
      <c r="CO14" s="164"/>
      <c r="CP14" s="69"/>
      <c r="CQ14" s="364"/>
      <c r="CR14" s="69"/>
      <c r="CS14" s="198"/>
      <c r="CT14" s="69"/>
      <c r="CU14" s="364"/>
      <c r="CV14" s="69"/>
      <c r="CW14" s="198"/>
      <c r="CX14" s="69"/>
      <c r="CY14" s="364"/>
      <c r="CZ14" s="69"/>
      <c r="DA14" s="198"/>
      <c r="DB14" s="296" t="s">
        <v>195</v>
      </c>
      <c r="DC14" s="300">
        <v>61319</v>
      </c>
      <c r="DD14" s="300">
        <f>DC14*3/5</f>
        <v>36791.4</v>
      </c>
      <c r="DE14" s="291"/>
      <c r="DF14" s="291"/>
      <c r="DG14" s="291"/>
      <c r="DH14" s="312"/>
      <c r="DI14" s="291"/>
      <c r="DJ14" s="291"/>
      <c r="DK14" s="292"/>
      <c r="DL14" s="293"/>
      <c r="DM14" s="293"/>
      <c r="DN14" s="292"/>
      <c r="DO14" s="292"/>
      <c r="DP14" s="293"/>
      <c r="DQ14" s="304">
        <v>41255</v>
      </c>
      <c r="DR14" s="443"/>
      <c r="DS14" s="443"/>
      <c r="DT14" s="297">
        <v>2504271.14</v>
      </c>
      <c r="DU14" s="304">
        <f>DATE(YEAR(DQ14),MONTH(DQ14)+18,DAY(DQ14))</f>
        <v>41802</v>
      </c>
      <c r="DV14" s="443">
        <v>41744</v>
      </c>
      <c r="DW14" s="443"/>
      <c r="DX14" s="415" t="s">
        <v>178</v>
      </c>
      <c r="DY14" s="415">
        <v>41383</v>
      </c>
      <c r="DZ14" s="415">
        <v>42137</v>
      </c>
      <c r="EA14" s="414">
        <v>41309</v>
      </c>
      <c r="EB14" s="414">
        <v>41358</v>
      </c>
      <c r="EC14" s="451">
        <v>14</v>
      </c>
      <c r="ED14" s="222">
        <f>EC14+2</f>
        <v>16</v>
      </c>
      <c r="EE14" s="342">
        <f>DATEDIF(EA14,EN14,"M")</f>
        <v>46</v>
      </c>
      <c r="EF14" s="422">
        <f>DATEDIF(EA14,EV14,"M")</f>
        <v>46</v>
      </c>
      <c r="EG14" s="342">
        <f>EE14-EC14</f>
        <v>32</v>
      </c>
      <c r="EH14" s="422">
        <f>EF14-ED14</f>
        <v>30</v>
      </c>
      <c r="EI14" s="116">
        <f>79535/12</f>
        <v>6627.916666666667</v>
      </c>
      <c r="EJ14" s="116">
        <f>EI14*(EE14-EC14)</f>
        <v>212093.33333333334</v>
      </c>
      <c r="EK14" s="414" t="s">
        <v>178</v>
      </c>
      <c r="EL14" s="219"/>
      <c r="EM14" s="219"/>
      <c r="EN14" s="414">
        <v>42713</v>
      </c>
      <c r="EO14" s="449">
        <f>DATE(YEAR(DV14)+2,MONTH(DV14),DAY(DV14))</f>
        <v>42475</v>
      </c>
      <c r="EP14" s="220" t="s">
        <v>1002</v>
      </c>
      <c r="EQ14" s="206"/>
      <c r="ER14" s="206"/>
      <c r="ES14" s="414">
        <v>42788</v>
      </c>
      <c r="ET14" s="206" t="s">
        <v>1028</v>
      </c>
      <c r="EU14" s="414" t="s">
        <v>178</v>
      </c>
      <c r="EV14" s="230">
        <v>42726</v>
      </c>
      <c r="EW14" s="414" t="s">
        <v>178</v>
      </c>
      <c r="EX14" s="414"/>
      <c r="EY14" s="516" t="s">
        <v>903</v>
      </c>
      <c r="EZ14" s="207" t="s">
        <v>1029</v>
      </c>
      <c r="FA14" s="207" t="s">
        <v>1030</v>
      </c>
      <c r="FB14" s="207" t="s">
        <v>1030</v>
      </c>
      <c r="FC14" s="207" t="s">
        <v>1031</v>
      </c>
      <c r="FD14" s="466" t="s">
        <v>506</v>
      </c>
      <c r="FE14" s="212"/>
      <c r="FF14" s="347">
        <v>42779</v>
      </c>
      <c r="FG14" s="347">
        <v>42779</v>
      </c>
      <c r="FH14" s="212"/>
      <c r="FI14" s="212"/>
      <c r="FJ14" s="212"/>
      <c r="FK14" s="212"/>
      <c r="FL14" s="212"/>
      <c r="FM14" s="212" t="s">
        <v>977</v>
      </c>
      <c r="FN14" s="212"/>
      <c r="FO14" s="212"/>
      <c r="FP14" s="294"/>
      <c r="FQ14" s="23">
        <f>+GA14+GE14+GL14+HF14</f>
        <v>3231832.2199999997</v>
      </c>
      <c r="FR14" s="28">
        <f>GB14+GF14+GM14+HF14+GK14+GQ14+GN14</f>
        <v>3231832.2199999997</v>
      </c>
      <c r="FS14" s="25">
        <f>FR14-FQ14</f>
        <v>0</v>
      </c>
      <c r="FT14" s="25">
        <f>FR14/AG14</f>
        <v>2605.896000645057</v>
      </c>
      <c r="FU14" s="25">
        <f>FR14/AD14</f>
        <v>190107.7776470588</v>
      </c>
      <c r="FV14" s="23">
        <v>2379882</v>
      </c>
      <c r="FW14" s="24"/>
      <c r="FX14" s="25">
        <f>FW14-FV14</f>
        <v>-2379882</v>
      </c>
      <c r="FY14" s="231">
        <f>FV14*1.021/FQ14</f>
        <v>0.75185200115369855</v>
      </c>
      <c r="FZ14" s="232"/>
      <c r="GA14" s="23">
        <v>750247</v>
      </c>
      <c r="GB14" s="24">
        <v>750247</v>
      </c>
      <c r="GC14" s="50">
        <f>GB14/AD14</f>
        <v>44132.176470588238</v>
      </c>
      <c r="GD14" s="73">
        <f>GB14-GA14</f>
        <v>0</v>
      </c>
      <c r="GE14" s="23">
        <v>1395754</v>
      </c>
      <c r="GF14" s="24">
        <f>+GG14+GH14</f>
        <v>1395754</v>
      </c>
      <c r="GG14" s="26">
        <v>259962</v>
      </c>
      <c r="GH14" s="26">
        <v>1135792</v>
      </c>
      <c r="GI14" s="73">
        <f>GF14-GE14</f>
        <v>0</v>
      </c>
      <c r="GJ14" s="50">
        <f>GF14/AD14</f>
        <v>82103.176470588238</v>
      </c>
      <c r="GK14" s="24">
        <v>0</v>
      </c>
      <c r="GL14" s="23">
        <f>254997+85000</f>
        <v>339997</v>
      </c>
      <c r="GM14" s="30">
        <v>254997</v>
      </c>
      <c r="GN14" s="123">
        <v>85000</v>
      </c>
      <c r="GO14" s="76">
        <f>GM14/FR14</f>
        <v>7.8901682587965538E-2</v>
      </c>
      <c r="GP14" s="590"/>
      <c r="GQ14" s="30">
        <v>0</v>
      </c>
      <c r="GR14" s="51">
        <f>GM14-GL14</f>
        <v>-85000</v>
      </c>
      <c r="GS14" s="50">
        <f>GM14/AD14</f>
        <v>14999.823529411764</v>
      </c>
      <c r="GT14" s="98"/>
      <c r="GU14" s="51">
        <f>GR14/AD14</f>
        <v>-5000</v>
      </c>
      <c r="GV14" s="97"/>
      <c r="GW14" s="97"/>
      <c r="GX14" s="75">
        <v>508572.84914999997</v>
      </c>
      <c r="GY14" s="75">
        <v>340000</v>
      </c>
      <c r="GZ14" s="50">
        <f>(GB14+GM14+GY14)/AD14</f>
        <v>79132</v>
      </c>
      <c r="HA14" s="75">
        <v>0</v>
      </c>
      <c r="HB14" s="50">
        <f>(GB14+GM14+GY14+HA14)/AD14</f>
        <v>79132</v>
      </c>
      <c r="HC14" s="99">
        <f>(GB14+GM14+GY14+HA14)/(GX14+FR14-HD14)</f>
        <v>0.37547612761546595</v>
      </c>
      <c r="HD14" s="75">
        <v>157636.68239999999</v>
      </c>
      <c r="HE14" s="75"/>
      <c r="HF14" s="631">
        <v>745834.22</v>
      </c>
      <c r="HG14" s="156">
        <f>FR14+GX14</f>
        <v>3740405.0691499999</v>
      </c>
      <c r="HH14" s="491"/>
      <c r="HI14" s="491"/>
      <c r="HJ14" s="494"/>
      <c r="HK14" s="491"/>
      <c r="HL14" s="477"/>
      <c r="HM14" s="477">
        <f>DATE(YEAR(HL14),MONTH(HL14),DAY(HL14)+21)</f>
        <v>21</v>
      </c>
      <c r="HN14" s="477"/>
      <c r="HO14" s="497" t="str">
        <f>IF(AND(HM14&gt;0,HN14&gt;0),HN14-HM14,"0")</f>
        <v>0</v>
      </c>
      <c r="HP14" s="477"/>
      <c r="HQ14" s="481" t="str">
        <f>IF(AND(HN14&gt;0,HP14&gt;0),HP14-HN14,"0")</f>
        <v>0</v>
      </c>
      <c r="HR14" s="497">
        <f>+HQ14-30</f>
        <v>-30</v>
      </c>
      <c r="HS14" s="506" t="str">
        <f>IF(AND(HL14&gt;0,HP14&gt;0),HP14-HL14,"0")</f>
        <v>0</v>
      </c>
      <c r="HT14" s="477"/>
      <c r="HU14" s="497" t="str">
        <f>IF(AND(HP14&gt;0,HT14&gt;0),HT14-HP14,"0")</f>
        <v>0</v>
      </c>
      <c r="HV14" s="477">
        <f>DATE(YEAR(HT14),MONTH(HT14),DAY(HT14)+21)</f>
        <v>21</v>
      </c>
      <c r="HW14" s="477"/>
      <c r="HX14" s="497" t="str">
        <f>IF(AND(HV14&gt;0,HW14&gt;0),HW14-HV14,"0")</f>
        <v>0</v>
      </c>
      <c r="HY14" s="476"/>
      <c r="HZ14" s="481" t="str">
        <f>IF(AND(HW14&gt;0,HY14&gt;0),HY14-HW14,"0")</f>
        <v>0</v>
      </c>
      <c r="IA14" s="497">
        <f>+HZ14-30</f>
        <v>-30</v>
      </c>
      <c r="IB14" s="506" t="str">
        <f>IF(AND(HT14&gt;0,HY14&gt;0),HY14-HT14,"0")</f>
        <v>0</v>
      </c>
      <c r="IC14" s="490"/>
      <c r="ID14" s="491"/>
      <c r="IE14" s="477"/>
      <c r="IF14" s="477"/>
      <c r="IG14" s="494"/>
      <c r="IH14" s="491"/>
      <c r="II14" s="478"/>
      <c r="IJ14" s="497" t="str">
        <f>IF(AND(HY14&gt;0,II14&gt;0),II14-HY14,"0")</f>
        <v>0</v>
      </c>
      <c r="IK14" s="478">
        <f>DATE(YEAR(II14),MONTH(II14),DAY(II14)+30)</f>
        <v>30</v>
      </c>
      <c r="IL14" s="478"/>
      <c r="IM14" s="497" t="str">
        <f>IF(AND(IK14&gt;0,IL14&gt;0),IL14-IK14,"0")</f>
        <v>0</v>
      </c>
      <c r="IN14" s="478"/>
      <c r="IO14" s="481" t="str">
        <f>IF(AND(IL14&gt;0,IN14&gt;0),IN14-IL14,"0")</f>
        <v>0</v>
      </c>
      <c r="IP14" s="497">
        <f>+IO14-30</f>
        <v>-30</v>
      </c>
      <c r="IQ14" s="506" t="str">
        <f>IF(AND(II14&gt;0,IN14&gt;0),IN14-II14,"0")</f>
        <v>0</v>
      </c>
      <c r="IR14" s="490"/>
      <c r="IS14" s="491"/>
      <c r="IT14" s="478"/>
      <c r="IU14" s="498" t="str">
        <f>IF(AND(IN14&gt;0,IT14&gt;0),IT14-IN14,"0")</f>
        <v>0</v>
      </c>
      <c r="IV14" s="478">
        <f>DATE(YEAR(IT14),MONTH(IT14),DAY(IT14)+30)</f>
        <v>30</v>
      </c>
      <c r="IW14" s="478"/>
      <c r="IX14" s="498" t="str">
        <f>IF(AND(IV14&gt;0,IW14&gt;0),IW14-IV14,"0")</f>
        <v>0</v>
      </c>
      <c r="IY14" s="478"/>
      <c r="IZ14" s="482" t="str">
        <f>IF(AND(IW14&gt;0,IY14&gt;0),IY14-IW14,"0")</f>
        <v>0</v>
      </c>
      <c r="JA14" s="498">
        <f>IZ14-30</f>
        <v>-30</v>
      </c>
      <c r="JB14" s="508" t="str">
        <f>IF(AND(IT14&gt;0,IY14&gt;0),IY14-IT14,"0")</f>
        <v>0</v>
      </c>
      <c r="JC14" s="490"/>
      <c r="JD14" s="491"/>
      <c r="JE14" s="212"/>
      <c r="JF14" s="487" t="str">
        <f>IF(AND(IY14&gt;0,JE14&gt;0),JE14-IY14,"0")</f>
        <v>0</v>
      </c>
      <c r="JG14" s="212">
        <f>DATE(YEAR(JE14),MONTH(JE14),DAY(JE14)+15)</f>
        <v>15</v>
      </c>
      <c r="JH14" s="212"/>
      <c r="JI14" s="487" t="str">
        <f>IF(AND(JG14&gt;0,JH14&gt;0),JH14-JG14,"0")</f>
        <v>0</v>
      </c>
      <c r="JJ14" s="212">
        <f>DATE(YEAR(JH14),MONTH(JH14),DAY(JH14)+15)</f>
        <v>15</v>
      </c>
      <c r="JK14" s="212"/>
      <c r="JL14" s="487" t="str">
        <f>IF(AND(JJ14&gt;0,JK14&gt;0),JK14-JJ14,"0")</f>
        <v>0</v>
      </c>
      <c r="JM14" s="509" t="str">
        <f>IF(AND(JE14&gt;0,JK14&gt;0),JK14-JE14,"0")</f>
        <v>0</v>
      </c>
      <c r="JN14" s="499"/>
      <c r="JO14" s="501" t="str">
        <f>IF(AND(JK14&gt;0,JN14&gt;0),JN14-JK14,"0")</f>
        <v>0</v>
      </c>
      <c r="JP14" s="498">
        <f>JO14-60</f>
        <v>-60</v>
      </c>
      <c r="JQ14" s="482">
        <f>291/30</f>
        <v>9.6999999999999993</v>
      </c>
      <c r="JR14" s="504">
        <f>((+HS14+HU14+IB14+IJ14+IQ14+IU14+JB14+JI14+JF14)/30)-JQ14</f>
        <v>-9.6999999999999993</v>
      </c>
      <c r="JS14" s="490"/>
      <c r="JT14" s="491"/>
      <c r="JU14" s="490"/>
      <c r="JV14" s="491"/>
      <c r="JW14" s="586"/>
      <c r="JX14" s="586"/>
      <c r="JY14" s="586"/>
      <c r="JZ14" s="586"/>
    </row>
    <row r="15" spans="1:286" s="31" customFormat="1" ht="72" hidden="1" customHeight="1" x14ac:dyDescent="0.25">
      <c r="A15" s="141" t="s">
        <v>700</v>
      </c>
      <c r="B15" s="20" t="s">
        <v>46</v>
      </c>
      <c r="C15" s="20" t="s">
        <v>157</v>
      </c>
      <c r="D15" s="20">
        <v>2012</v>
      </c>
      <c r="E15" s="20" t="s">
        <v>104</v>
      </c>
      <c r="F15" s="20" t="s">
        <v>40</v>
      </c>
      <c r="G15" s="20" t="s">
        <v>277</v>
      </c>
      <c r="H15" s="20" t="s">
        <v>643</v>
      </c>
      <c r="I15" s="110" t="s">
        <v>546</v>
      </c>
      <c r="J15" s="110"/>
      <c r="K15" s="453"/>
      <c r="L15" s="290"/>
      <c r="M15" s="290"/>
      <c r="N15" s="290"/>
      <c r="O15" s="379">
        <v>8821</v>
      </c>
      <c r="P15" s="379">
        <v>530000</v>
      </c>
      <c r="Q15" s="379">
        <v>289110</v>
      </c>
      <c r="R15" s="379">
        <f>P15/AD15</f>
        <v>13250</v>
      </c>
      <c r="S15" s="379">
        <f>P15/O15</f>
        <v>60.083890715338399</v>
      </c>
      <c r="T15" s="379">
        <f>Q15/O15</f>
        <v>32.775195556059401</v>
      </c>
      <c r="U15" s="379">
        <f>Q15/AH15</f>
        <v>111.55441514093337</v>
      </c>
      <c r="V15" s="379">
        <f>Q15/AD15</f>
        <v>7227.75</v>
      </c>
      <c r="W15" s="379">
        <f>O15/AD15</f>
        <v>220.52500000000001</v>
      </c>
      <c r="X15" s="379"/>
      <c r="Y15" s="381">
        <f>AH15/O15</f>
        <v>0.29380455730642785</v>
      </c>
      <c r="Z15" s="380" t="s">
        <v>327</v>
      </c>
      <c r="AA15" s="382"/>
      <c r="AB15" s="383"/>
      <c r="AC15" s="20" t="s">
        <v>26</v>
      </c>
      <c r="AD15" s="640">
        <f>AE15+AF15</f>
        <v>40</v>
      </c>
      <c r="AE15" s="21"/>
      <c r="AF15" s="20">
        <v>40</v>
      </c>
      <c r="AG15" s="22">
        <v>2591.65</v>
      </c>
      <c r="AH15" s="139">
        <v>2591.65</v>
      </c>
      <c r="AI15" s="22">
        <f>AH15/AD15</f>
        <v>64.791250000000005</v>
      </c>
      <c r="AJ15" s="135">
        <f>4/AD15</f>
        <v>0.1</v>
      </c>
      <c r="AK15" s="135">
        <f>12/AD15</f>
        <v>0.3</v>
      </c>
      <c r="AL15" s="135">
        <f>13/AD15</f>
        <v>0.32500000000000001</v>
      </c>
      <c r="AM15" s="135">
        <f>9/AD15</f>
        <v>0.22500000000000001</v>
      </c>
      <c r="AN15" s="135">
        <f>2/AD15</f>
        <v>0.05</v>
      </c>
      <c r="AO15" s="54">
        <v>1150</v>
      </c>
      <c r="AP15" s="581"/>
      <c r="AQ15" s="136">
        <f>AP15/O15</f>
        <v>0</v>
      </c>
      <c r="AR15" s="115">
        <v>2.5</v>
      </c>
      <c r="AS15" s="233"/>
      <c r="AT15" s="116"/>
      <c r="AU15" s="116"/>
      <c r="AV15" s="22" t="s">
        <v>169</v>
      </c>
      <c r="AW15" s="332">
        <v>40610</v>
      </c>
      <c r="AX15" s="110"/>
      <c r="AY15" s="332">
        <v>40963</v>
      </c>
      <c r="AZ15" s="332" t="s">
        <v>230</v>
      </c>
      <c r="BA15" s="332"/>
      <c r="BB15" s="332"/>
      <c r="BC15" s="332"/>
      <c r="BD15" s="332"/>
      <c r="BE15" s="332"/>
      <c r="BF15" s="332"/>
      <c r="BG15" s="332"/>
      <c r="BH15" s="332"/>
      <c r="BI15" s="332">
        <v>41253</v>
      </c>
      <c r="BJ15" s="332"/>
      <c r="BK15" s="332" t="s">
        <v>178</v>
      </c>
      <c r="BL15" s="332" t="s">
        <v>178</v>
      </c>
      <c r="BM15" s="332"/>
      <c r="BN15" s="344" t="s">
        <v>18</v>
      </c>
      <c r="BO15" s="344" t="s">
        <v>178</v>
      </c>
      <c r="BP15" s="339"/>
      <c r="BQ15" s="343"/>
      <c r="BR15" s="343"/>
      <c r="BS15" s="344" t="s">
        <v>352</v>
      </c>
      <c r="BT15" s="5"/>
      <c r="BU15" s="376">
        <v>41094</v>
      </c>
      <c r="BV15" s="160"/>
      <c r="BW15" s="160"/>
      <c r="BX15" s="160"/>
      <c r="BY15" s="160"/>
      <c r="BZ15" s="376">
        <v>41134</v>
      </c>
      <c r="CA15" s="160"/>
      <c r="CB15" s="72"/>
      <c r="CC15" s="362"/>
      <c r="CD15" s="164"/>
      <c r="CE15" s="164"/>
      <c r="CF15" s="569">
        <v>41319</v>
      </c>
      <c r="CG15" s="569">
        <f>DATE(YEAR(CF15),MONTH(CF15)+24,DAY(CF15))</f>
        <v>42049</v>
      </c>
      <c r="CH15" s="569">
        <f>DATE(YEAR(CF15),MONTH(CF15)+36,DAY(CF15))</f>
        <v>42414</v>
      </c>
      <c r="CI15" s="569" t="str">
        <f>IF(EV15&gt;CG15,"oui","non")</f>
        <v>oui</v>
      </c>
      <c r="CJ15" s="164"/>
      <c r="CK15" s="72"/>
      <c r="CL15" s="72"/>
      <c r="CM15" s="362"/>
      <c r="CN15" s="72"/>
      <c r="CO15" s="72"/>
      <c r="CP15" s="69"/>
      <c r="CQ15" s="364"/>
      <c r="CR15" s="69"/>
      <c r="CS15" s="69"/>
      <c r="CT15" s="69"/>
      <c r="CU15" s="364"/>
      <c r="CV15" s="69"/>
      <c r="CW15" s="198"/>
      <c r="CX15" s="69"/>
      <c r="CY15" s="364"/>
      <c r="CZ15" s="69"/>
      <c r="DA15" s="69"/>
      <c r="DB15" s="296" t="s">
        <v>202</v>
      </c>
      <c r="DC15" s="300">
        <v>123221</v>
      </c>
      <c r="DD15" s="300">
        <f>DC15*3/5</f>
        <v>73932.600000000006</v>
      </c>
      <c r="DE15" s="291"/>
      <c r="DF15" s="291"/>
      <c r="DG15" s="291"/>
      <c r="DH15" s="312"/>
      <c r="DI15" s="291"/>
      <c r="DJ15" s="291"/>
      <c r="DK15" s="292"/>
      <c r="DL15" s="293"/>
      <c r="DM15" s="293"/>
      <c r="DN15" s="292"/>
      <c r="DO15" s="292"/>
      <c r="DP15" s="293"/>
      <c r="DQ15" s="304">
        <v>41261</v>
      </c>
      <c r="DR15" s="443"/>
      <c r="DS15" s="443"/>
      <c r="DT15" s="297"/>
      <c r="DU15" s="304">
        <f>DATE(YEAR(DQ15),MONTH(DQ15)+18,DAY(DQ15))</f>
        <v>41808</v>
      </c>
      <c r="DV15" s="443"/>
      <c r="DW15" s="443"/>
      <c r="DX15" s="415" t="s">
        <v>178</v>
      </c>
      <c r="DY15" s="415">
        <v>41411</v>
      </c>
      <c r="DZ15" s="415">
        <v>41626</v>
      </c>
      <c r="EA15" s="413">
        <v>41309</v>
      </c>
      <c r="EB15" s="203">
        <v>41358</v>
      </c>
      <c r="EC15" s="205">
        <v>15</v>
      </c>
      <c r="ED15" s="205">
        <f>EC15+2</f>
        <v>17</v>
      </c>
      <c r="EE15" s="205">
        <f>DATEDIF(EA15,EN15,"M")</f>
        <v>26</v>
      </c>
      <c r="EF15" s="205">
        <f>DATEDIF(EA15,EV15,"M")</f>
        <v>27</v>
      </c>
      <c r="EG15" s="205">
        <f>EE15-EC15</f>
        <v>11</v>
      </c>
      <c r="EH15" s="205">
        <f>EF15-ED15</f>
        <v>10</v>
      </c>
      <c r="EI15" s="409">
        <f>172364.265683679/12</f>
        <v>14363.68880697325</v>
      </c>
      <c r="EJ15" s="409">
        <f>EI15*(EE15-EC15)</f>
        <v>158000.57687670575</v>
      </c>
      <c r="EK15" s="203" t="s">
        <v>178</v>
      </c>
      <c r="EL15" s="214"/>
      <c r="EM15" s="203">
        <v>42122</v>
      </c>
      <c r="EN15" s="203">
        <v>42111</v>
      </c>
      <c r="EO15" s="203"/>
      <c r="EP15" s="203" t="s">
        <v>178</v>
      </c>
      <c r="EQ15" s="215"/>
      <c r="ER15" s="215"/>
      <c r="ES15" s="333">
        <v>42202</v>
      </c>
      <c r="ET15" s="333">
        <v>42278</v>
      </c>
      <c r="EU15" s="203">
        <v>42151</v>
      </c>
      <c r="EV15" s="230">
        <v>42151</v>
      </c>
      <c r="EW15" s="203"/>
      <c r="EX15" s="203"/>
      <c r="EY15" s="328" t="s">
        <v>898</v>
      </c>
      <c r="EZ15" s="213" t="s">
        <v>178</v>
      </c>
      <c r="FA15" s="213" t="s">
        <v>178</v>
      </c>
      <c r="FB15" s="213" t="s">
        <v>178</v>
      </c>
      <c r="FC15" s="347">
        <v>42628</v>
      </c>
      <c r="FD15" s="466" t="s">
        <v>506</v>
      </c>
      <c r="FE15" s="212">
        <f>DATE(YEAR(EN15)+1,MONTH(EN15),DAY(EN15))</f>
        <v>42477</v>
      </c>
      <c r="FF15" s="347">
        <v>42170</v>
      </c>
      <c r="FG15" s="412" t="s">
        <v>618</v>
      </c>
      <c r="FH15" s="347">
        <v>42647</v>
      </c>
      <c r="FI15" s="212"/>
      <c r="FJ15" s="212"/>
      <c r="FK15" s="347">
        <v>42426</v>
      </c>
      <c r="FL15" s="628" t="s">
        <v>987</v>
      </c>
      <c r="FM15" s="212"/>
      <c r="FN15" s="212"/>
      <c r="FO15" s="212"/>
      <c r="FP15" s="294"/>
      <c r="FQ15" s="23">
        <f>+GA15+GE15+GL15+HF15</f>
        <v>5090209.92</v>
      </c>
      <c r="FR15" s="28">
        <f>GB15+GF15+GM15+HF15+GK15+GQ15</f>
        <v>5090210.4499999993</v>
      </c>
      <c r="FS15" s="25">
        <f>FR15-FQ15</f>
        <v>0.52999999932944775</v>
      </c>
      <c r="FT15" s="25">
        <f>FR15/AG15</f>
        <v>1964.0809715818104</v>
      </c>
      <c r="FU15" s="25">
        <f>FR15/AD15</f>
        <v>127255.26124999998</v>
      </c>
      <c r="FV15" s="23">
        <v>4689965</v>
      </c>
      <c r="FW15" s="24"/>
      <c r="FX15" s="25">
        <f>FW15-FV15</f>
        <v>-4689965</v>
      </c>
      <c r="FY15" s="231">
        <f>FV15*1.021/FQ15</f>
        <v>0.94071842620588808</v>
      </c>
      <c r="FZ15" s="232"/>
      <c r="GA15" s="23">
        <v>1480537</v>
      </c>
      <c r="GB15" s="24">
        <v>1480537</v>
      </c>
      <c r="GC15" s="50">
        <f>GB15/AD15</f>
        <v>37013.425000000003</v>
      </c>
      <c r="GD15" s="73">
        <f>GB15-GA15</f>
        <v>0</v>
      </c>
      <c r="GE15" s="23">
        <v>2895140</v>
      </c>
      <c r="GF15" s="24">
        <f>+GG15+GH15</f>
        <v>2895140.53</v>
      </c>
      <c r="GG15" s="26">
        <v>565518</v>
      </c>
      <c r="GH15" s="26">
        <v>2329622.5299999998</v>
      </c>
      <c r="GI15" s="73">
        <f>GF15-GE15</f>
        <v>0.52999999979510903</v>
      </c>
      <c r="GJ15" s="50">
        <f>GF15/AD15</f>
        <v>72378.513249999989</v>
      </c>
      <c r="GK15" s="24">
        <v>0</v>
      </c>
      <c r="GL15" s="23">
        <v>663000</v>
      </c>
      <c r="GM15" s="30">
        <v>663000</v>
      </c>
      <c r="GN15" s="123"/>
      <c r="GO15" s="76">
        <f>GM15/FR15</f>
        <v>0.13025001746244108</v>
      </c>
      <c r="GP15" s="590"/>
      <c r="GQ15" s="30">
        <v>0</v>
      </c>
      <c r="GR15" s="51">
        <f>GM15-GL15</f>
        <v>0</v>
      </c>
      <c r="GS15" s="50">
        <f>GM15/AD15</f>
        <v>16575</v>
      </c>
      <c r="GT15" s="98"/>
      <c r="GU15" s="51">
        <f>GR15/AD15</f>
        <v>0</v>
      </c>
      <c r="GV15" s="97"/>
      <c r="GW15" s="97"/>
      <c r="GX15" s="75">
        <v>1151902.8490725001</v>
      </c>
      <c r="GY15" s="75">
        <v>800000</v>
      </c>
      <c r="GZ15" s="50">
        <f>(GB15+GM15+GY15)/AD15</f>
        <v>73588.425000000003</v>
      </c>
      <c r="HA15" s="75">
        <v>0</v>
      </c>
      <c r="HB15" s="50">
        <f>(GB15+GM15+GY15+HA15)/AD15</f>
        <v>73588.425000000003</v>
      </c>
      <c r="HC15" s="99">
        <f>(GB15+GM15+GY15+HA15)/(GX15+FR15-HD15)</f>
        <v>0.4949673218743304</v>
      </c>
      <c r="HD15" s="75">
        <v>295181.31</v>
      </c>
      <c r="HE15" s="632"/>
      <c r="HF15" s="631">
        <v>51532.92</v>
      </c>
      <c r="HG15" s="77">
        <f>FR15+GX15</f>
        <v>6242113.2990724994</v>
      </c>
      <c r="HH15" s="491"/>
      <c r="HI15" s="491"/>
      <c r="HJ15" s="494"/>
      <c r="HK15" s="491"/>
      <c r="HL15" s="477"/>
      <c r="HM15" s="477">
        <f>DATE(YEAR(HL15),MONTH(HL15),DAY(HL15)+21)</f>
        <v>21</v>
      </c>
      <c r="HN15" s="477"/>
      <c r="HO15" s="497" t="str">
        <f>IF(AND(HM15&gt;0,HN15&gt;0),HN15-HM15,"0")</f>
        <v>0</v>
      </c>
      <c r="HP15" s="477"/>
      <c r="HQ15" s="481" t="str">
        <f>IF(AND(HN15&gt;0,HP15&gt;0),HP15-HN15,"0")</f>
        <v>0</v>
      </c>
      <c r="HR15" s="497">
        <f>+HQ15-30</f>
        <v>-30</v>
      </c>
      <c r="HS15" s="506" t="str">
        <f>IF(AND(HL15&gt;0,HP15&gt;0),HP15-HL15,"0")</f>
        <v>0</v>
      </c>
      <c r="HT15" s="477"/>
      <c r="HU15" s="497" t="str">
        <f>IF(AND(HP15&gt;0,HT15&gt;0),HT15-HP15,"0")</f>
        <v>0</v>
      </c>
      <c r="HV15" s="477">
        <f>DATE(YEAR(HT15),MONTH(HT15),DAY(HT15)+21)</f>
        <v>21</v>
      </c>
      <c r="HW15" s="477"/>
      <c r="HX15" s="497" t="str">
        <f>IF(AND(HV15&gt;0,HW15&gt;0),HW15-HV15,"0")</f>
        <v>0</v>
      </c>
      <c r="HY15" s="476"/>
      <c r="HZ15" s="481" t="str">
        <f>IF(AND(HW15&gt;0,HY15&gt;0),HY15-HW15,"0")</f>
        <v>0</v>
      </c>
      <c r="IA15" s="497">
        <f>+HZ15-30</f>
        <v>-30</v>
      </c>
      <c r="IB15" s="506" t="str">
        <f>IF(AND(HT15&gt;0,HY15&gt;0),HY15-HT15,"0")</f>
        <v>0</v>
      </c>
      <c r="IC15" s="490"/>
      <c r="ID15" s="491"/>
      <c r="IE15" s="477"/>
      <c r="IF15" s="477"/>
      <c r="IG15" s="494"/>
      <c r="IH15" s="491"/>
      <c r="II15" s="478"/>
      <c r="IJ15" s="497" t="str">
        <f>IF(AND(HY15&gt;0,II15&gt;0),II15-HY15,"0")</f>
        <v>0</v>
      </c>
      <c r="IK15" s="478">
        <f>DATE(YEAR(II15),MONTH(II15),DAY(II15)+30)</f>
        <v>30</v>
      </c>
      <c r="IL15" s="478"/>
      <c r="IM15" s="497" t="str">
        <f>IF(AND(IK15&gt;0,IL15&gt;0),IL15-IK15,"0")</f>
        <v>0</v>
      </c>
      <c r="IN15" s="478"/>
      <c r="IO15" s="481" t="str">
        <f>IF(AND(IL15&gt;0,IN15&gt;0),IN15-IL15,"0")</f>
        <v>0</v>
      </c>
      <c r="IP15" s="497">
        <f>+IO15-30</f>
        <v>-30</v>
      </c>
      <c r="IQ15" s="506" t="str">
        <f>IF(AND(II15&gt;0,IN15&gt;0),IN15-II15,"0")</f>
        <v>0</v>
      </c>
      <c r="IR15" s="490"/>
      <c r="IS15" s="491"/>
      <c r="IT15" s="478"/>
      <c r="IU15" s="498" t="str">
        <f>IF(AND(IN15&gt;0,IT15&gt;0),IT15-IN15,"0")</f>
        <v>0</v>
      </c>
      <c r="IV15" s="478">
        <f>DATE(YEAR(IT15),MONTH(IT15),DAY(IT15)+30)</f>
        <v>30</v>
      </c>
      <c r="IW15" s="478"/>
      <c r="IX15" s="498" t="str">
        <f>IF(AND(IV15&gt;0,IW15&gt;0),IW15-IV15,"0")</f>
        <v>0</v>
      </c>
      <c r="IY15" s="478"/>
      <c r="IZ15" s="482" t="str">
        <f>IF(AND(IW15&gt;0,IY15&gt;0),IY15-IW15,"0")</f>
        <v>0</v>
      </c>
      <c r="JA15" s="498">
        <f>IZ15-30</f>
        <v>-30</v>
      </c>
      <c r="JB15" s="508" t="str">
        <f>IF(AND(IT15&gt;0,IY15&gt;0),IY15-IT15,"0")</f>
        <v>0</v>
      </c>
      <c r="JC15" s="490"/>
      <c r="JD15" s="491"/>
      <c r="JE15" s="212"/>
      <c r="JF15" s="487" t="str">
        <f>IF(AND(IY15&gt;0,JE15&gt;0),JE15-IY15,"0")</f>
        <v>0</v>
      </c>
      <c r="JG15" s="212">
        <f>DATE(YEAR(JE15),MONTH(JE15),DAY(JE15)+15)</f>
        <v>15</v>
      </c>
      <c r="JH15" s="212"/>
      <c r="JI15" s="487" t="str">
        <f>IF(AND(JG15&gt;0,JH15&gt;0),JH15-JG15,"0")</f>
        <v>0</v>
      </c>
      <c r="JJ15" s="212">
        <f>DATE(YEAR(JH15),MONTH(JH15),DAY(JH15)+15)</f>
        <v>15</v>
      </c>
      <c r="JK15" s="212"/>
      <c r="JL15" s="487" t="str">
        <f>IF(AND(JJ15&gt;0,JK15&gt;0),JK15-JJ15,"0")</f>
        <v>0</v>
      </c>
      <c r="JM15" s="509" t="str">
        <f>IF(AND(JE15&gt;0,JK15&gt;0),JK15-JE15,"0")</f>
        <v>0</v>
      </c>
      <c r="JN15" s="499"/>
      <c r="JO15" s="501" t="str">
        <f>IF(AND(JK15&gt;0,JN15&gt;0),JN15-JK15,"0")</f>
        <v>0</v>
      </c>
      <c r="JP15" s="498">
        <f>JO15-60</f>
        <v>-60</v>
      </c>
      <c r="JQ15" s="482">
        <f>291/30</f>
        <v>9.6999999999999993</v>
      </c>
      <c r="JR15" s="504">
        <f>((+HS15+HU15+IB15+IJ15+IQ15+IU15+JB15+JI15+JF15)/30)-JQ15</f>
        <v>-9.6999999999999993</v>
      </c>
      <c r="JS15" s="490"/>
      <c r="JT15" s="491"/>
      <c r="JU15" s="490"/>
      <c r="JV15" s="491"/>
      <c r="JW15" s="488"/>
      <c r="JX15" s="488"/>
      <c r="JY15" s="488"/>
      <c r="JZ15" s="488"/>
    </row>
    <row r="16" spans="1:286" s="31" customFormat="1" ht="99.75" hidden="1" customHeight="1" x14ac:dyDescent="0.25">
      <c r="A16" s="52" t="s">
        <v>114</v>
      </c>
      <c r="B16" s="20" t="s">
        <v>46</v>
      </c>
      <c r="C16" s="20" t="s">
        <v>157</v>
      </c>
      <c r="D16" s="20">
        <v>2012</v>
      </c>
      <c r="E16" s="20" t="s">
        <v>105</v>
      </c>
      <c r="F16" s="20" t="s">
        <v>48</v>
      </c>
      <c r="G16" s="20" t="s">
        <v>276</v>
      </c>
      <c r="H16" s="20" t="s">
        <v>643</v>
      </c>
      <c r="I16" s="110"/>
      <c r="J16" s="110"/>
      <c r="K16" s="453"/>
      <c r="L16" s="290"/>
      <c r="M16" s="290"/>
      <c r="N16" s="290"/>
      <c r="O16" s="379">
        <v>3735</v>
      </c>
      <c r="P16" s="379">
        <f>Q16</f>
        <v>860000</v>
      </c>
      <c r="Q16" s="379">
        <v>860000</v>
      </c>
      <c r="R16" s="379">
        <f>P16/(AD16+AD122)</f>
        <v>29655.172413793105</v>
      </c>
      <c r="S16" s="379">
        <f>P16/O16</f>
        <v>230.25435073627844</v>
      </c>
      <c r="T16" s="379">
        <f>Q16/O16</f>
        <v>230.25435073627844</v>
      </c>
      <c r="U16" s="379">
        <f>Q16/(AH16+AH122)</f>
        <v>359.81005376231616</v>
      </c>
      <c r="V16" s="379">
        <f>Q16/(AD16+AD122)</f>
        <v>29655.172413793105</v>
      </c>
      <c r="W16" s="379">
        <f>O16/(AD16+AD122)</f>
        <v>128.79310344827587</v>
      </c>
      <c r="X16" s="379"/>
      <c r="Y16" s="381">
        <f>(AH16+AH122)/O16</f>
        <v>0.63993306559571628</v>
      </c>
      <c r="Z16" s="380" t="s">
        <v>309</v>
      </c>
      <c r="AA16" s="382"/>
      <c r="AB16" s="383"/>
      <c r="AC16" s="20" t="s">
        <v>25</v>
      </c>
      <c r="AD16" s="640">
        <f>AE16+AF16</f>
        <v>29</v>
      </c>
      <c r="AE16" s="20">
        <v>29</v>
      </c>
      <c r="AF16" s="21"/>
      <c r="AG16" s="22">
        <v>2390.15</v>
      </c>
      <c r="AH16" s="139">
        <v>2390.15</v>
      </c>
      <c r="AI16" s="22">
        <f>AH16/AD16</f>
        <v>82.418965517241389</v>
      </c>
      <c r="AJ16" s="116"/>
      <c r="AK16" s="116"/>
      <c r="AL16" s="116"/>
      <c r="AM16" s="116"/>
      <c r="AN16" s="116"/>
      <c r="AO16" s="22">
        <v>1046</v>
      </c>
      <c r="AP16" s="133">
        <v>0</v>
      </c>
      <c r="AQ16" s="135">
        <f>AP16/O16</f>
        <v>0</v>
      </c>
      <c r="AR16" s="114">
        <v>4</v>
      </c>
      <c r="AS16" s="233"/>
      <c r="AT16" s="116"/>
      <c r="AU16" s="116"/>
      <c r="AV16" s="22" t="s">
        <v>168</v>
      </c>
      <c r="AW16" s="332">
        <v>40583</v>
      </c>
      <c r="AX16" s="110"/>
      <c r="AY16" s="332">
        <v>40963</v>
      </c>
      <c r="AZ16" s="332" t="s">
        <v>230</v>
      </c>
      <c r="BA16" s="332"/>
      <c r="BB16" s="332"/>
      <c r="BC16" s="332"/>
      <c r="BD16" s="332"/>
      <c r="BE16" s="332"/>
      <c r="BF16" s="332"/>
      <c r="BG16" s="332"/>
      <c r="BH16" s="332"/>
      <c r="BI16" s="332">
        <v>41253</v>
      </c>
      <c r="BJ16" s="332"/>
      <c r="BK16" s="332" t="s">
        <v>178</v>
      </c>
      <c r="BL16" s="332" t="s">
        <v>178</v>
      </c>
      <c r="BM16" s="332"/>
      <c r="BN16" s="344" t="s">
        <v>18</v>
      </c>
      <c r="BO16" s="344" t="s">
        <v>178</v>
      </c>
      <c r="BP16" s="339"/>
      <c r="BQ16" s="343"/>
      <c r="BR16" s="343"/>
      <c r="BS16" s="344" t="s">
        <v>355</v>
      </c>
      <c r="BT16" s="5"/>
      <c r="BU16" s="376">
        <v>41053</v>
      </c>
      <c r="BV16" s="160"/>
      <c r="BW16" s="160"/>
      <c r="BX16" s="160"/>
      <c r="BY16" s="160"/>
      <c r="BZ16" s="376">
        <v>41193</v>
      </c>
      <c r="CA16" s="160"/>
      <c r="CB16" s="72"/>
      <c r="CC16" s="362"/>
      <c r="CD16" s="164"/>
      <c r="CE16" s="164"/>
      <c r="CF16" s="569">
        <v>41319</v>
      </c>
      <c r="CG16" s="569">
        <f>DATE(YEAR(CF16),MONTH(CF16)+24,DAY(CF16))</f>
        <v>42049</v>
      </c>
      <c r="CH16" s="569">
        <f>DATE(YEAR(CF16),MONTH(CF16)+36,DAY(CF16))</f>
        <v>42414</v>
      </c>
      <c r="CI16" s="569" t="str">
        <f>IF(EV16&gt;CG16,"oui","non")</f>
        <v>oui</v>
      </c>
      <c r="CJ16" s="164"/>
      <c r="CK16" s="72"/>
      <c r="CL16" s="72"/>
      <c r="CM16" s="362"/>
      <c r="CN16" s="72"/>
      <c r="CO16" s="164"/>
      <c r="CP16" s="69"/>
      <c r="CQ16" s="364"/>
      <c r="CR16" s="69"/>
      <c r="CS16" s="198"/>
      <c r="CT16" s="69"/>
      <c r="CU16" s="364"/>
      <c r="CV16" s="69"/>
      <c r="CW16" s="198"/>
      <c r="CX16" s="69"/>
      <c r="CY16" s="364"/>
      <c r="CZ16" s="69"/>
      <c r="DA16" s="198"/>
      <c r="DB16" s="296" t="s">
        <v>188</v>
      </c>
      <c r="DC16" s="300">
        <v>154616</v>
      </c>
      <c r="DD16" s="300">
        <f>DC16*3/5</f>
        <v>92769.600000000006</v>
      </c>
      <c r="DE16" s="291"/>
      <c r="DF16" s="291"/>
      <c r="DG16" s="291"/>
      <c r="DH16" s="312"/>
      <c r="DI16" s="291"/>
      <c r="DJ16" s="291"/>
      <c r="DK16" s="292"/>
      <c r="DL16" s="293"/>
      <c r="DM16" s="293"/>
      <c r="DN16" s="292"/>
      <c r="DO16" s="292"/>
      <c r="DP16" s="293"/>
      <c r="DQ16" s="304">
        <v>41261</v>
      </c>
      <c r="DR16" s="443"/>
      <c r="DS16" s="443"/>
      <c r="DT16" s="297">
        <v>6314520.7599999998</v>
      </c>
      <c r="DU16" s="304">
        <f>DATE(YEAR(DQ16),MONTH(DQ16)+18,DAY(DQ16))</f>
        <v>41808</v>
      </c>
      <c r="DV16" s="443"/>
      <c r="DW16" s="443"/>
      <c r="DX16" s="415" t="s">
        <v>178</v>
      </c>
      <c r="DY16" s="415">
        <v>41569</v>
      </c>
      <c r="DZ16" s="415">
        <v>41626</v>
      </c>
      <c r="EA16" s="413">
        <v>41309</v>
      </c>
      <c r="EB16" s="203">
        <v>41358</v>
      </c>
      <c r="EC16" s="205">
        <v>15</v>
      </c>
      <c r="ED16" s="205">
        <f>EC16+2</f>
        <v>17</v>
      </c>
      <c r="EE16" s="205">
        <f>DATEDIF(EA16,EN16,"M")</f>
        <v>27</v>
      </c>
      <c r="EF16" s="205">
        <f>DATEDIF(EA16,EV16,"M")</f>
        <v>27</v>
      </c>
      <c r="EG16" s="205">
        <f>EE16-EC16</f>
        <v>12</v>
      </c>
      <c r="EH16" s="205">
        <f>EF16-ED16</f>
        <v>10</v>
      </c>
      <c r="EI16" s="409">
        <f>184847.662644658/12</f>
        <v>15403.971887054833</v>
      </c>
      <c r="EJ16" s="409">
        <f>EI16*(EE16-EC16)</f>
        <v>184847.662644658</v>
      </c>
      <c r="EK16" s="203" t="s">
        <v>178</v>
      </c>
      <c r="EL16" s="216"/>
      <c r="EM16" s="217">
        <v>42036</v>
      </c>
      <c r="EN16" s="203">
        <v>42158</v>
      </c>
      <c r="EO16" s="203"/>
      <c r="EP16" s="334" t="s">
        <v>1003</v>
      </c>
      <c r="EQ16" s="203"/>
      <c r="ER16" s="203"/>
      <c r="ES16" s="203">
        <v>41992</v>
      </c>
      <c r="ET16" s="203"/>
      <c r="EU16" s="203">
        <v>42158</v>
      </c>
      <c r="EV16" s="230">
        <v>42158</v>
      </c>
      <c r="EW16" s="203"/>
      <c r="EX16" s="203"/>
      <c r="EY16" s="328" t="s">
        <v>911</v>
      </c>
      <c r="EZ16" s="213"/>
      <c r="FA16" s="212"/>
      <c r="FB16" s="212"/>
      <c r="FC16" s="212"/>
      <c r="FD16" s="466" t="s">
        <v>506</v>
      </c>
      <c r="FE16" s="212">
        <f>DATE(YEAR(EN16)+1,MONTH(EN16),DAY(EN16))</f>
        <v>42524</v>
      </c>
      <c r="FF16" s="412" t="s">
        <v>473</v>
      </c>
      <c r="FG16" s="347">
        <v>42353</v>
      </c>
      <c r="FH16" s="212"/>
      <c r="FI16" s="212"/>
      <c r="FJ16" s="212"/>
      <c r="FK16" s="212"/>
      <c r="FL16" s="330" t="s">
        <v>975</v>
      </c>
      <c r="FM16" s="330"/>
      <c r="FN16" s="212"/>
      <c r="FO16" s="212"/>
      <c r="FP16" s="294"/>
      <c r="FQ16" s="23">
        <f>+GA16+GE16+GL16+HF16</f>
        <v>4807009</v>
      </c>
      <c r="FR16" s="28">
        <f>GB16+GF16+GM16+HF16+GK16+GQ16</f>
        <v>4807009.38</v>
      </c>
      <c r="FS16" s="25">
        <f>FR16-FQ16</f>
        <v>0.37999999988824129</v>
      </c>
      <c r="FT16" s="25">
        <f>FR16/AG16</f>
        <v>2011.1747714578582</v>
      </c>
      <c r="FU16" s="25">
        <f>FR16/AD16</f>
        <v>165758.94413793104</v>
      </c>
      <c r="FV16" s="23"/>
      <c r="FW16" s="24"/>
      <c r="FX16" s="25">
        <f>FW16-FV16</f>
        <v>0</v>
      </c>
      <c r="FY16" s="231">
        <f>FV16*1.021/FQ16</f>
        <v>0</v>
      </c>
      <c r="FZ16" s="232"/>
      <c r="GA16" s="23">
        <v>1474059</v>
      </c>
      <c r="GB16" s="24">
        <v>1473759.38</v>
      </c>
      <c r="GC16" s="50">
        <f>GB16/AD16</f>
        <v>50819.28896551724</v>
      </c>
      <c r="GD16" s="73">
        <f>GB16-GA16</f>
        <v>-299.62000000011176</v>
      </c>
      <c r="GE16" s="23">
        <v>3185790</v>
      </c>
      <c r="GF16" s="24">
        <f>+GG16+GH16</f>
        <v>3186090</v>
      </c>
      <c r="GG16" s="26">
        <v>549227</v>
      </c>
      <c r="GH16" s="26">
        <v>2636863</v>
      </c>
      <c r="GI16" s="73">
        <f>GF16-GE16</f>
        <v>300</v>
      </c>
      <c r="GJ16" s="50">
        <f>GF16/AD16</f>
        <v>109865.1724137931</v>
      </c>
      <c r="GK16" s="24">
        <v>0</v>
      </c>
      <c r="GL16" s="23">
        <v>1111</v>
      </c>
      <c r="GM16" s="30">
        <v>1</v>
      </c>
      <c r="GN16" s="123"/>
      <c r="GO16" s="76">
        <f>GM16/FR16</f>
        <v>2.0802955038128092E-7</v>
      </c>
      <c r="GP16" s="590"/>
      <c r="GQ16" s="30">
        <v>1110</v>
      </c>
      <c r="GR16" s="51">
        <f>GM16-GL16</f>
        <v>-1110</v>
      </c>
      <c r="GS16" s="50">
        <f>GM16/AD16</f>
        <v>3.4482758620689655E-2</v>
      </c>
      <c r="GT16" s="98"/>
      <c r="GU16" s="51">
        <f>GR16/AD16</f>
        <v>-38.275862068965516</v>
      </c>
      <c r="GV16" s="97"/>
      <c r="GW16" s="97"/>
      <c r="GX16" s="75">
        <v>0</v>
      </c>
      <c r="GY16" s="75">
        <v>0</v>
      </c>
      <c r="GZ16" s="50">
        <f>(GB16+GM16+GY16)/AD16</f>
        <v>50819.323448275856</v>
      </c>
      <c r="HA16" s="75">
        <v>0</v>
      </c>
      <c r="HB16" s="50">
        <f>(GB16+GM16+GY16+HA16)/AD16</f>
        <v>50819.323448275856</v>
      </c>
      <c r="HC16" s="99">
        <f>(GB16+GM16+GY16+HA16)/(GX16+FR16-HD16)</f>
        <v>0.3065857092211457</v>
      </c>
      <c r="HD16" s="75"/>
      <c r="HE16" s="75"/>
      <c r="HF16" s="631">
        <v>146049</v>
      </c>
      <c r="HG16" s="77">
        <f>FR16+GX16</f>
        <v>4807009.38</v>
      </c>
      <c r="HH16" s="491"/>
      <c r="HI16" s="491"/>
      <c r="HJ16" s="494"/>
      <c r="HK16" s="491"/>
      <c r="HL16" s="477"/>
      <c r="HM16" s="477">
        <f>DATE(YEAR(HL16),MONTH(HL16),DAY(HL16)+21)</f>
        <v>21</v>
      </c>
      <c r="HN16" s="477"/>
      <c r="HO16" s="497" t="str">
        <f>IF(AND(HM16&gt;0,HN16&gt;0),HN16-HM16,"0")</f>
        <v>0</v>
      </c>
      <c r="HP16" s="477"/>
      <c r="HQ16" s="481" t="str">
        <f>IF(AND(HN16&gt;0,HP16&gt;0),HP16-HN16,"0")</f>
        <v>0</v>
      </c>
      <c r="HR16" s="497">
        <f>+HQ16-30</f>
        <v>-30</v>
      </c>
      <c r="HS16" s="506" t="str">
        <f>IF(AND(HL16&gt;0,HP16&gt;0),HP16-HL16,"0")</f>
        <v>0</v>
      </c>
      <c r="HT16" s="477"/>
      <c r="HU16" s="497" t="str">
        <f>IF(AND(HP16&gt;0,HT16&gt;0),HT16-HP16,"0")</f>
        <v>0</v>
      </c>
      <c r="HV16" s="477">
        <f>DATE(YEAR(HT16),MONTH(HT16),DAY(HT16)+21)</f>
        <v>21</v>
      </c>
      <c r="HW16" s="477"/>
      <c r="HX16" s="497" t="str">
        <f>IF(AND(HV16&gt;0,HW16&gt;0),HW16-HV16,"0")</f>
        <v>0</v>
      </c>
      <c r="HY16" s="476"/>
      <c r="HZ16" s="481" t="str">
        <f>IF(AND(HW16&gt;0,HY16&gt;0),HY16-HW16,"0")</f>
        <v>0</v>
      </c>
      <c r="IA16" s="497">
        <f>+HZ16-30</f>
        <v>-30</v>
      </c>
      <c r="IB16" s="506" t="str">
        <f>IF(AND(HT16&gt;0,HY16&gt;0),HY16-HT16,"0")</f>
        <v>0</v>
      </c>
      <c r="IC16" s="490"/>
      <c r="ID16" s="491"/>
      <c r="IE16" s="477"/>
      <c r="IF16" s="477"/>
      <c r="IG16" s="494"/>
      <c r="IH16" s="491"/>
      <c r="II16" s="478"/>
      <c r="IJ16" s="497" t="str">
        <f>IF(AND(HY16&gt;0,II16&gt;0),II16-HY16,"0")</f>
        <v>0</v>
      </c>
      <c r="IK16" s="478">
        <f>DATE(YEAR(II16),MONTH(II16),DAY(II16)+30)</f>
        <v>30</v>
      </c>
      <c r="IL16" s="478"/>
      <c r="IM16" s="497" t="str">
        <f>IF(AND(IK16&gt;0,IL16&gt;0),IL16-IK16,"0")</f>
        <v>0</v>
      </c>
      <c r="IN16" s="478"/>
      <c r="IO16" s="481" t="str">
        <f>IF(AND(IL16&gt;0,IN16&gt;0),IN16-IL16,"0")</f>
        <v>0</v>
      </c>
      <c r="IP16" s="497">
        <f>+IO16-30</f>
        <v>-30</v>
      </c>
      <c r="IQ16" s="506" t="str">
        <f>IF(AND(II16&gt;0,IN16&gt;0),IN16-II16,"0")</f>
        <v>0</v>
      </c>
      <c r="IR16" s="490"/>
      <c r="IS16" s="491"/>
      <c r="IT16" s="478"/>
      <c r="IU16" s="498" t="str">
        <f>IF(AND(IN16&gt;0,IT16&gt;0),IT16-IN16,"0")</f>
        <v>0</v>
      </c>
      <c r="IV16" s="478">
        <f>DATE(YEAR(IT16),MONTH(IT16),DAY(IT16)+30)</f>
        <v>30</v>
      </c>
      <c r="IW16" s="478"/>
      <c r="IX16" s="498" t="str">
        <f>IF(AND(IV16&gt;0,IW16&gt;0),IW16-IV16,"0")</f>
        <v>0</v>
      </c>
      <c r="IY16" s="478"/>
      <c r="IZ16" s="482" t="str">
        <f>IF(AND(IW16&gt;0,IY16&gt;0),IY16-IW16,"0")</f>
        <v>0</v>
      </c>
      <c r="JA16" s="498">
        <f>IZ16-30</f>
        <v>-30</v>
      </c>
      <c r="JB16" s="508" t="str">
        <f>IF(AND(IT16&gt;0,IY16&gt;0),IY16-IT16,"0")</f>
        <v>0</v>
      </c>
      <c r="JC16" s="490"/>
      <c r="JD16" s="491"/>
      <c r="JE16" s="212"/>
      <c r="JF16" s="487" t="str">
        <f>IF(AND(IY16&gt;0,JE16&gt;0),JE16-IY16,"0")</f>
        <v>0</v>
      </c>
      <c r="JG16" s="212">
        <f>DATE(YEAR(JE16),MONTH(JE16),DAY(JE16)+15)</f>
        <v>15</v>
      </c>
      <c r="JH16" s="212"/>
      <c r="JI16" s="487" t="str">
        <f>IF(AND(JG16&gt;0,JH16&gt;0),JH16-JG16,"0")</f>
        <v>0</v>
      </c>
      <c r="JJ16" s="212">
        <f>DATE(YEAR(JH16),MONTH(JH16),DAY(JH16)+15)</f>
        <v>15</v>
      </c>
      <c r="JK16" s="212"/>
      <c r="JL16" s="487" t="str">
        <f>IF(AND(JJ16&gt;0,JK16&gt;0),JK16-JJ16,"0")</f>
        <v>0</v>
      </c>
      <c r="JM16" s="509" t="str">
        <f>IF(AND(JE16&gt;0,JK16&gt;0),JK16-JE16,"0")</f>
        <v>0</v>
      </c>
      <c r="JN16" s="499"/>
      <c r="JO16" s="501" t="str">
        <f>IF(AND(JK16&gt;0,JN16&gt;0),JN16-JK16,"0")</f>
        <v>0</v>
      </c>
      <c r="JP16" s="498">
        <f>JO16-60</f>
        <v>-60</v>
      </c>
      <c r="JQ16" s="482">
        <f>291/30</f>
        <v>9.6999999999999993</v>
      </c>
      <c r="JR16" s="504">
        <f>((+HS16+HU16+IB16+IJ16+IQ16+IU16+JB16+JI16+JF16)/30)-JQ16</f>
        <v>-9.6999999999999993</v>
      </c>
      <c r="JS16" s="490"/>
      <c r="JT16" s="491"/>
      <c r="JU16" s="490"/>
      <c r="JV16" s="491"/>
      <c r="JW16" s="488"/>
      <c r="JX16" s="488"/>
      <c r="JY16" s="488"/>
      <c r="JZ16" s="488"/>
    </row>
    <row r="17" spans="1:286" s="31" customFormat="1" ht="195" hidden="1" customHeight="1" x14ac:dyDescent="0.25">
      <c r="A17" s="52" t="s">
        <v>115</v>
      </c>
      <c r="B17" s="20" t="s">
        <v>46</v>
      </c>
      <c r="C17" s="20" t="s">
        <v>157</v>
      </c>
      <c r="D17" s="20">
        <v>2012</v>
      </c>
      <c r="E17" s="20" t="s">
        <v>105</v>
      </c>
      <c r="F17" s="20" t="s">
        <v>48</v>
      </c>
      <c r="G17" s="20" t="s">
        <v>276</v>
      </c>
      <c r="H17" s="20" t="s">
        <v>643</v>
      </c>
      <c r="I17" s="110"/>
      <c r="J17" s="110"/>
      <c r="K17" s="453"/>
      <c r="L17" s="290"/>
      <c r="M17" s="290"/>
      <c r="N17" s="290"/>
      <c r="O17" s="122"/>
      <c r="P17" s="122"/>
      <c r="Q17" s="122"/>
      <c r="R17" s="122"/>
      <c r="S17" s="122"/>
      <c r="T17" s="122"/>
      <c r="U17" s="122"/>
      <c r="V17" s="122"/>
      <c r="W17" s="122"/>
      <c r="X17" s="122"/>
      <c r="Y17" s="122"/>
      <c r="Z17" s="380" t="s">
        <v>309</v>
      </c>
      <c r="AA17" s="382"/>
      <c r="AB17" s="383"/>
      <c r="AC17" s="20" t="s">
        <v>26</v>
      </c>
      <c r="AD17" s="640">
        <f>AE17+AF17</f>
        <v>13</v>
      </c>
      <c r="AE17" s="21"/>
      <c r="AF17" s="20">
        <v>13</v>
      </c>
      <c r="AG17" s="22">
        <v>927.22</v>
      </c>
      <c r="AH17" s="139">
        <v>927.22</v>
      </c>
      <c r="AI17" s="22">
        <f>AH17/AD17</f>
        <v>71.324615384615385</v>
      </c>
      <c r="AJ17" s="116"/>
      <c r="AK17" s="116"/>
      <c r="AL17" s="116"/>
      <c r="AM17" s="116"/>
      <c r="AN17" s="116"/>
      <c r="AO17" s="21"/>
      <c r="AP17" s="680"/>
      <c r="AQ17" s="193"/>
      <c r="AR17" s="21"/>
      <c r="AS17" s="233"/>
      <c r="AT17" s="116"/>
      <c r="AU17" s="116"/>
      <c r="AV17" s="22" t="s">
        <v>168</v>
      </c>
      <c r="AW17" s="332">
        <v>40583</v>
      </c>
      <c r="AX17" s="110"/>
      <c r="AY17" s="332">
        <v>40963</v>
      </c>
      <c r="AZ17" s="332" t="s">
        <v>230</v>
      </c>
      <c r="BA17" s="332"/>
      <c r="BB17" s="332"/>
      <c r="BC17" s="332"/>
      <c r="BD17" s="332"/>
      <c r="BE17" s="332"/>
      <c r="BF17" s="332"/>
      <c r="BG17" s="332"/>
      <c r="BH17" s="332"/>
      <c r="BI17" s="332">
        <v>41253</v>
      </c>
      <c r="BJ17" s="332"/>
      <c r="BK17" s="332" t="s">
        <v>178</v>
      </c>
      <c r="BL17" s="332" t="s">
        <v>178</v>
      </c>
      <c r="BM17" s="332"/>
      <c r="BN17" s="344" t="s">
        <v>18</v>
      </c>
      <c r="BO17" s="344" t="s">
        <v>178</v>
      </c>
      <c r="BP17" s="339"/>
      <c r="BQ17" s="343"/>
      <c r="BR17" s="343"/>
      <c r="BS17" s="344" t="s">
        <v>355</v>
      </c>
      <c r="BT17" s="5"/>
      <c r="BU17" s="376">
        <v>41081</v>
      </c>
      <c r="BV17" s="160"/>
      <c r="BW17" s="160"/>
      <c r="BX17" s="160"/>
      <c r="BY17" s="160"/>
      <c r="BZ17" s="376">
        <v>41193</v>
      </c>
      <c r="CA17" s="160"/>
      <c r="CB17" s="72"/>
      <c r="CC17" s="362"/>
      <c r="CD17" s="164"/>
      <c r="CE17" s="164"/>
      <c r="CF17" s="569">
        <v>41319</v>
      </c>
      <c r="CG17" s="569">
        <f>DATE(YEAR(CF17),MONTH(CF17)+24,DAY(CF17))</f>
        <v>42049</v>
      </c>
      <c r="CH17" s="569">
        <f>DATE(YEAR(CF17),MONTH(CF17)+36,DAY(CF17))</f>
        <v>42414</v>
      </c>
      <c r="CI17" s="569" t="str">
        <f>IF(EV17&gt;CG17,"oui","non")</f>
        <v>oui</v>
      </c>
      <c r="CJ17" s="164"/>
      <c r="CK17" s="72"/>
      <c r="CL17" s="72"/>
      <c r="CM17" s="362"/>
      <c r="CN17" s="72"/>
      <c r="CO17" s="164"/>
      <c r="CP17" s="69"/>
      <c r="CQ17" s="364"/>
      <c r="CR17" s="69"/>
      <c r="CS17" s="198"/>
      <c r="CT17" s="69"/>
      <c r="CU17" s="364"/>
      <c r="CV17" s="69"/>
      <c r="CW17" s="198"/>
      <c r="CX17" s="69"/>
      <c r="CY17" s="364"/>
      <c r="CZ17" s="69"/>
      <c r="DA17" s="198"/>
      <c r="DB17" s="296"/>
      <c r="DC17" s="300"/>
      <c r="DD17" s="300">
        <f>DC17*3/5</f>
        <v>0</v>
      </c>
      <c r="DE17" s="291"/>
      <c r="DF17" s="291"/>
      <c r="DG17" s="291"/>
      <c r="DH17" s="312"/>
      <c r="DI17" s="291"/>
      <c r="DJ17" s="291"/>
      <c r="DK17" s="292"/>
      <c r="DL17" s="293"/>
      <c r="DM17" s="293"/>
      <c r="DN17" s="292"/>
      <c r="DO17" s="292"/>
      <c r="DP17" s="293"/>
      <c r="DQ17" s="304">
        <v>41261</v>
      </c>
      <c r="DR17" s="443"/>
      <c r="DS17" s="443"/>
      <c r="DT17" s="297">
        <v>6314520.7599999998</v>
      </c>
      <c r="DU17" s="304">
        <f>DATE(YEAR(DQ17),MONTH(DQ17)+18,DAY(DQ17))</f>
        <v>41808</v>
      </c>
      <c r="DV17" s="443"/>
      <c r="DW17" s="443"/>
      <c r="DX17" s="415" t="s">
        <v>178</v>
      </c>
      <c r="DY17" s="415">
        <v>41569</v>
      </c>
      <c r="DZ17" s="415">
        <v>41626</v>
      </c>
      <c r="EA17" s="413">
        <v>41309</v>
      </c>
      <c r="EB17" s="203">
        <v>41358</v>
      </c>
      <c r="EC17" s="205">
        <v>15</v>
      </c>
      <c r="ED17" s="205">
        <f>EC17+2</f>
        <v>17</v>
      </c>
      <c r="EE17" s="205">
        <f>DATEDIF(EA17,EN17,"M")</f>
        <v>27</v>
      </c>
      <c r="EF17" s="205">
        <f>DATEDIF(EA17,EV17,"M")</f>
        <v>27</v>
      </c>
      <c r="EG17" s="205">
        <f>EE17-EC17</f>
        <v>12</v>
      </c>
      <c r="EH17" s="205">
        <f>EF17-ED17</f>
        <v>10</v>
      </c>
      <c r="EI17" s="409">
        <f>55171.5718158662/12</f>
        <v>4597.6309846555168</v>
      </c>
      <c r="EJ17" s="409">
        <f>EI17*(EE17-EC17)</f>
        <v>55171.571815866206</v>
      </c>
      <c r="EK17" s="203" t="s">
        <v>178</v>
      </c>
      <c r="EL17" s="216"/>
      <c r="EM17" s="217">
        <v>42036</v>
      </c>
      <c r="EN17" s="203">
        <v>42158</v>
      </c>
      <c r="EO17" s="203"/>
      <c r="EP17" s="334" t="s">
        <v>1003</v>
      </c>
      <c r="EQ17" s="203"/>
      <c r="ER17" s="203"/>
      <c r="ES17" s="203">
        <v>41992</v>
      </c>
      <c r="ET17" s="203"/>
      <c r="EU17" s="203">
        <v>42158</v>
      </c>
      <c r="EV17" s="230">
        <v>42158</v>
      </c>
      <c r="EW17" s="203"/>
      <c r="EX17" s="203"/>
      <c r="EY17" s="328" t="s">
        <v>911</v>
      </c>
      <c r="EZ17" s="213"/>
      <c r="FA17" s="212"/>
      <c r="FB17" s="212"/>
      <c r="FC17" s="212"/>
      <c r="FD17" s="466" t="s">
        <v>506</v>
      </c>
      <c r="FE17" s="212">
        <f>DATE(YEAR(EN17)+1,MONTH(EN17),DAY(EN17))</f>
        <v>42524</v>
      </c>
      <c r="FF17" s="412" t="s">
        <v>473</v>
      </c>
      <c r="FG17" s="347">
        <v>42353</v>
      </c>
      <c r="FH17" s="212"/>
      <c r="FI17" s="212"/>
      <c r="FJ17" s="212"/>
      <c r="FK17" s="212"/>
      <c r="FL17" s="330" t="s">
        <v>975</v>
      </c>
      <c r="FM17" s="330"/>
      <c r="FN17" s="212"/>
      <c r="FO17" s="212"/>
      <c r="FP17" s="294"/>
      <c r="FQ17" s="23">
        <f>+GA17+GE17+GL17+HF17</f>
        <v>1878610</v>
      </c>
      <c r="FR17" s="28">
        <f>GB17+GF17+GM17+HF17+GK17+GQ17</f>
        <v>1878610.47</v>
      </c>
      <c r="FS17" s="25">
        <f>FR17-FQ17</f>
        <v>0.46999999997206032</v>
      </c>
      <c r="FT17" s="25">
        <f>FR17/AG17</f>
        <v>2026.0676754168373</v>
      </c>
      <c r="FU17" s="25">
        <f>FR17/AD17</f>
        <v>144508.49769230769</v>
      </c>
      <c r="FV17" s="23"/>
      <c r="FW17" s="24"/>
      <c r="FX17" s="25">
        <f>FW17-FV17</f>
        <v>0</v>
      </c>
      <c r="FY17" s="231">
        <f>FV17*1.021/FQ17</f>
        <v>0</v>
      </c>
      <c r="FZ17" s="232"/>
      <c r="GA17" s="23">
        <v>706622</v>
      </c>
      <c r="GB17" s="24">
        <v>706398.49</v>
      </c>
      <c r="GC17" s="50">
        <f>GB17/AD17</f>
        <v>54338.345384615386</v>
      </c>
      <c r="GD17" s="73">
        <f>GB17-GA17</f>
        <v>-223.51000000000931</v>
      </c>
      <c r="GE17" s="23">
        <v>1041124</v>
      </c>
      <c r="GF17" s="24">
        <f>+GG17+GH17</f>
        <v>1041347.98</v>
      </c>
      <c r="GG17" s="26">
        <v>179485</v>
      </c>
      <c r="GH17" s="26">
        <v>861862.98</v>
      </c>
      <c r="GI17" s="73">
        <f>GF17-GE17</f>
        <v>223.97999999998137</v>
      </c>
      <c r="GJ17" s="50">
        <f>GF17/AD17</f>
        <v>80103.690769230772</v>
      </c>
      <c r="GK17" s="24">
        <v>0</v>
      </c>
      <c r="GL17" s="23">
        <v>60430</v>
      </c>
      <c r="GM17" s="30">
        <v>60000</v>
      </c>
      <c r="GN17" s="123"/>
      <c r="GO17" s="76">
        <f>GM17/FR17</f>
        <v>3.1938499735924497E-2</v>
      </c>
      <c r="GP17" s="590"/>
      <c r="GQ17" s="30">
        <v>430</v>
      </c>
      <c r="GR17" s="51">
        <f>GM17-GL17</f>
        <v>-430</v>
      </c>
      <c r="GS17" s="50">
        <f>GM17/AD17</f>
        <v>4615.3846153846152</v>
      </c>
      <c r="GT17" s="98"/>
      <c r="GU17" s="51">
        <f>GR17/AD17</f>
        <v>-33.07692307692308</v>
      </c>
      <c r="GV17" s="97"/>
      <c r="GW17" s="97"/>
      <c r="GX17" s="75">
        <v>0</v>
      </c>
      <c r="GY17" s="75">
        <v>0</v>
      </c>
      <c r="GZ17" s="50">
        <f>(GB17+GM17+GY17)/AD17</f>
        <v>58953.729999999996</v>
      </c>
      <c r="HA17" s="75">
        <v>0</v>
      </c>
      <c r="HB17" s="50">
        <f>(GB17+GM17+GY17+HA17)/AD17</f>
        <v>58953.729999999996</v>
      </c>
      <c r="HC17" s="99">
        <f>(GB17+GM17+GY17+HA17)/(GX17+FR17-HD17)</f>
        <v>0.40796029950796558</v>
      </c>
      <c r="HD17" s="75"/>
      <c r="HE17" s="75"/>
      <c r="HF17" s="631">
        <v>70434</v>
      </c>
      <c r="HG17" s="77">
        <f>FR17+GX17</f>
        <v>1878610.47</v>
      </c>
      <c r="HH17" s="491"/>
      <c r="HI17" s="491"/>
      <c r="HJ17" s="494"/>
      <c r="HK17" s="491"/>
      <c r="HL17" s="477"/>
      <c r="HM17" s="477">
        <f>DATE(YEAR(HL17),MONTH(HL17),DAY(HL17)+21)</f>
        <v>21</v>
      </c>
      <c r="HN17" s="477"/>
      <c r="HO17" s="497" t="str">
        <f>IF(AND(HM17&gt;0,HN17&gt;0),HN17-HM17,"0")</f>
        <v>0</v>
      </c>
      <c r="HP17" s="477"/>
      <c r="HQ17" s="481" t="str">
        <f>IF(AND(HN17&gt;0,HP17&gt;0),HP17-HN17,"0")</f>
        <v>0</v>
      </c>
      <c r="HR17" s="497">
        <f>+HQ17-30</f>
        <v>-30</v>
      </c>
      <c r="HS17" s="506" t="str">
        <f>IF(AND(HL17&gt;0,HP17&gt;0),HP17-HL17,"0")</f>
        <v>0</v>
      </c>
      <c r="HT17" s="477"/>
      <c r="HU17" s="497" t="str">
        <f>IF(AND(HP17&gt;0,HT17&gt;0),HT17-HP17,"0")</f>
        <v>0</v>
      </c>
      <c r="HV17" s="477">
        <f>DATE(YEAR(HT17),MONTH(HT17),DAY(HT17)+21)</f>
        <v>21</v>
      </c>
      <c r="HW17" s="477"/>
      <c r="HX17" s="497" t="str">
        <f>IF(AND(HV17&gt;0,HW17&gt;0),HW17-HV17,"0")</f>
        <v>0</v>
      </c>
      <c r="HY17" s="476"/>
      <c r="HZ17" s="481" t="str">
        <f>IF(AND(HW17&gt;0,HY17&gt;0),HY17-HW17,"0")</f>
        <v>0</v>
      </c>
      <c r="IA17" s="497">
        <f>+HZ17-30</f>
        <v>-30</v>
      </c>
      <c r="IB17" s="506" t="str">
        <f>IF(AND(HT17&gt;0,HY17&gt;0),HY17-HT17,"0")</f>
        <v>0</v>
      </c>
      <c r="IC17" s="490"/>
      <c r="ID17" s="491"/>
      <c r="IE17" s="477"/>
      <c r="IF17" s="477"/>
      <c r="IG17" s="494"/>
      <c r="IH17" s="491"/>
      <c r="II17" s="478"/>
      <c r="IJ17" s="497" t="str">
        <f>IF(AND(HY17&gt;0,II17&gt;0),II17-HY17,"0")</f>
        <v>0</v>
      </c>
      <c r="IK17" s="478">
        <f>DATE(YEAR(II17),MONTH(II17),DAY(II17)+30)</f>
        <v>30</v>
      </c>
      <c r="IL17" s="478"/>
      <c r="IM17" s="497" t="str">
        <f>IF(AND(IK17&gt;0,IL17&gt;0),IL17-IK17,"0")</f>
        <v>0</v>
      </c>
      <c r="IN17" s="478"/>
      <c r="IO17" s="481" t="str">
        <f>IF(AND(IL17&gt;0,IN17&gt;0),IN17-IL17,"0")</f>
        <v>0</v>
      </c>
      <c r="IP17" s="497">
        <f>+IO17-30</f>
        <v>-30</v>
      </c>
      <c r="IQ17" s="506" t="str">
        <f>IF(AND(II17&gt;0,IN17&gt;0),IN17-II17,"0")</f>
        <v>0</v>
      </c>
      <c r="IR17" s="490"/>
      <c r="IS17" s="491"/>
      <c r="IT17" s="478"/>
      <c r="IU17" s="498" t="str">
        <f>IF(AND(IN17&gt;0,IT17&gt;0),IT17-IN17,"0")</f>
        <v>0</v>
      </c>
      <c r="IV17" s="478">
        <f>DATE(YEAR(IT17),MONTH(IT17),DAY(IT17)+30)</f>
        <v>30</v>
      </c>
      <c r="IW17" s="478"/>
      <c r="IX17" s="498" t="str">
        <f>IF(AND(IV17&gt;0,IW17&gt;0),IW17-IV17,"0")</f>
        <v>0</v>
      </c>
      <c r="IY17" s="478"/>
      <c r="IZ17" s="482" t="str">
        <f>IF(AND(IW17&gt;0,IY17&gt;0),IY17-IW17,"0")</f>
        <v>0</v>
      </c>
      <c r="JA17" s="498">
        <f>IZ17-30</f>
        <v>-30</v>
      </c>
      <c r="JB17" s="508" t="str">
        <f>IF(AND(IT17&gt;0,IY17&gt;0),IY17-IT17,"0")</f>
        <v>0</v>
      </c>
      <c r="JC17" s="490"/>
      <c r="JD17" s="491"/>
      <c r="JE17" s="212"/>
      <c r="JF17" s="487" t="str">
        <f>IF(AND(IY17&gt;0,JE17&gt;0),JE17-IY17,"0")</f>
        <v>0</v>
      </c>
      <c r="JG17" s="212">
        <f>DATE(YEAR(JE17),MONTH(JE17),DAY(JE17)+15)</f>
        <v>15</v>
      </c>
      <c r="JH17" s="212"/>
      <c r="JI17" s="487" t="str">
        <f>IF(AND(JG17&gt;0,JH17&gt;0),JH17-JG17,"0")</f>
        <v>0</v>
      </c>
      <c r="JJ17" s="212">
        <f>DATE(YEAR(JH17),MONTH(JH17),DAY(JH17)+15)</f>
        <v>15</v>
      </c>
      <c r="JK17" s="212"/>
      <c r="JL17" s="487" t="str">
        <f>IF(AND(JJ17&gt;0,JK17&gt;0),JK17-JJ17,"0")</f>
        <v>0</v>
      </c>
      <c r="JM17" s="509" t="str">
        <f>IF(AND(JE17&gt;0,JK17&gt;0),JK17-JE17,"0")</f>
        <v>0</v>
      </c>
      <c r="JN17" s="499"/>
      <c r="JO17" s="501" t="str">
        <f>IF(AND(JK17&gt;0,JN17&gt;0),JN17-JK17,"0")</f>
        <v>0</v>
      </c>
      <c r="JP17" s="498">
        <f>JO17-60</f>
        <v>-60</v>
      </c>
      <c r="JQ17" s="482">
        <f>291/30</f>
        <v>9.6999999999999993</v>
      </c>
      <c r="JR17" s="504">
        <f>((+HS17+HU17+IB17+IJ17+IQ17+IU17+JB17+JI17+JF17)/30)-JQ17</f>
        <v>-9.6999999999999993</v>
      </c>
      <c r="JS17" s="490"/>
      <c r="JT17" s="491"/>
      <c r="JU17" s="490"/>
      <c r="JV17" s="491"/>
      <c r="JW17" s="488"/>
      <c r="JX17" s="488"/>
      <c r="JY17" s="488"/>
      <c r="JZ17" s="488"/>
    </row>
    <row r="18" spans="1:286" s="31" customFormat="1" ht="135" hidden="1" customHeight="1" x14ac:dyDescent="0.25">
      <c r="A18" s="141" t="s">
        <v>97</v>
      </c>
      <c r="B18" s="20" t="s">
        <v>46</v>
      </c>
      <c r="C18" s="20" t="s">
        <v>157</v>
      </c>
      <c r="D18" s="20">
        <v>2012</v>
      </c>
      <c r="E18" s="20" t="s">
        <v>108</v>
      </c>
      <c r="F18" s="20" t="s">
        <v>637</v>
      </c>
      <c r="G18" s="20" t="s">
        <v>273</v>
      </c>
      <c r="H18" s="20" t="s">
        <v>244</v>
      </c>
      <c r="I18" s="110"/>
      <c r="J18" s="110"/>
      <c r="K18" s="453" t="s">
        <v>953</v>
      </c>
      <c r="L18" s="290"/>
      <c r="M18" s="290"/>
      <c r="N18" s="290"/>
      <c r="O18" s="379">
        <v>12495</v>
      </c>
      <c r="P18" s="379">
        <v>825000</v>
      </c>
      <c r="Q18" s="379">
        <v>546365</v>
      </c>
      <c r="R18" s="379">
        <f>P18/AD18</f>
        <v>12692.307692307691</v>
      </c>
      <c r="S18" s="379">
        <f>P18/O18</f>
        <v>66.026410564225685</v>
      </c>
      <c r="T18" s="379">
        <f>Q18/O18</f>
        <v>43.726690676270508</v>
      </c>
      <c r="U18" s="379">
        <f>Q18/AH18</f>
        <v>102.74383478695837</v>
      </c>
      <c r="V18" s="379">
        <f>Q18/AD18</f>
        <v>8405.6153846153848</v>
      </c>
      <c r="W18" s="379">
        <f>O18/AD18</f>
        <v>192.23076923076923</v>
      </c>
      <c r="X18" s="379"/>
      <c r="Y18" s="381">
        <f>AH18/O18</f>
        <v>0.42558943577430969</v>
      </c>
      <c r="Z18" s="380" t="s">
        <v>327</v>
      </c>
      <c r="AA18" s="382">
        <v>850</v>
      </c>
      <c r="AB18" s="383"/>
      <c r="AC18" s="20" t="s">
        <v>26</v>
      </c>
      <c r="AD18" s="640">
        <f>AE18+AF18</f>
        <v>65</v>
      </c>
      <c r="AE18" s="21"/>
      <c r="AF18" s="20">
        <v>65</v>
      </c>
      <c r="AG18" s="22">
        <v>5311.74</v>
      </c>
      <c r="AH18" s="139">
        <v>5317.74</v>
      </c>
      <c r="AI18" s="22">
        <f>AH18/AD18</f>
        <v>81.811384615384611</v>
      </c>
      <c r="AJ18" s="135">
        <f>0/AD18</f>
        <v>0</v>
      </c>
      <c r="AK18" s="135">
        <f>19/AD18</f>
        <v>0.29230769230769232</v>
      </c>
      <c r="AL18" s="135">
        <f>20/AD18</f>
        <v>0.30769230769230771</v>
      </c>
      <c r="AM18" s="135">
        <f>23/AD18</f>
        <v>0.35384615384615387</v>
      </c>
      <c r="AN18" s="135">
        <f>3/AD18</f>
        <v>4.6153846153846156E-2</v>
      </c>
      <c r="AO18" s="22" t="s">
        <v>324</v>
      </c>
      <c r="AP18" s="133">
        <v>2000</v>
      </c>
      <c r="AQ18" s="135">
        <f>AP18/O18</f>
        <v>0.1600640256102441</v>
      </c>
      <c r="AR18" s="114">
        <v>2.5</v>
      </c>
      <c r="AS18" s="233"/>
      <c r="AT18" s="116"/>
      <c r="AU18" s="116"/>
      <c r="AV18" s="22"/>
      <c r="AW18" s="332">
        <v>40583</v>
      </c>
      <c r="AX18" s="110"/>
      <c r="AY18" s="332">
        <v>40963</v>
      </c>
      <c r="AZ18" s="332" t="s">
        <v>230</v>
      </c>
      <c r="BA18" s="332"/>
      <c r="BB18" s="332"/>
      <c r="BC18" s="332"/>
      <c r="BD18" s="332"/>
      <c r="BE18" s="332"/>
      <c r="BF18" s="332"/>
      <c r="BG18" s="332"/>
      <c r="BH18" s="332"/>
      <c r="BI18" s="332">
        <v>41253</v>
      </c>
      <c r="BJ18" s="332"/>
      <c r="BK18" s="332" t="s">
        <v>178</v>
      </c>
      <c r="BL18" s="332" t="s">
        <v>178</v>
      </c>
      <c r="BM18" s="332"/>
      <c r="BN18" s="344" t="s">
        <v>18</v>
      </c>
      <c r="BO18" s="344" t="s">
        <v>178</v>
      </c>
      <c r="BP18" s="339"/>
      <c r="BQ18" s="343"/>
      <c r="BR18" s="343"/>
      <c r="BS18" s="344" t="s">
        <v>351</v>
      </c>
      <c r="BT18" s="5"/>
      <c r="BU18" s="376">
        <v>41091</v>
      </c>
      <c r="BV18" s="160"/>
      <c r="BW18" s="160"/>
      <c r="BX18" s="160"/>
      <c r="BY18" s="160"/>
      <c r="BZ18" s="376">
        <v>41134</v>
      </c>
      <c r="CA18" s="160"/>
      <c r="CB18" s="72"/>
      <c r="CC18" s="362"/>
      <c r="CD18" s="164"/>
      <c r="CE18" s="164"/>
      <c r="CF18" s="569">
        <v>41319</v>
      </c>
      <c r="CG18" s="569">
        <f>DATE(YEAR(CF18),MONTH(CF18)+24,DAY(CF18))</f>
        <v>42049</v>
      </c>
      <c r="CH18" s="569">
        <f>DATE(YEAR(CF18),MONTH(CF18)+36,DAY(CF18))</f>
        <v>42414</v>
      </c>
      <c r="CI18" s="569" t="str">
        <f>IF(EV18&gt;CG18,"oui","non")</f>
        <v>oui</v>
      </c>
      <c r="CJ18" s="164"/>
      <c r="CK18" s="72"/>
      <c r="CL18" s="72"/>
      <c r="CM18" s="362"/>
      <c r="CN18" s="72"/>
      <c r="CO18" s="164"/>
      <c r="CP18" s="69"/>
      <c r="CQ18" s="364"/>
      <c r="CR18" s="69"/>
      <c r="CS18" s="198"/>
      <c r="CT18" s="69"/>
      <c r="CU18" s="364"/>
      <c r="CV18" s="69"/>
      <c r="CW18" s="198"/>
      <c r="CX18" s="69"/>
      <c r="CY18" s="364"/>
      <c r="CZ18" s="69"/>
      <c r="DA18" s="198"/>
      <c r="DB18" s="296" t="s">
        <v>195</v>
      </c>
      <c r="DC18" s="300">
        <v>241360</v>
      </c>
      <c r="DD18" s="300">
        <f>DC18*3/5</f>
        <v>144816</v>
      </c>
      <c r="DE18" s="291"/>
      <c r="DF18" s="291"/>
      <c r="DG18" s="291"/>
      <c r="DH18" s="312"/>
      <c r="DI18" s="291"/>
      <c r="DJ18" s="291"/>
      <c r="DK18" s="292"/>
      <c r="DL18" s="293"/>
      <c r="DM18" s="293"/>
      <c r="DN18" s="292"/>
      <c r="DO18" s="292"/>
      <c r="DP18" s="293"/>
      <c r="DQ18" s="304">
        <v>41261</v>
      </c>
      <c r="DR18" s="443"/>
      <c r="DS18" s="443"/>
      <c r="DT18" s="297">
        <v>9857157.1899999995</v>
      </c>
      <c r="DU18" s="304">
        <f>DATE(YEAR(DQ18),MONTH(DQ18)+18,DAY(DQ18))</f>
        <v>41808</v>
      </c>
      <c r="DV18" s="443">
        <v>41785</v>
      </c>
      <c r="DW18" s="443"/>
      <c r="DX18" s="415">
        <v>41582</v>
      </c>
      <c r="DY18" s="415">
        <v>41583</v>
      </c>
      <c r="DZ18" s="415">
        <v>41933</v>
      </c>
      <c r="EA18" s="413">
        <v>41320</v>
      </c>
      <c r="EB18" s="413" t="s">
        <v>178</v>
      </c>
      <c r="EC18" s="205">
        <v>21</v>
      </c>
      <c r="ED18" s="222">
        <f>EC18+2</f>
        <v>23</v>
      </c>
      <c r="EE18" s="224">
        <f>DATEDIF(EA18,EN18,"M")</f>
        <v>50</v>
      </c>
      <c r="EF18" s="422">
        <f>DATEDIF(EA18,EV18,"M")</f>
        <v>51</v>
      </c>
      <c r="EG18" s="224">
        <f>EE18-EC18</f>
        <v>29</v>
      </c>
      <c r="EH18" s="422">
        <f>EF18-ED18</f>
        <v>28</v>
      </c>
      <c r="EI18" s="410">
        <f>329858.71178776/12</f>
        <v>27488.225982313335</v>
      </c>
      <c r="EJ18" s="410">
        <f>EI18*(EE18-EC18)</f>
        <v>797158.55348708667</v>
      </c>
      <c r="EK18" s="413">
        <v>42535</v>
      </c>
      <c r="EL18" s="413">
        <v>42502</v>
      </c>
      <c r="EM18" s="210" t="s">
        <v>370</v>
      </c>
      <c r="EN18" s="211">
        <v>42856</v>
      </c>
      <c r="EO18" s="450">
        <f>DATE(YEAR(DV18)+2,MONTH(DV18),DAY(DV18))</f>
        <v>42516</v>
      </c>
      <c r="EP18" s="211"/>
      <c r="EQ18" s="208"/>
      <c r="ER18" s="208"/>
      <c r="ES18" s="208"/>
      <c r="ET18" s="208"/>
      <c r="EU18" s="227">
        <f>DATE(YEAR(EN18),MONTH(EN18)+1,DAY(EN18))</f>
        <v>42887</v>
      </c>
      <c r="EV18" s="230">
        <f>DATE(YEAR(EU18),MONTH(EU18)*1,DAY(EU18))</f>
        <v>42887</v>
      </c>
      <c r="EW18" s="211" t="s">
        <v>506</v>
      </c>
      <c r="EX18" s="512" t="s">
        <v>974</v>
      </c>
      <c r="EY18" s="515" t="s">
        <v>999</v>
      </c>
      <c r="EZ18" s="212"/>
      <c r="FA18" s="212"/>
      <c r="FB18" s="212"/>
      <c r="FC18" s="212"/>
      <c r="FD18" s="110"/>
      <c r="FE18" s="212"/>
      <c r="FF18" s="212" t="s">
        <v>570</v>
      </c>
      <c r="FG18" s="212"/>
      <c r="FH18" s="212"/>
      <c r="FI18" s="212"/>
      <c r="FJ18" s="212"/>
      <c r="FK18" s="212"/>
      <c r="FL18" s="212"/>
      <c r="FM18" s="212"/>
      <c r="FN18" s="212"/>
      <c r="FO18" s="212"/>
      <c r="FP18" s="294"/>
      <c r="FQ18" s="23">
        <f>+GA18+GE18+GL18+HF18</f>
        <v>10302884.478743382</v>
      </c>
      <c r="FR18" s="28">
        <f>GB18+GF18+GM18+HF18+GK18+GQ18</f>
        <v>10302885.028743383</v>
      </c>
      <c r="FS18" s="25">
        <f>FR18-FQ18</f>
        <v>0.55000000074505806</v>
      </c>
      <c r="FT18" s="25">
        <f>FR18/AG18</f>
        <v>1939.6440768455125</v>
      </c>
      <c r="FU18" s="25">
        <f>FR18/AD18</f>
        <v>158505.92351912896</v>
      </c>
      <c r="FV18" s="23">
        <v>9295451</v>
      </c>
      <c r="FW18" s="24"/>
      <c r="FX18" s="25">
        <f>FW18-FV18</f>
        <v>-9295451</v>
      </c>
      <c r="FY18" s="231">
        <f>FV18*1.021/FQ18</f>
        <v>0.92116489227660947</v>
      </c>
      <c r="FZ18" s="232"/>
      <c r="GA18" s="23">
        <v>3195831</v>
      </c>
      <c r="GB18" s="24">
        <v>3195831</v>
      </c>
      <c r="GC18" s="50">
        <f>GB18/AD18</f>
        <v>49166.630769230767</v>
      </c>
      <c r="GD18" s="73">
        <f>GB18-GA18</f>
        <v>0</v>
      </c>
      <c r="GE18" s="23">
        <v>6112292</v>
      </c>
      <c r="GF18" s="24">
        <f>+GG18+GH18</f>
        <v>6112292.5499999998</v>
      </c>
      <c r="GG18" s="26">
        <v>1264343</v>
      </c>
      <c r="GH18" s="26">
        <v>4847949.55</v>
      </c>
      <c r="GI18" s="73">
        <f>GF18-GE18</f>
        <v>0.54999999981373549</v>
      </c>
      <c r="GJ18" s="50">
        <f>GF18/AD18</f>
        <v>94035.27</v>
      </c>
      <c r="GK18" s="24">
        <v>0</v>
      </c>
      <c r="GL18" s="23">
        <v>790394</v>
      </c>
      <c r="GM18" s="30">
        <v>790394</v>
      </c>
      <c r="GN18" s="123"/>
      <c r="GO18" s="76">
        <f>GM18/FR18</f>
        <v>7.6715793469006852E-2</v>
      </c>
      <c r="GP18" s="590"/>
      <c r="GQ18" s="30">
        <v>0</v>
      </c>
      <c r="GR18" s="51">
        <f>GM18-GL18</f>
        <v>0</v>
      </c>
      <c r="GS18" s="50">
        <f>GM18/AD18</f>
        <v>12159.907692307692</v>
      </c>
      <c r="GT18" s="98"/>
      <c r="GU18" s="51">
        <f>GR18/AD18</f>
        <v>0</v>
      </c>
      <c r="GV18" s="97"/>
      <c r="GW18" s="97"/>
      <c r="GX18" s="75">
        <v>1951680.4950927752</v>
      </c>
      <c r="GY18" s="75">
        <v>1300000</v>
      </c>
      <c r="GZ18" s="50">
        <f>(GB18+GM18+GY18)/AD18</f>
        <v>81326.538461538468</v>
      </c>
      <c r="HA18" s="75">
        <v>0</v>
      </c>
      <c r="HB18" s="50">
        <f>(GB18+GM18+GY18+HA18)/AD18</f>
        <v>81326.538461538468</v>
      </c>
      <c r="HC18" s="99">
        <f>(GB18+GM18+GY18+HA18)/(GX18+FR18-HD18)</f>
        <v>0.4519405354846413</v>
      </c>
      <c r="HD18" s="75">
        <v>557838.66500000004</v>
      </c>
      <c r="HE18" s="632"/>
      <c r="HF18" s="631">
        <v>204367.47874338186</v>
      </c>
      <c r="HG18" s="77">
        <f>FR18+GX18</f>
        <v>12254565.523836158</v>
      </c>
      <c r="HH18" s="491"/>
      <c r="HI18" s="491"/>
      <c r="HJ18" s="494"/>
      <c r="HK18" s="491"/>
      <c r="HL18" s="477"/>
      <c r="HM18" s="477">
        <f>DATE(YEAR(HL18),MONTH(HL18),DAY(HL18)+21)</f>
        <v>21</v>
      </c>
      <c r="HN18" s="477"/>
      <c r="HO18" s="497" t="str">
        <f>IF(AND(HM18&gt;0,HN18&gt;0),HN18-HM18,"0")</f>
        <v>0</v>
      </c>
      <c r="HP18" s="477"/>
      <c r="HQ18" s="481" t="str">
        <f>IF(AND(HN18&gt;0,HP18&gt;0),HP18-HN18,"0")</f>
        <v>0</v>
      </c>
      <c r="HR18" s="497">
        <f>+HQ18-30</f>
        <v>-30</v>
      </c>
      <c r="HS18" s="506" t="str">
        <f>IF(AND(HL18&gt;0,HP18&gt;0),HP18-HL18,"0")</f>
        <v>0</v>
      </c>
      <c r="HT18" s="477"/>
      <c r="HU18" s="497" t="str">
        <f>IF(AND(HP18&gt;0,HT18&gt;0),HT18-HP18,"0")</f>
        <v>0</v>
      </c>
      <c r="HV18" s="477">
        <f>DATE(YEAR(HT18),MONTH(HT18),DAY(HT18)+21)</f>
        <v>21</v>
      </c>
      <c r="HW18" s="477"/>
      <c r="HX18" s="497" t="str">
        <f>IF(AND(HV18&gt;0,HW18&gt;0),HW18-HV18,"0")</f>
        <v>0</v>
      </c>
      <c r="HY18" s="476"/>
      <c r="HZ18" s="481" t="str">
        <f>IF(AND(HW18&gt;0,HY18&gt;0),HY18-HW18,"0")</f>
        <v>0</v>
      </c>
      <c r="IA18" s="497">
        <f>+HZ18-30</f>
        <v>-30</v>
      </c>
      <c r="IB18" s="506" t="str">
        <f>IF(AND(HT18&gt;0,HY18&gt;0),HY18-HT18,"0")</f>
        <v>0</v>
      </c>
      <c r="IC18" s="490"/>
      <c r="ID18" s="491"/>
      <c r="IE18" s="477"/>
      <c r="IF18" s="477"/>
      <c r="IG18" s="494"/>
      <c r="IH18" s="491"/>
      <c r="II18" s="478"/>
      <c r="IJ18" s="497" t="str">
        <f>IF(AND(HY18&gt;0,II18&gt;0),II18-HY18,"0")</f>
        <v>0</v>
      </c>
      <c r="IK18" s="478">
        <f>DATE(YEAR(II18),MONTH(II18),DAY(II18)+30)</f>
        <v>30</v>
      </c>
      <c r="IL18" s="478"/>
      <c r="IM18" s="497" t="str">
        <f>IF(AND(IK18&gt;0,IL18&gt;0),IL18-IK18,"0")</f>
        <v>0</v>
      </c>
      <c r="IN18" s="478"/>
      <c r="IO18" s="481" t="str">
        <f>IF(AND(IL18&gt;0,IN18&gt;0),IN18-IL18,"0")</f>
        <v>0</v>
      </c>
      <c r="IP18" s="497">
        <f>+IO18-30</f>
        <v>-30</v>
      </c>
      <c r="IQ18" s="506" t="str">
        <f>IF(AND(II18&gt;0,IN18&gt;0),IN18-II18,"0")</f>
        <v>0</v>
      </c>
      <c r="IR18" s="490"/>
      <c r="IS18" s="491"/>
      <c r="IT18" s="478"/>
      <c r="IU18" s="498" t="str">
        <f>IF(AND(IN18&gt;0,IT18&gt;0),IT18-IN18,"0")</f>
        <v>0</v>
      </c>
      <c r="IV18" s="478">
        <f>DATE(YEAR(IT18),MONTH(IT18),DAY(IT18)+30)</f>
        <v>30</v>
      </c>
      <c r="IW18" s="478"/>
      <c r="IX18" s="498" t="str">
        <f>IF(AND(IV18&gt;0,IW18&gt;0),IW18-IV18,"0")</f>
        <v>0</v>
      </c>
      <c r="IY18" s="478"/>
      <c r="IZ18" s="482" t="str">
        <f>IF(AND(IW18&gt;0,IY18&gt;0),IY18-IW18,"0")</f>
        <v>0</v>
      </c>
      <c r="JA18" s="498">
        <f>IZ18-30</f>
        <v>-30</v>
      </c>
      <c r="JB18" s="508" t="str">
        <f>IF(AND(IT18&gt;0,IY18&gt;0),IY18-IT18,"0")</f>
        <v>0</v>
      </c>
      <c r="JC18" s="490"/>
      <c r="JD18" s="491"/>
      <c r="JE18" s="212"/>
      <c r="JF18" s="487" t="str">
        <f>IF(AND(IY18&gt;0,JE18&gt;0),JE18-IY18,"0")</f>
        <v>0</v>
      </c>
      <c r="JG18" s="212">
        <f>DATE(YEAR(JE18),MONTH(JE18),DAY(JE18)+15)</f>
        <v>15</v>
      </c>
      <c r="JH18" s="212"/>
      <c r="JI18" s="487" t="str">
        <f>IF(AND(JG18&gt;0,JH18&gt;0),JH18-JG18,"0")</f>
        <v>0</v>
      </c>
      <c r="JJ18" s="212">
        <f>DATE(YEAR(JH18),MONTH(JH18),DAY(JH18)+15)</f>
        <v>15</v>
      </c>
      <c r="JK18" s="212"/>
      <c r="JL18" s="487" t="str">
        <f>IF(AND(JJ18&gt;0,JK18&gt;0),JK18-JJ18,"0")</f>
        <v>0</v>
      </c>
      <c r="JM18" s="509" t="str">
        <f>IF(AND(JE18&gt;0,JK18&gt;0),JK18-JE18,"0")</f>
        <v>0</v>
      </c>
      <c r="JN18" s="499"/>
      <c r="JO18" s="501" t="str">
        <f>IF(AND(JK18&gt;0,JN18&gt;0),JN18-JK18,"0")</f>
        <v>0</v>
      </c>
      <c r="JP18" s="498">
        <f>JO18-60</f>
        <v>-60</v>
      </c>
      <c r="JQ18" s="482">
        <f>291/30</f>
        <v>9.6999999999999993</v>
      </c>
      <c r="JR18" s="504">
        <f>((+HS18+HU18+IB18+IJ18+IQ18+IU18+JB18+JI18+JF18)/30)-JQ18</f>
        <v>-9.6999999999999993</v>
      </c>
      <c r="JS18" s="490"/>
      <c r="JT18" s="491"/>
      <c r="JU18" s="490"/>
      <c r="JV18" s="491"/>
      <c r="JW18" s="586"/>
      <c r="JX18" s="586"/>
      <c r="JY18" s="586"/>
      <c r="JZ18" s="586"/>
    </row>
    <row r="19" spans="1:286" s="31" customFormat="1" ht="124.5" hidden="1" customHeight="1" x14ac:dyDescent="0.25">
      <c r="A19" s="52" t="s">
        <v>93</v>
      </c>
      <c r="B19" s="20" t="s">
        <v>101</v>
      </c>
      <c r="C19" s="20" t="s">
        <v>159</v>
      </c>
      <c r="D19" s="20">
        <v>2012</v>
      </c>
      <c r="E19" s="20" t="s">
        <v>103</v>
      </c>
      <c r="F19" s="20" t="s">
        <v>74</v>
      </c>
      <c r="G19" s="20" t="s">
        <v>719</v>
      </c>
      <c r="H19" s="20" t="s">
        <v>643</v>
      </c>
      <c r="I19" s="110"/>
      <c r="J19" s="110"/>
      <c r="K19" s="453"/>
      <c r="L19" s="290"/>
      <c r="M19" s="290"/>
      <c r="N19" s="290"/>
      <c r="O19" s="379">
        <v>606</v>
      </c>
      <c r="P19" s="379">
        <v>89040</v>
      </c>
      <c r="Q19" s="379">
        <v>51520</v>
      </c>
      <c r="R19" s="379">
        <f>P19/AD19</f>
        <v>12720</v>
      </c>
      <c r="S19" s="379">
        <f>P19/O19</f>
        <v>146.93069306930693</v>
      </c>
      <c r="T19" s="379">
        <f>Q19/O19</f>
        <v>85.016501650165011</v>
      </c>
      <c r="U19" s="379">
        <f>Q19/AH19</f>
        <v>96.464949071300168</v>
      </c>
      <c r="V19" s="379">
        <f>Q19/AD19</f>
        <v>7360</v>
      </c>
      <c r="W19" s="379">
        <f>O19/AD19</f>
        <v>86.571428571428569</v>
      </c>
      <c r="X19" s="380">
        <v>300</v>
      </c>
      <c r="Y19" s="381">
        <f>AH19/O19</f>
        <v>0.88132013201320136</v>
      </c>
      <c r="Z19" s="380" t="s">
        <v>327</v>
      </c>
      <c r="AA19" s="382"/>
      <c r="AB19" s="382"/>
      <c r="AC19" s="20" t="s">
        <v>26</v>
      </c>
      <c r="AD19" s="640">
        <f>AE19+AF19</f>
        <v>7</v>
      </c>
      <c r="AE19" s="21"/>
      <c r="AF19" s="20">
        <v>7</v>
      </c>
      <c r="AG19" s="22">
        <v>534.08000000000004</v>
      </c>
      <c r="AH19" s="139">
        <v>534.08000000000004</v>
      </c>
      <c r="AI19" s="22">
        <f>AH19/AD19</f>
        <v>76.297142857142859</v>
      </c>
      <c r="AJ19" s="135"/>
      <c r="AK19" s="135">
        <v>0.28999999999999998</v>
      </c>
      <c r="AL19" s="135">
        <v>0.56999999999999995</v>
      </c>
      <c r="AM19" s="135">
        <v>0.14000000000000001</v>
      </c>
      <c r="AN19" s="135"/>
      <c r="AO19" s="22">
        <v>217.58</v>
      </c>
      <c r="AP19" s="133">
        <v>238</v>
      </c>
      <c r="AQ19" s="135">
        <f>AP19/O19</f>
        <v>0.39273927392739272</v>
      </c>
      <c r="AR19" s="114">
        <v>2</v>
      </c>
      <c r="AS19" s="233"/>
      <c r="AT19" s="116"/>
      <c r="AU19" s="116"/>
      <c r="AV19" s="22"/>
      <c r="AW19" s="332">
        <v>40610</v>
      </c>
      <c r="AX19" s="110"/>
      <c r="AY19" s="332">
        <v>40963</v>
      </c>
      <c r="AZ19" s="332" t="s">
        <v>230</v>
      </c>
      <c r="BA19" s="332"/>
      <c r="BB19" s="332"/>
      <c r="BC19" s="332"/>
      <c r="BD19" s="332"/>
      <c r="BE19" s="332"/>
      <c r="BF19" s="332"/>
      <c r="BG19" s="332"/>
      <c r="BH19" s="332"/>
      <c r="BI19" s="332">
        <v>41257</v>
      </c>
      <c r="BJ19" s="332"/>
      <c r="BK19" s="332" t="s">
        <v>178</v>
      </c>
      <c r="BL19" s="332" t="s">
        <v>178</v>
      </c>
      <c r="BM19" s="332"/>
      <c r="BN19" s="344" t="s">
        <v>17</v>
      </c>
      <c r="BO19" s="344" t="s">
        <v>178</v>
      </c>
      <c r="BP19" s="339"/>
      <c r="BQ19" s="343"/>
      <c r="BR19" s="343"/>
      <c r="BS19" s="344" t="s">
        <v>350</v>
      </c>
      <c r="BT19" s="5"/>
      <c r="BU19" s="376">
        <v>41171</v>
      </c>
      <c r="BV19" s="160"/>
      <c r="BW19" s="160"/>
      <c r="BX19" s="160"/>
      <c r="BY19" s="160"/>
      <c r="BZ19" s="376">
        <v>41225</v>
      </c>
      <c r="CA19" s="160"/>
      <c r="CB19" s="72"/>
      <c r="CC19" s="362"/>
      <c r="CD19" s="164"/>
      <c r="CE19" s="164"/>
      <c r="CF19" s="568"/>
      <c r="CG19" s="569">
        <f>DATE(YEAR(CF19),MONTH(CF19)+24,DAY(CF19))</f>
        <v>731</v>
      </c>
      <c r="CH19" s="569">
        <f>DATE(YEAR(CF19),MONTH(CF19)+36,DAY(CF19))</f>
        <v>1096</v>
      </c>
      <c r="CI19" s="569" t="str">
        <f>IF(EV19&lt;$CG$11,"oui","non")</f>
        <v>oui</v>
      </c>
      <c r="CJ19" s="164"/>
      <c r="CK19" s="72"/>
      <c r="CL19" s="72"/>
      <c r="CM19" s="362"/>
      <c r="CN19" s="72"/>
      <c r="CO19" s="164"/>
      <c r="CP19" s="69"/>
      <c r="CQ19" s="364"/>
      <c r="CR19" s="69"/>
      <c r="CS19" s="198"/>
      <c r="CT19" s="69"/>
      <c r="CU19" s="364"/>
      <c r="CV19" s="69"/>
      <c r="CW19" s="198"/>
      <c r="CX19" s="69"/>
      <c r="CY19" s="364"/>
      <c r="CZ19" s="69"/>
      <c r="DA19" s="198"/>
      <c r="DB19" s="296" t="s">
        <v>88</v>
      </c>
      <c r="DC19" s="300">
        <v>25739</v>
      </c>
      <c r="DD19" s="300">
        <f>DC19*3/5</f>
        <v>15443.4</v>
      </c>
      <c r="DE19" s="291"/>
      <c r="DF19" s="291"/>
      <c r="DG19" s="291"/>
      <c r="DH19" s="312"/>
      <c r="DI19" s="291"/>
      <c r="DJ19" s="291"/>
      <c r="DK19" s="292"/>
      <c r="DL19" s="293"/>
      <c r="DM19" s="293"/>
      <c r="DN19" s="292"/>
      <c r="DO19" s="292"/>
      <c r="DP19" s="293"/>
      <c r="DQ19" s="304">
        <v>41255</v>
      </c>
      <c r="DR19" s="443"/>
      <c r="DS19" s="443"/>
      <c r="DT19" s="297">
        <v>1051215.9099999999</v>
      </c>
      <c r="DU19" s="304">
        <f>DATE(YEAR(DQ19),MONTH(DQ19)+18,DAY(DQ19))</f>
        <v>41802</v>
      </c>
      <c r="DV19" s="443"/>
      <c r="DW19" s="443"/>
      <c r="DX19" s="415" t="s">
        <v>178</v>
      </c>
      <c r="DY19" s="415" t="s">
        <v>178</v>
      </c>
      <c r="DZ19" s="415">
        <v>41800</v>
      </c>
      <c r="EA19" s="203">
        <v>41400</v>
      </c>
      <c r="EB19" s="203" t="s">
        <v>178</v>
      </c>
      <c r="EC19" s="229">
        <v>10</v>
      </c>
      <c r="ED19" s="229">
        <f>EC19+1</f>
        <v>11</v>
      </c>
      <c r="EE19" s="205">
        <f>DATEDIF(EA19,EN19,"M")</f>
        <v>14</v>
      </c>
      <c r="EF19" s="205">
        <f>DATEDIF(EA19,EV19,"M")</f>
        <v>16</v>
      </c>
      <c r="EG19" s="205">
        <f>EE19-EC19</f>
        <v>4</v>
      </c>
      <c r="EH19" s="205">
        <f>EF19-ED19</f>
        <v>5</v>
      </c>
      <c r="EI19" s="409">
        <f>33787/12</f>
        <v>2815.5833333333335</v>
      </c>
      <c r="EJ19" s="409">
        <f>EI19*(EE19-EC19)</f>
        <v>11262.333333333334</v>
      </c>
      <c r="EK19" s="203" t="s">
        <v>178</v>
      </c>
      <c r="EL19" s="230">
        <v>41821</v>
      </c>
      <c r="EM19" s="230">
        <v>41841</v>
      </c>
      <c r="EN19" s="230">
        <v>41831</v>
      </c>
      <c r="EO19" s="230"/>
      <c r="EP19" s="230" t="s">
        <v>178</v>
      </c>
      <c r="EQ19" s="230">
        <v>41886</v>
      </c>
      <c r="ER19" s="230"/>
      <c r="ES19" s="230">
        <v>41883</v>
      </c>
      <c r="ET19" s="230"/>
      <c r="EU19" s="203">
        <v>41894</v>
      </c>
      <c r="EV19" s="203">
        <v>41894</v>
      </c>
      <c r="EW19" s="230"/>
      <c r="EX19" s="230"/>
      <c r="EY19" s="213" t="s">
        <v>892</v>
      </c>
      <c r="EZ19" s="213"/>
      <c r="FA19" s="213"/>
      <c r="FB19" s="213"/>
      <c r="FC19" s="347" t="s">
        <v>178</v>
      </c>
      <c r="FD19" s="213">
        <v>42082</v>
      </c>
      <c r="FE19" s="213">
        <f>DATE(YEAR(EN19)+1,MONTH(EN19),DAY(EN19))</f>
        <v>42196</v>
      </c>
      <c r="FF19" s="213">
        <v>41915</v>
      </c>
      <c r="FG19" s="213">
        <v>41918</v>
      </c>
      <c r="FH19" s="213" t="s">
        <v>178</v>
      </c>
      <c r="FI19" s="213">
        <v>42346</v>
      </c>
      <c r="FJ19" s="212"/>
      <c r="FK19" s="213" t="s">
        <v>178</v>
      </c>
      <c r="FL19" s="628" t="s">
        <v>1050</v>
      </c>
      <c r="FM19" s="330"/>
      <c r="FN19" s="347" t="s">
        <v>178</v>
      </c>
      <c r="FO19" s="212"/>
      <c r="FP19" s="294"/>
      <c r="FQ19" s="23">
        <f>+GA19+GE19+GL19+HF19</f>
        <v>1127562</v>
      </c>
      <c r="FR19" s="28">
        <f>GB19+GF19+GM19+HF19+GK19+GQ19</f>
        <v>1127563</v>
      </c>
      <c r="FS19" s="25">
        <f>FR19-FQ19</f>
        <v>1</v>
      </c>
      <c r="FT19" s="25">
        <f>FR19/AG19</f>
        <v>2111.2249101258235</v>
      </c>
      <c r="FU19" s="25">
        <f>FR19/AD19</f>
        <v>161080.42857142858</v>
      </c>
      <c r="FV19" s="23">
        <v>970725</v>
      </c>
      <c r="FW19" s="24"/>
      <c r="FX19" s="25">
        <f>FW19-FV19</f>
        <v>-970725</v>
      </c>
      <c r="FY19" s="231">
        <f>FV19*1.021/FQ19</f>
        <v>0.87898512454304056</v>
      </c>
      <c r="FZ19" s="232"/>
      <c r="GA19" s="23">
        <v>294296</v>
      </c>
      <c r="GB19" s="24">
        <v>294297</v>
      </c>
      <c r="GC19" s="50">
        <f>GB19/AD19</f>
        <v>42042.428571428572</v>
      </c>
      <c r="GD19" s="73">
        <f>GB19-GA19</f>
        <v>1</v>
      </c>
      <c r="GE19" s="23">
        <v>604971</v>
      </c>
      <c r="GF19" s="24">
        <f>+GG19+GH19</f>
        <v>604971</v>
      </c>
      <c r="GG19" s="26">
        <v>112853</v>
      </c>
      <c r="GH19" s="26">
        <v>492118</v>
      </c>
      <c r="GI19" s="73">
        <f>GF19-GE19</f>
        <v>0</v>
      </c>
      <c r="GJ19" s="50">
        <f>GF19/AD19</f>
        <v>86424.428571428565</v>
      </c>
      <c r="GK19" s="24">
        <v>0</v>
      </c>
      <c r="GL19" s="23">
        <v>177688</v>
      </c>
      <c r="GM19" s="30">
        <v>177688</v>
      </c>
      <c r="GN19" s="123"/>
      <c r="GO19" s="76">
        <f>GM19/FR19</f>
        <v>0.15758587325054121</v>
      </c>
      <c r="GP19" s="590"/>
      <c r="GQ19" s="30">
        <v>0</v>
      </c>
      <c r="GR19" s="51">
        <f>GM19-GL19</f>
        <v>0</v>
      </c>
      <c r="GS19" s="50">
        <f>GM19/AD19</f>
        <v>25384</v>
      </c>
      <c r="GT19" s="98"/>
      <c r="GU19" s="51">
        <f>GR19/AD19</f>
        <v>0</v>
      </c>
      <c r="GV19" s="97"/>
      <c r="GW19" s="97"/>
      <c r="GX19" s="75">
        <v>176884.08837750001</v>
      </c>
      <c r="GY19" s="75">
        <v>119543.69426743503</v>
      </c>
      <c r="GZ19" s="50">
        <f>(GB19+GM19+GY19)/AD19</f>
        <v>84504.099181062149</v>
      </c>
      <c r="HA19" s="75">
        <v>0</v>
      </c>
      <c r="HB19" s="50">
        <f>(GB19+GM19+GY19+HA19)/AD19</f>
        <v>84504.099181062149</v>
      </c>
      <c r="HC19" s="99">
        <f>(GB19+GM19+GY19+HA19)/(GX19+FR19-HD19)</f>
        <v>0.47252544420817433</v>
      </c>
      <c r="HD19" s="75">
        <v>52601.919999999998</v>
      </c>
      <c r="HE19" s="75"/>
      <c r="HF19" s="631">
        <v>50607</v>
      </c>
      <c r="HG19" s="77">
        <f>FR19+GX19</f>
        <v>1304447.0883775</v>
      </c>
      <c r="HH19" s="491"/>
      <c r="HI19" s="491"/>
      <c r="HJ19" s="494"/>
      <c r="HK19" s="491"/>
      <c r="HL19" s="477"/>
      <c r="HM19" s="477">
        <f>DATE(YEAR(HL19),MONTH(HL19),DAY(HL19)+21)</f>
        <v>21</v>
      </c>
      <c r="HN19" s="477"/>
      <c r="HO19" s="497" t="str">
        <f>IF(AND(HM19&gt;0,HN19&gt;0),HN19-HM19,"0")</f>
        <v>0</v>
      </c>
      <c r="HP19" s="477"/>
      <c r="HQ19" s="481" t="str">
        <f>IF(AND(HN19&gt;0,HP19&gt;0),HP19-HN19,"0")</f>
        <v>0</v>
      </c>
      <c r="HR19" s="497">
        <f>+HQ19-30</f>
        <v>-30</v>
      </c>
      <c r="HS19" s="506" t="str">
        <f>IF(AND(HL19&gt;0,HP19&gt;0),HP19-HL19,"0")</f>
        <v>0</v>
      </c>
      <c r="HT19" s="477"/>
      <c r="HU19" s="497" t="str">
        <f>IF(AND(HP19&gt;0,HT19&gt;0),HT19-HP19,"0")</f>
        <v>0</v>
      </c>
      <c r="HV19" s="477">
        <f>DATE(YEAR(HT19),MONTH(HT19),DAY(HT19)+21)</f>
        <v>21</v>
      </c>
      <c r="HW19" s="477"/>
      <c r="HX19" s="497" t="str">
        <f>IF(AND(HV19&gt;0,HW19&gt;0),HW19-HV19,"0")</f>
        <v>0</v>
      </c>
      <c r="HY19" s="476"/>
      <c r="HZ19" s="481" t="str">
        <f>IF(AND(HW19&gt;0,HY19&gt;0),HY19-HW19,"0")</f>
        <v>0</v>
      </c>
      <c r="IA19" s="497">
        <f>+HZ19-30</f>
        <v>-30</v>
      </c>
      <c r="IB19" s="506" t="str">
        <f>IF(AND(HT19&gt;0,HY19&gt;0),HY19-HT19,"0")</f>
        <v>0</v>
      </c>
      <c r="IC19" s="490"/>
      <c r="ID19" s="491"/>
      <c r="IE19" s="477"/>
      <c r="IF19" s="477"/>
      <c r="IG19" s="494"/>
      <c r="IH19" s="491"/>
      <c r="II19" s="478"/>
      <c r="IJ19" s="497" t="str">
        <f>IF(AND(HY19&gt;0,II19&gt;0),II19-HY19,"0")</f>
        <v>0</v>
      </c>
      <c r="IK19" s="478">
        <f>DATE(YEAR(II19),MONTH(II19),DAY(II19)+30)</f>
        <v>30</v>
      </c>
      <c r="IL19" s="478"/>
      <c r="IM19" s="497" t="str">
        <f>IF(AND(IK19&gt;0,IL19&gt;0),IL19-IK19,"0")</f>
        <v>0</v>
      </c>
      <c r="IN19" s="478"/>
      <c r="IO19" s="481" t="str">
        <f>IF(AND(IL19&gt;0,IN19&gt;0),IN19-IL19,"0")</f>
        <v>0</v>
      </c>
      <c r="IP19" s="497">
        <f>+IO19-30</f>
        <v>-30</v>
      </c>
      <c r="IQ19" s="506" t="str">
        <f>IF(AND(II19&gt;0,IN19&gt;0),IN19-II19,"0")</f>
        <v>0</v>
      </c>
      <c r="IR19" s="490"/>
      <c r="IS19" s="491"/>
      <c r="IT19" s="478"/>
      <c r="IU19" s="498" t="str">
        <f>IF(AND(IN19&gt;0,IT19&gt;0),IT19-IN19,"0")</f>
        <v>0</v>
      </c>
      <c r="IV19" s="478">
        <f>DATE(YEAR(IT19),MONTH(IT19),DAY(IT19)+30)</f>
        <v>30</v>
      </c>
      <c r="IW19" s="478"/>
      <c r="IX19" s="498" t="str">
        <f>IF(AND(IV19&gt;0,IW19&gt;0),IW19-IV19,"0")</f>
        <v>0</v>
      </c>
      <c r="IY19" s="478"/>
      <c r="IZ19" s="482" t="str">
        <f>IF(AND(IW19&gt;0,IY19&gt;0),IY19-IW19,"0")</f>
        <v>0</v>
      </c>
      <c r="JA19" s="498">
        <f>IZ19-30</f>
        <v>-30</v>
      </c>
      <c r="JB19" s="508" t="str">
        <f>IF(AND(IT19&gt;0,IY19&gt;0),IY19-IT19,"0")</f>
        <v>0</v>
      </c>
      <c r="JC19" s="490"/>
      <c r="JD19" s="491"/>
      <c r="JE19" s="212"/>
      <c r="JF19" s="487" t="str">
        <f>IF(AND(IY19&gt;0,JE19&gt;0),JE19-IY19,"0")</f>
        <v>0</v>
      </c>
      <c r="JG19" s="212">
        <f>DATE(YEAR(JE19),MONTH(JE19),DAY(JE19)+15)</f>
        <v>15</v>
      </c>
      <c r="JH19" s="212"/>
      <c r="JI19" s="487" t="str">
        <f>IF(AND(JG19&gt;0,JH19&gt;0),JH19-JG19,"0")</f>
        <v>0</v>
      </c>
      <c r="JJ19" s="212">
        <f>DATE(YEAR(JH19),MONTH(JH19),DAY(JH19)+15)</f>
        <v>15</v>
      </c>
      <c r="JK19" s="212"/>
      <c r="JL19" s="487" t="str">
        <f>IF(AND(JJ19&gt;0,JK19&gt;0),JK19-JJ19,"0")</f>
        <v>0</v>
      </c>
      <c r="JM19" s="509" t="str">
        <f>IF(AND(JE19&gt;0,JK19&gt;0),JK19-JE19,"0")</f>
        <v>0</v>
      </c>
      <c r="JN19" s="499"/>
      <c r="JO19" s="501" t="str">
        <f>IF(AND(JK19&gt;0,JN19&gt;0),JN19-JK19,"0")</f>
        <v>0</v>
      </c>
      <c r="JP19" s="498">
        <f>JO19-60</f>
        <v>-60</v>
      </c>
      <c r="JQ19" s="482">
        <f>291/30</f>
        <v>9.6999999999999993</v>
      </c>
      <c r="JR19" s="504">
        <f>((+HS19+HU19+IB19+IJ19+IQ19+IU19+JB19+JI19+JF19)/30)-JQ19</f>
        <v>-9.6999999999999993</v>
      </c>
      <c r="JS19" s="490"/>
      <c r="JT19" s="491"/>
      <c r="JU19" s="490"/>
      <c r="JV19" s="491"/>
      <c r="JW19" s="488"/>
      <c r="JX19" s="488"/>
      <c r="JY19" s="488"/>
      <c r="JZ19" s="488"/>
    </row>
    <row r="20" spans="1:286" s="31" customFormat="1" ht="112.5" hidden="1" customHeight="1" x14ac:dyDescent="0.25">
      <c r="A20" s="141" t="s">
        <v>510</v>
      </c>
      <c r="B20" s="20" t="s">
        <v>46</v>
      </c>
      <c r="C20" s="20" t="s">
        <v>157</v>
      </c>
      <c r="D20" s="20">
        <v>2012</v>
      </c>
      <c r="E20" s="20" t="s">
        <v>107</v>
      </c>
      <c r="F20" s="20" t="s">
        <v>113</v>
      </c>
      <c r="G20" s="20" t="s">
        <v>439</v>
      </c>
      <c r="H20" s="20" t="s">
        <v>243</v>
      </c>
      <c r="I20" s="110"/>
      <c r="J20" s="110"/>
      <c r="K20" s="453"/>
      <c r="L20" s="290"/>
      <c r="M20" s="290"/>
      <c r="N20" s="290"/>
      <c r="O20" s="379">
        <v>5530</v>
      </c>
      <c r="P20" s="379">
        <f>Q20</f>
        <v>1300000</v>
      </c>
      <c r="Q20" s="379">
        <v>1300000</v>
      </c>
      <c r="R20" s="379">
        <f>P20/AD20</f>
        <v>17333.333333333332</v>
      </c>
      <c r="S20" s="379">
        <f>P20/O20</f>
        <v>235.08137432188065</v>
      </c>
      <c r="T20" s="379">
        <f>Q20/O20</f>
        <v>235.08137432188065</v>
      </c>
      <c r="U20" s="379">
        <f>Q20/AH20</f>
        <v>198.20517589947033</v>
      </c>
      <c r="V20" s="379">
        <f>Q20/AD20</f>
        <v>17333.333333333332</v>
      </c>
      <c r="W20" s="379">
        <f>O20/AD20</f>
        <v>73.733333333333334</v>
      </c>
      <c r="X20" s="379"/>
      <c r="Y20" s="381">
        <f>AH20/O20</f>
        <v>1.1860506329113925</v>
      </c>
      <c r="Z20" s="380" t="s">
        <v>328</v>
      </c>
      <c r="AA20" s="382"/>
      <c r="AB20" s="383"/>
      <c r="AC20" s="20" t="s">
        <v>26</v>
      </c>
      <c r="AD20" s="640">
        <f>AE20+AF20</f>
        <v>75</v>
      </c>
      <c r="AE20" s="21"/>
      <c r="AF20" s="20">
        <v>75</v>
      </c>
      <c r="AG20" s="22">
        <v>6558.86</v>
      </c>
      <c r="AH20" s="139">
        <v>6558.86</v>
      </c>
      <c r="AI20" s="22">
        <f>AH20/AD20</f>
        <v>87.451466666666661</v>
      </c>
      <c r="AJ20" s="135">
        <f>5/AD20</f>
        <v>6.6666666666666666E-2</v>
      </c>
      <c r="AK20" s="135">
        <f>10/AD20</f>
        <v>0.13333333333333333</v>
      </c>
      <c r="AL20" s="135">
        <f>30/AD20</f>
        <v>0.4</v>
      </c>
      <c r="AM20" s="135">
        <f>25/AD20</f>
        <v>0.33333333333333331</v>
      </c>
      <c r="AN20" s="135">
        <f>5/AD20</f>
        <v>6.6666666666666666E-2</v>
      </c>
      <c r="AO20" s="22">
        <v>697.88</v>
      </c>
      <c r="AP20" s="133">
        <v>0</v>
      </c>
      <c r="AQ20" s="135">
        <f>AP20/O20</f>
        <v>0</v>
      </c>
      <c r="AR20" s="114">
        <v>7</v>
      </c>
      <c r="AS20" s="233"/>
      <c r="AT20" s="116"/>
      <c r="AU20" s="116"/>
      <c r="AV20" s="22" t="s">
        <v>168</v>
      </c>
      <c r="AW20" s="332">
        <v>40945</v>
      </c>
      <c r="AX20" s="110"/>
      <c r="AY20" s="332">
        <v>40963</v>
      </c>
      <c r="AZ20" s="332" t="s">
        <v>230</v>
      </c>
      <c r="BA20" s="332"/>
      <c r="BB20" s="332"/>
      <c r="BC20" s="332"/>
      <c r="BD20" s="332"/>
      <c r="BE20" s="332">
        <v>41254</v>
      </c>
      <c r="BF20" s="332"/>
      <c r="BG20" s="332"/>
      <c r="BH20" s="332"/>
      <c r="BI20" s="332">
        <v>41271</v>
      </c>
      <c r="BJ20" s="332"/>
      <c r="BK20" s="332"/>
      <c r="BL20" s="332"/>
      <c r="BM20" s="332"/>
      <c r="BN20" s="344" t="s">
        <v>18</v>
      </c>
      <c r="BO20" s="344" t="s">
        <v>178</v>
      </c>
      <c r="BP20" s="339"/>
      <c r="BQ20" s="343"/>
      <c r="BR20" s="343"/>
      <c r="BS20" s="344" t="s">
        <v>353</v>
      </c>
      <c r="BT20" s="5"/>
      <c r="BU20" s="376">
        <v>41094</v>
      </c>
      <c r="BV20" s="160"/>
      <c r="BW20" s="160"/>
      <c r="BX20" s="160"/>
      <c r="BY20" s="160"/>
      <c r="BZ20" s="376">
        <v>41183</v>
      </c>
      <c r="CA20" s="160"/>
      <c r="CB20" s="72"/>
      <c r="CC20" s="362"/>
      <c r="CD20" s="164"/>
      <c r="CE20" s="164"/>
      <c r="CF20" s="569">
        <v>41319</v>
      </c>
      <c r="CG20" s="569">
        <f>DATE(YEAR(CF20),MONTH(CF20)+24,DAY(CF20))</f>
        <v>42049</v>
      </c>
      <c r="CH20" s="569">
        <f>DATE(YEAR(CF20),MONTH(CF20)+36,DAY(CF20))</f>
        <v>42414</v>
      </c>
      <c r="CI20" s="569" t="str">
        <f>IF(EV20&gt;CG20,"oui","non")</f>
        <v>oui</v>
      </c>
      <c r="CJ20" s="164"/>
      <c r="CK20" s="72"/>
      <c r="CL20" s="72"/>
      <c r="CM20" s="362"/>
      <c r="CN20" s="72"/>
      <c r="CO20" s="164"/>
      <c r="CP20" s="69"/>
      <c r="CQ20" s="364"/>
      <c r="CR20" s="69"/>
      <c r="CS20" s="198"/>
      <c r="CT20" s="69"/>
      <c r="CU20" s="364"/>
      <c r="CV20" s="69"/>
      <c r="CW20" s="198"/>
      <c r="CX20" s="69"/>
      <c r="CY20" s="364"/>
      <c r="CZ20" s="69"/>
      <c r="DA20" s="198"/>
      <c r="DB20" s="296" t="s">
        <v>202</v>
      </c>
      <c r="DC20" s="300">
        <v>295161</v>
      </c>
      <c r="DD20" s="300">
        <f>DC20*3/5</f>
        <v>177096.6</v>
      </c>
      <c r="DE20" s="291"/>
      <c r="DF20" s="291"/>
      <c r="DG20" s="291"/>
      <c r="DH20" s="312"/>
      <c r="DI20" s="291"/>
      <c r="DJ20" s="291"/>
      <c r="DK20" s="292"/>
      <c r="DL20" s="293"/>
      <c r="DM20" s="293"/>
      <c r="DN20" s="292"/>
      <c r="DO20" s="613" t="s">
        <v>178</v>
      </c>
      <c r="DP20" s="293"/>
      <c r="DQ20" s="304">
        <v>41270</v>
      </c>
      <c r="DR20" s="443"/>
      <c r="DS20" s="443"/>
      <c r="DT20" s="297">
        <v>12054387.02</v>
      </c>
      <c r="DU20" s="304">
        <f>DATE(YEAR(DQ20),MONTH(DQ20)+18,DAY(DQ20))</f>
        <v>41817</v>
      </c>
      <c r="DV20" s="443">
        <v>41617</v>
      </c>
      <c r="DW20" s="443"/>
      <c r="DX20" s="415" t="s">
        <v>178</v>
      </c>
      <c r="DY20" s="415" t="s">
        <v>178</v>
      </c>
      <c r="DZ20" s="415" t="s">
        <v>178</v>
      </c>
      <c r="EA20" s="413">
        <v>41428</v>
      </c>
      <c r="EB20" s="413" t="s">
        <v>178</v>
      </c>
      <c r="EC20" s="421">
        <v>20</v>
      </c>
      <c r="ED20" s="421">
        <f>EC20+2</f>
        <v>22</v>
      </c>
      <c r="EE20" s="421">
        <f>DATEDIF(EA20,EN20,"M")</f>
        <v>28</v>
      </c>
      <c r="EF20" s="421">
        <f>DATEDIF(EA20,EV20,"M")</f>
        <v>29</v>
      </c>
      <c r="EG20" s="421">
        <f>EE20-EC20</f>
        <v>8</v>
      </c>
      <c r="EH20" s="421">
        <f>EF20-ED20</f>
        <v>7</v>
      </c>
      <c r="EI20" s="410">
        <f>399634.976353658/12</f>
        <v>33302.91469613817</v>
      </c>
      <c r="EJ20" s="410">
        <f>EI20*(EE20-EC20)</f>
        <v>266423.31756910536</v>
      </c>
      <c r="EK20" s="413" t="s">
        <v>178</v>
      </c>
      <c r="EL20" s="413" t="s">
        <v>178</v>
      </c>
      <c r="EM20" s="413" t="s">
        <v>178</v>
      </c>
      <c r="EN20" s="413">
        <v>42296</v>
      </c>
      <c r="EO20" s="223">
        <f>DATE(YEAR(DV20)+2,MONTH(DV20),DAY(DV20))</f>
        <v>42347</v>
      </c>
      <c r="EP20" s="223"/>
      <c r="EQ20" s="203"/>
      <c r="ER20" s="203"/>
      <c r="ES20" s="203">
        <v>42332</v>
      </c>
      <c r="ET20" s="203"/>
      <c r="EU20" s="203">
        <v>42332</v>
      </c>
      <c r="EV20" s="230">
        <v>42332</v>
      </c>
      <c r="EW20" s="203"/>
      <c r="EX20" s="203"/>
      <c r="EY20" s="330" t="s">
        <v>899</v>
      </c>
      <c r="EZ20" s="212">
        <v>42679</v>
      </c>
      <c r="FA20" s="212"/>
      <c r="FB20" s="212"/>
      <c r="FC20" s="212"/>
      <c r="FD20" s="203">
        <v>42656</v>
      </c>
      <c r="FE20" s="212"/>
      <c r="FF20" s="203" t="s">
        <v>178</v>
      </c>
      <c r="FG20" s="203">
        <v>42424</v>
      </c>
      <c r="FH20" s="212"/>
      <c r="FI20" s="212"/>
      <c r="FJ20" s="212"/>
      <c r="FK20" s="212"/>
      <c r="FL20" s="212" t="s">
        <v>634</v>
      </c>
      <c r="FM20" s="212" t="s">
        <v>997</v>
      </c>
      <c r="FN20" s="212"/>
      <c r="FO20" s="212"/>
      <c r="FP20" s="294"/>
      <c r="FQ20" s="23">
        <f>+GA20+GE20+GL20+HF20</f>
        <v>12349548.800000001</v>
      </c>
      <c r="FR20" s="28">
        <f>GB20+GF20+GM20+HF20+GK20+GQ20</f>
        <v>12349548.309999999</v>
      </c>
      <c r="FS20" s="25">
        <f>FR20-FQ20</f>
        <v>-0.49000000208616257</v>
      </c>
      <c r="FT20" s="25">
        <f>FR20/AG20</f>
        <v>1882.8803038942742</v>
      </c>
      <c r="FU20" s="25">
        <f>FR20/AD20</f>
        <v>164660.64413333332</v>
      </c>
      <c r="FV20" s="23"/>
      <c r="FW20" s="24"/>
      <c r="FX20" s="25">
        <f>FW20-FV20</f>
        <v>0</v>
      </c>
      <c r="FY20" s="231">
        <f>FV20*1.021/FQ20</f>
        <v>0</v>
      </c>
      <c r="FZ20" s="232"/>
      <c r="GA20" s="23">
        <v>3816022.8</v>
      </c>
      <c r="GB20" s="24">
        <v>3816022.8</v>
      </c>
      <c r="GC20" s="50">
        <f>GB20/AD20</f>
        <v>50880.303999999996</v>
      </c>
      <c r="GD20" s="73">
        <f>GB20-GA20</f>
        <v>0</v>
      </c>
      <c r="GE20" s="23">
        <v>7538526</v>
      </c>
      <c r="GF20" s="24">
        <f>+GG20+GH20</f>
        <v>7538525.5099999998</v>
      </c>
      <c r="GG20" s="26">
        <v>1459253.6</v>
      </c>
      <c r="GH20" s="26">
        <v>6079271.9100000001</v>
      </c>
      <c r="GI20" s="73">
        <f>GF20-GE20</f>
        <v>-0.49000000022351742</v>
      </c>
      <c r="GJ20" s="50">
        <f>GF20/AD20</f>
        <v>100513.67346666666</v>
      </c>
      <c r="GK20" s="24">
        <v>0</v>
      </c>
      <c r="GL20" s="23">
        <v>995000</v>
      </c>
      <c r="GM20" s="30">
        <v>995000</v>
      </c>
      <c r="GN20" s="123"/>
      <c r="GO20" s="76">
        <f>GM20/FR20</f>
        <v>8.0569748384586873E-2</v>
      </c>
      <c r="GP20" s="590"/>
      <c r="GQ20" s="30">
        <v>0</v>
      </c>
      <c r="GR20" s="51">
        <f>GM20-GL20</f>
        <v>0</v>
      </c>
      <c r="GS20" s="50">
        <f>GM20/AD20</f>
        <v>13266.666666666666</v>
      </c>
      <c r="GT20" s="98"/>
      <c r="GU20" s="51">
        <f>GR20/AD20</f>
        <v>0</v>
      </c>
      <c r="GV20" s="97"/>
      <c r="GW20" s="97"/>
      <c r="GX20" s="75">
        <v>0</v>
      </c>
      <c r="GY20" s="75">
        <v>0</v>
      </c>
      <c r="GZ20" s="50">
        <f>(GB20+GM20+GY20)/AD20</f>
        <v>64146.970666666661</v>
      </c>
      <c r="HA20" s="75">
        <v>0</v>
      </c>
      <c r="HB20" s="50">
        <f>(GB20+GM20+GY20+HA20)/AD20</f>
        <v>64146.970666666661</v>
      </c>
      <c r="HC20" s="99">
        <f>(GB20+GM20+GY20+HA20)/(GX20+FR20-HD20)</f>
        <v>0.38957075021960869</v>
      </c>
      <c r="HD20" s="75"/>
      <c r="HE20" s="75"/>
      <c r="HF20" s="24">
        <v>0</v>
      </c>
      <c r="HG20" s="77">
        <f>FR20+GX20</f>
        <v>12349548.309999999</v>
      </c>
      <c r="HH20" s="491"/>
      <c r="HI20" s="491"/>
      <c r="HJ20" s="494"/>
      <c r="HK20" s="491"/>
      <c r="HL20" s="477"/>
      <c r="HM20" s="477">
        <f>DATE(YEAR(HL20),MONTH(HL20),DAY(HL20)+21)</f>
        <v>21</v>
      </c>
      <c r="HN20" s="477"/>
      <c r="HO20" s="497" t="str">
        <f>IF(AND(HM20&gt;0,HN20&gt;0),HN20-HM20,"0")</f>
        <v>0</v>
      </c>
      <c r="HP20" s="477"/>
      <c r="HQ20" s="481" t="str">
        <f>IF(AND(HN20&gt;0,HP20&gt;0),HP20-HN20,"0")</f>
        <v>0</v>
      </c>
      <c r="HR20" s="497">
        <f>+HQ20-30</f>
        <v>-30</v>
      </c>
      <c r="HS20" s="506" t="str">
        <f>IF(AND(HL20&gt;0,HP20&gt;0),HP20-HL20,"0")</f>
        <v>0</v>
      </c>
      <c r="HT20" s="477"/>
      <c r="HU20" s="497" t="str">
        <f>IF(AND(HP20&gt;0,HT20&gt;0),HT20-HP20,"0")</f>
        <v>0</v>
      </c>
      <c r="HV20" s="477">
        <f>DATE(YEAR(HT20),MONTH(HT20),DAY(HT20)+21)</f>
        <v>21</v>
      </c>
      <c r="HW20" s="477"/>
      <c r="HX20" s="497" t="str">
        <f>IF(AND(HV20&gt;0,HW20&gt;0),HW20-HV20,"0")</f>
        <v>0</v>
      </c>
      <c r="HY20" s="476"/>
      <c r="HZ20" s="481" t="str">
        <f>IF(AND(HW20&gt;0,HY20&gt;0),HY20-HW20,"0")</f>
        <v>0</v>
      </c>
      <c r="IA20" s="497">
        <f>+HZ20-30</f>
        <v>-30</v>
      </c>
      <c r="IB20" s="506" t="str">
        <f>IF(AND(HT20&gt;0,HY20&gt;0),HY20-HT20,"0")</f>
        <v>0</v>
      </c>
      <c r="IC20" s="490"/>
      <c r="ID20" s="491"/>
      <c r="IE20" s="477"/>
      <c r="IF20" s="477"/>
      <c r="IG20" s="494"/>
      <c r="IH20" s="491"/>
      <c r="II20" s="478"/>
      <c r="IJ20" s="497" t="str">
        <f>IF(AND(HY20&gt;0,II20&gt;0),II20-HY20,"0")</f>
        <v>0</v>
      </c>
      <c r="IK20" s="478">
        <f>DATE(YEAR(II20),MONTH(II20),DAY(II20)+30)</f>
        <v>30</v>
      </c>
      <c r="IL20" s="478"/>
      <c r="IM20" s="497" t="str">
        <f>IF(AND(IK20&gt;0,IL20&gt;0),IL20-IK20,"0")</f>
        <v>0</v>
      </c>
      <c r="IN20" s="478"/>
      <c r="IO20" s="481" t="str">
        <f>IF(AND(IL20&gt;0,IN20&gt;0),IN20-IL20,"0")</f>
        <v>0</v>
      </c>
      <c r="IP20" s="497">
        <f>+IO20-30</f>
        <v>-30</v>
      </c>
      <c r="IQ20" s="506" t="str">
        <f>IF(AND(II20&gt;0,IN20&gt;0),IN20-II20,"0")</f>
        <v>0</v>
      </c>
      <c r="IR20" s="490"/>
      <c r="IS20" s="491"/>
      <c r="IT20" s="478"/>
      <c r="IU20" s="498" t="str">
        <f>IF(AND(IN20&gt;0,IT20&gt;0),IT20-IN20,"0")</f>
        <v>0</v>
      </c>
      <c r="IV20" s="478">
        <f>DATE(YEAR(IT20),MONTH(IT20),DAY(IT20)+30)</f>
        <v>30</v>
      </c>
      <c r="IW20" s="478"/>
      <c r="IX20" s="498" t="str">
        <f>IF(AND(IV20&gt;0,IW20&gt;0),IW20-IV20,"0")</f>
        <v>0</v>
      </c>
      <c r="IY20" s="478"/>
      <c r="IZ20" s="482" t="str">
        <f>IF(AND(IW20&gt;0,IY20&gt;0),IY20-IW20,"0")</f>
        <v>0</v>
      </c>
      <c r="JA20" s="498">
        <f>IZ20-30</f>
        <v>-30</v>
      </c>
      <c r="JB20" s="508" t="str">
        <f>IF(AND(IT20&gt;0,IY20&gt;0),IY20-IT20,"0")</f>
        <v>0</v>
      </c>
      <c r="JC20" s="490"/>
      <c r="JD20" s="491"/>
      <c r="JE20" s="212"/>
      <c r="JF20" s="487" t="str">
        <f>IF(AND(IY20&gt;0,JE20&gt;0),JE20-IY20,"0")</f>
        <v>0</v>
      </c>
      <c r="JG20" s="212">
        <f>DATE(YEAR(JE20),MONTH(JE20),DAY(JE20)+15)</f>
        <v>15</v>
      </c>
      <c r="JH20" s="212"/>
      <c r="JI20" s="487" t="str">
        <f>IF(AND(JG20&gt;0,JH20&gt;0),JH20-JG20,"0")</f>
        <v>0</v>
      </c>
      <c r="JJ20" s="212">
        <f>DATE(YEAR(JH20),MONTH(JH20),DAY(JH20)+15)</f>
        <v>15</v>
      </c>
      <c r="JK20" s="212"/>
      <c r="JL20" s="487" t="str">
        <f>IF(AND(JJ20&gt;0,JK20&gt;0),JK20-JJ20,"0")</f>
        <v>0</v>
      </c>
      <c r="JM20" s="509" t="str">
        <f>IF(AND(JE20&gt;0,JK20&gt;0),JK20-JE20,"0")</f>
        <v>0</v>
      </c>
      <c r="JN20" s="499"/>
      <c r="JO20" s="501" t="str">
        <f>IF(AND(JK20&gt;0,JN20&gt;0),JN20-JK20,"0")</f>
        <v>0</v>
      </c>
      <c r="JP20" s="498">
        <f>JO20-60</f>
        <v>-60</v>
      </c>
      <c r="JQ20" s="482">
        <f>291/30</f>
        <v>9.6999999999999993</v>
      </c>
      <c r="JR20" s="504">
        <f>((+HS20+HU20+IB20+IJ20+IQ20+IU20+JB20+JI20+JF20)/30)-JQ20</f>
        <v>-9.6999999999999993</v>
      </c>
      <c r="JS20" s="490"/>
      <c r="JT20" s="491"/>
      <c r="JU20" s="490"/>
      <c r="JV20" s="491"/>
      <c r="JW20" s="488"/>
      <c r="JX20" s="488"/>
      <c r="JY20" s="488"/>
      <c r="JZ20" s="488"/>
    </row>
    <row r="21" spans="1:286" s="31" customFormat="1" ht="111" hidden="1" customHeight="1" x14ac:dyDescent="0.25">
      <c r="A21" s="52" t="s">
        <v>432</v>
      </c>
      <c r="B21" s="20" t="s">
        <v>44</v>
      </c>
      <c r="C21" s="20" t="s">
        <v>158</v>
      </c>
      <c r="D21" s="20">
        <v>2012</v>
      </c>
      <c r="E21" s="20" t="s">
        <v>112</v>
      </c>
      <c r="F21" s="20" t="s">
        <v>74</v>
      </c>
      <c r="G21" s="20" t="s">
        <v>719</v>
      </c>
      <c r="H21" s="20" t="s">
        <v>643</v>
      </c>
      <c r="I21" s="110"/>
      <c r="J21" s="110"/>
      <c r="K21" s="453" t="s">
        <v>940</v>
      </c>
      <c r="L21" s="290"/>
      <c r="M21" s="290"/>
      <c r="N21" s="290"/>
      <c r="O21" s="379">
        <v>3000</v>
      </c>
      <c r="P21" s="379">
        <v>200500</v>
      </c>
      <c r="Q21" s="379">
        <v>112930</v>
      </c>
      <c r="R21" s="379">
        <f>P21/AD21</f>
        <v>20050</v>
      </c>
      <c r="S21" s="379">
        <f>P21/O21</f>
        <v>66.833333333333329</v>
      </c>
      <c r="T21" s="379">
        <f>Q21/O21</f>
        <v>37.643333333333331</v>
      </c>
      <c r="U21" s="379">
        <f>Q21/AH21</f>
        <v>120.70587229312298</v>
      </c>
      <c r="V21" s="379">
        <f>Q21/AD21</f>
        <v>11293</v>
      </c>
      <c r="W21" s="379">
        <f>O21/AD21</f>
        <v>300</v>
      </c>
      <c r="X21" s="380">
        <v>691.97</v>
      </c>
      <c r="Y21" s="381">
        <f>AH21/O21</f>
        <v>0.31186000000000003</v>
      </c>
      <c r="Z21" s="380" t="s">
        <v>308</v>
      </c>
      <c r="AA21" s="382">
        <v>850</v>
      </c>
      <c r="AB21" s="383">
        <v>0.3</v>
      </c>
      <c r="AC21" s="20" t="s">
        <v>26</v>
      </c>
      <c r="AD21" s="640">
        <f>AE21+AF21</f>
        <v>10</v>
      </c>
      <c r="AE21" s="21"/>
      <c r="AF21" s="20">
        <v>10</v>
      </c>
      <c r="AG21" s="22">
        <v>935.58</v>
      </c>
      <c r="AH21" s="139">
        <v>935.58</v>
      </c>
      <c r="AI21" s="22">
        <f>AH21/AD21</f>
        <v>93.558000000000007</v>
      </c>
      <c r="AJ21" s="116"/>
      <c r="AK21" s="116"/>
      <c r="AL21" s="135">
        <f>3/AD21</f>
        <v>0.3</v>
      </c>
      <c r="AM21" s="135">
        <f>5/AD21</f>
        <v>0.5</v>
      </c>
      <c r="AN21" s="135">
        <f>2/AD21</f>
        <v>0.2</v>
      </c>
      <c r="AO21" s="22">
        <v>884</v>
      </c>
      <c r="AP21" s="133">
        <v>91</v>
      </c>
      <c r="AQ21" s="135">
        <f>AP21/O21</f>
        <v>3.0333333333333334E-2</v>
      </c>
      <c r="AR21" s="114">
        <v>1.5</v>
      </c>
      <c r="AS21" s="233"/>
      <c r="AT21" s="116"/>
      <c r="AU21" s="116"/>
      <c r="AV21" s="22"/>
      <c r="AW21" s="332">
        <v>40945</v>
      </c>
      <c r="AX21" s="110"/>
      <c r="AY21" s="332">
        <v>40963</v>
      </c>
      <c r="AZ21" s="332" t="s">
        <v>230</v>
      </c>
      <c r="BA21" s="332"/>
      <c r="BB21" s="332"/>
      <c r="BC21" s="332"/>
      <c r="BD21" s="332"/>
      <c r="BE21" s="332">
        <v>41032</v>
      </c>
      <c r="BF21" s="332"/>
      <c r="BG21" s="332"/>
      <c r="BH21" s="332"/>
      <c r="BI21" s="332">
        <v>41253</v>
      </c>
      <c r="BJ21" s="332"/>
      <c r="BK21" s="332" t="s">
        <v>178</v>
      </c>
      <c r="BL21" s="332" t="s">
        <v>178</v>
      </c>
      <c r="BM21" s="332" t="s">
        <v>178</v>
      </c>
      <c r="BN21" s="344" t="s">
        <v>17</v>
      </c>
      <c r="BO21" s="344" t="s">
        <v>178</v>
      </c>
      <c r="BP21" s="339"/>
      <c r="BQ21" s="343"/>
      <c r="BR21" s="343"/>
      <c r="BS21" s="344" t="s">
        <v>348</v>
      </c>
      <c r="BT21" s="5"/>
      <c r="BU21" s="376">
        <v>41179</v>
      </c>
      <c r="BV21" s="160"/>
      <c r="BW21" s="160"/>
      <c r="BX21" s="160"/>
      <c r="BY21" s="160"/>
      <c r="BZ21" s="376">
        <v>41190</v>
      </c>
      <c r="CA21" s="160"/>
      <c r="CB21" s="72"/>
      <c r="CC21" s="362"/>
      <c r="CD21" s="164"/>
      <c r="CE21" s="164"/>
      <c r="CF21" s="569">
        <v>41319</v>
      </c>
      <c r="CG21" s="569">
        <f>DATE(YEAR(CF21),MONTH(CF21)+24,DAY(CF21))</f>
        <v>42049</v>
      </c>
      <c r="CH21" s="569">
        <f>DATE(YEAR(CF21),MONTH(CF21)+36,DAY(CF21))</f>
        <v>42414</v>
      </c>
      <c r="CI21" s="569" t="str">
        <f>IF(EV21&gt;CG21,"oui","non")</f>
        <v>oui</v>
      </c>
      <c r="CJ21" s="164"/>
      <c r="CK21" s="72"/>
      <c r="CL21" s="72"/>
      <c r="CM21" s="362"/>
      <c r="CN21" s="72"/>
      <c r="CO21" s="164"/>
      <c r="CP21" s="69"/>
      <c r="CQ21" s="364"/>
      <c r="CR21" s="69"/>
      <c r="CS21" s="198"/>
      <c r="CT21" s="69"/>
      <c r="CU21" s="630"/>
      <c r="CV21" s="198"/>
      <c r="CW21" s="198"/>
      <c r="CX21" s="69"/>
      <c r="CY21" s="364"/>
      <c r="CZ21" s="69"/>
      <c r="DA21" s="198"/>
      <c r="DB21" s="296" t="s">
        <v>195</v>
      </c>
      <c r="DC21" s="300">
        <v>43706</v>
      </c>
      <c r="DD21" s="300">
        <f>DC21*3/5</f>
        <v>26223.599999999999</v>
      </c>
      <c r="DE21" s="291"/>
      <c r="DF21" s="291"/>
      <c r="DG21" s="291"/>
      <c r="DH21" s="312"/>
      <c r="DI21" s="291"/>
      <c r="DJ21" s="291"/>
      <c r="DK21" s="292"/>
      <c r="DL21" s="293"/>
      <c r="DM21" s="293"/>
      <c r="DN21" s="292"/>
      <c r="DO21" s="292"/>
      <c r="DP21" s="293"/>
      <c r="DQ21" s="304">
        <v>41255</v>
      </c>
      <c r="DR21" s="443"/>
      <c r="DS21" s="443"/>
      <c r="DT21" s="297">
        <v>1784992.95</v>
      </c>
      <c r="DU21" s="304">
        <f>DATE(YEAR(DQ21),MONTH(DQ21)+18,DAY(DQ21))</f>
        <v>41802</v>
      </c>
      <c r="DV21" s="443"/>
      <c r="DW21" s="443"/>
      <c r="DX21" s="415">
        <v>41681</v>
      </c>
      <c r="DY21" s="415">
        <v>41554</v>
      </c>
      <c r="DZ21" s="415">
        <v>41743</v>
      </c>
      <c r="EA21" s="413">
        <v>41451</v>
      </c>
      <c r="EB21" s="413">
        <v>41548</v>
      </c>
      <c r="EC21" s="421">
        <v>14</v>
      </c>
      <c r="ED21" s="421">
        <f>EC21+2</f>
        <v>16</v>
      </c>
      <c r="EE21" s="229">
        <f>DATEDIF(EA21,EN21,"M")</f>
        <v>26</v>
      </c>
      <c r="EF21" s="229">
        <f>DATEDIF(EA21,EV21,"M")</f>
        <v>27</v>
      </c>
      <c r="EG21" s="229">
        <f>EE21-EC21</f>
        <v>12</v>
      </c>
      <c r="EH21" s="229">
        <f>EF21-ED21</f>
        <v>11</v>
      </c>
      <c r="EI21" s="408">
        <f>56031.6736154515/12</f>
        <v>4669.3061346209588</v>
      </c>
      <c r="EJ21" s="408">
        <f>EI21*(EE21-EC21)</f>
        <v>56031.673615451509</v>
      </c>
      <c r="EK21" s="413" t="s">
        <v>178</v>
      </c>
      <c r="EL21" s="413" t="s">
        <v>178</v>
      </c>
      <c r="EM21" s="413">
        <v>42191</v>
      </c>
      <c r="EN21" s="203">
        <v>42265</v>
      </c>
      <c r="EO21" s="203"/>
      <c r="EP21" s="230">
        <v>42265</v>
      </c>
      <c r="EQ21" s="230" t="s">
        <v>178</v>
      </c>
      <c r="ER21" s="445" t="s">
        <v>575</v>
      </c>
      <c r="ES21" s="230">
        <v>42285</v>
      </c>
      <c r="ET21" s="230"/>
      <c r="EU21" s="230">
        <v>42277</v>
      </c>
      <c r="EV21" s="230">
        <v>42286</v>
      </c>
      <c r="EW21" s="230"/>
      <c r="EX21" s="230"/>
      <c r="EY21" s="563" t="s">
        <v>904</v>
      </c>
      <c r="EZ21" s="230" t="s">
        <v>178</v>
      </c>
      <c r="FA21" s="213" t="s">
        <v>178</v>
      </c>
      <c r="FB21" s="213" t="s">
        <v>178</v>
      </c>
      <c r="FC21" s="213" t="s">
        <v>178</v>
      </c>
      <c r="FD21" s="225" t="s">
        <v>982</v>
      </c>
      <c r="FE21" s="212"/>
      <c r="FF21" s="347">
        <v>42311</v>
      </c>
      <c r="FG21" s="412" t="s">
        <v>619</v>
      </c>
      <c r="FH21" s="412" t="s">
        <v>178</v>
      </c>
      <c r="FI21" s="412">
        <v>42782</v>
      </c>
      <c r="FJ21" s="212"/>
      <c r="FK21" s="412" t="s">
        <v>988</v>
      </c>
      <c r="FL21" s="330" t="s">
        <v>983</v>
      </c>
      <c r="FM21" s="330" t="s">
        <v>1048</v>
      </c>
      <c r="FN21" s="212"/>
      <c r="FO21" s="212"/>
      <c r="FP21" s="294"/>
      <c r="FQ21" s="23">
        <f>+GA21+GE21+GL21+HF21</f>
        <v>2008084.62</v>
      </c>
      <c r="FR21" s="28">
        <f>GB21+GF21+GM21+HF21+GQ21</f>
        <v>2008085.62</v>
      </c>
      <c r="FS21" s="25">
        <f>FR21-FQ21</f>
        <v>1</v>
      </c>
      <c r="FT21" s="25">
        <f>FR21/AG21</f>
        <v>2146.3537270997672</v>
      </c>
      <c r="FU21" s="25">
        <f>FR21/AD21</f>
        <v>200808.56200000001</v>
      </c>
      <c r="FV21" s="23">
        <v>1672116</v>
      </c>
      <c r="FW21" s="24"/>
      <c r="FX21" s="25">
        <f>FW21-FV21</f>
        <v>-1672116</v>
      </c>
      <c r="FY21" s="231">
        <f>FV21*1.021/FQ21</f>
        <v>0.85017853281501632</v>
      </c>
      <c r="FZ21" s="232"/>
      <c r="GA21" s="23">
        <v>553441</v>
      </c>
      <c r="GB21" s="24">
        <v>553441</v>
      </c>
      <c r="GC21" s="50">
        <f>GB21/AD21</f>
        <v>55344.1</v>
      </c>
      <c r="GD21" s="73">
        <f>GB21-GA21</f>
        <v>0</v>
      </c>
      <c r="GE21" s="23">
        <v>1110258</v>
      </c>
      <c r="GF21" s="24">
        <f>+GG21+GH21</f>
        <v>1110259</v>
      </c>
      <c r="GG21" s="26">
        <v>257996</v>
      </c>
      <c r="GH21" s="26">
        <v>852263</v>
      </c>
      <c r="GI21" s="73">
        <f>GF21-GE21</f>
        <v>1</v>
      </c>
      <c r="GJ21" s="50">
        <f>GF21/AD21</f>
        <v>111025.9</v>
      </c>
      <c r="GK21" s="24">
        <v>17431</v>
      </c>
      <c r="GL21" s="23">
        <v>165000</v>
      </c>
      <c r="GM21" s="30">
        <v>165000</v>
      </c>
      <c r="GN21" s="123"/>
      <c r="GO21" s="76">
        <f>GM21/FR21</f>
        <v>8.2167811151399012E-2</v>
      </c>
      <c r="GP21" s="590"/>
      <c r="GQ21" s="30">
        <v>0</v>
      </c>
      <c r="GR21" s="51">
        <f>GM21-GL21</f>
        <v>0</v>
      </c>
      <c r="GS21" s="50">
        <f>GM21/AD21</f>
        <v>16500</v>
      </c>
      <c r="GT21" s="98"/>
      <c r="GU21" s="51">
        <f>GR21/AD21</f>
        <v>0</v>
      </c>
      <c r="GV21" s="97"/>
      <c r="GW21" s="97"/>
      <c r="GX21" s="75">
        <v>666201.89926500001</v>
      </c>
      <c r="GY21" s="75">
        <v>200000</v>
      </c>
      <c r="GZ21" s="50">
        <f>(GB21+GM21+GY21)/AD21</f>
        <v>91844.1</v>
      </c>
      <c r="HA21" s="75">
        <v>206916.91</v>
      </c>
      <c r="HB21" s="50">
        <f>(GB21+GM21+GY21+HA21)/AD21</f>
        <v>112535.791</v>
      </c>
      <c r="HC21" s="99">
        <f>(GB21+GM21+GY21+HA21)/(GX21+FR21-HD21)</f>
        <v>0.43976712444730054</v>
      </c>
      <c r="HD21" s="75">
        <v>115301.53</v>
      </c>
      <c r="HE21" s="632"/>
      <c r="HF21" s="631">
        <v>179385.62</v>
      </c>
      <c r="HG21" s="77">
        <f>FR21+GX21</f>
        <v>2674287.5192650002</v>
      </c>
      <c r="HH21" s="491"/>
      <c r="HI21" s="491"/>
      <c r="HJ21" s="494"/>
      <c r="HK21" s="491"/>
      <c r="HL21" s="477"/>
      <c r="HM21" s="477">
        <f>DATE(YEAR(HL21),MONTH(HL21),DAY(HL21)+21)</f>
        <v>21</v>
      </c>
      <c r="HN21" s="477"/>
      <c r="HO21" s="497" t="str">
        <f>IF(AND(HM21&gt;0,HN21&gt;0),HN21-HM21,"0")</f>
        <v>0</v>
      </c>
      <c r="HP21" s="477"/>
      <c r="HQ21" s="481" t="str">
        <f>IF(AND(HN21&gt;0,HP21&gt;0),HP21-HN21,"0")</f>
        <v>0</v>
      </c>
      <c r="HR21" s="497">
        <f>+HQ21-30</f>
        <v>-30</v>
      </c>
      <c r="HS21" s="506" t="str">
        <f>IF(AND(HL21&gt;0,HP21&gt;0),HP21-HL21,"0")</f>
        <v>0</v>
      </c>
      <c r="HT21" s="477"/>
      <c r="HU21" s="497" t="str">
        <f>IF(AND(HP21&gt;0,HT21&gt;0),HT21-HP21,"0")</f>
        <v>0</v>
      </c>
      <c r="HV21" s="477">
        <f>DATE(YEAR(HT21),MONTH(HT21),DAY(HT21)+21)</f>
        <v>21</v>
      </c>
      <c r="HW21" s="477"/>
      <c r="HX21" s="497" t="str">
        <f>IF(AND(HV21&gt;0,HW21&gt;0),HW21-HV21,"0")</f>
        <v>0</v>
      </c>
      <c r="HY21" s="476"/>
      <c r="HZ21" s="481" t="str">
        <f>IF(AND(HW21&gt;0,HY21&gt;0),HY21-HW21,"0")</f>
        <v>0</v>
      </c>
      <c r="IA21" s="497">
        <f>+HZ21-30</f>
        <v>-30</v>
      </c>
      <c r="IB21" s="506" t="str">
        <f>IF(AND(HT21&gt;0,HY21&gt;0),HY21-HT21,"0")</f>
        <v>0</v>
      </c>
      <c r="IC21" s="490"/>
      <c r="ID21" s="491"/>
      <c r="IE21" s="477"/>
      <c r="IF21" s="477"/>
      <c r="IG21" s="494"/>
      <c r="IH21" s="491"/>
      <c r="II21" s="478"/>
      <c r="IJ21" s="497" t="str">
        <f>IF(AND(HY21&gt;0,II21&gt;0),II21-HY21,"0")</f>
        <v>0</v>
      </c>
      <c r="IK21" s="478">
        <f>DATE(YEAR(II21),MONTH(II21),DAY(II21)+30)</f>
        <v>30</v>
      </c>
      <c r="IL21" s="478"/>
      <c r="IM21" s="497" t="str">
        <f>IF(AND(IK21&gt;0,IL21&gt;0),IL21-IK21,"0")</f>
        <v>0</v>
      </c>
      <c r="IN21" s="478"/>
      <c r="IO21" s="481" t="str">
        <f>IF(AND(IL21&gt;0,IN21&gt;0),IN21-IL21,"0")</f>
        <v>0</v>
      </c>
      <c r="IP21" s="497">
        <f>+IO21-30</f>
        <v>-30</v>
      </c>
      <c r="IQ21" s="506" t="str">
        <f>IF(AND(II21&gt;0,IN21&gt;0),IN21-II21,"0")</f>
        <v>0</v>
      </c>
      <c r="IR21" s="490"/>
      <c r="IS21" s="491"/>
      <c r="IT21" s="478"/>
      <c r="IU21" s="498" t="str">
        <f>IF(AND(IN21&gt;0,IT21&gt;0),IT21-IN21,"0")</f>
        <v>0</v>
      </c>
      <c r="IV21" s="478">
        <f>DATE(YEAR(IT21),MONTH(IT21),DAY(IT21)+30)</f>
        <v>30</v>
      </c>
      <c r="IW21" s="478"/>
      <c r="IX21" s="498" t="str">
        <f>IF(AND(IV21&gt;0,IW21&gt;0),IW21-IV21,"0")</f>
        <v>0</v>
      </c>
      <c r="IY21" s="478"/>
      <c r="IZ21" s="482" t="str">
        <f>IF(AND(IW21&gt;0,IY21&gt;0),IY21-IW21,"0")</f>
        <v>0</v>
      </c>
      <c r="JA21" s="498">
        <f>IZ21-30</f>
        <v>-30</v>
      </c>
      <c r="JB21" s="508" t="str">
        <f>IF(AND(IT21&gt;0,IY21&gt;0),IY21-IT21,"0")</f>
        <v>0</v>
      </c>
      <c r="JC21" s="490"/>
      <c r="JD21" s="491"/>
      <c r="JE21" s="212"/>
      <c r="JF21" s="487" t="str">
        <f>IF(AND(IY21&gt;0,JE21&gt;0),JE21-IY21,"0")</f>
        <v>0</v>
      </c>
      <c r="JG21" s="212">
        <f>DATE(YEAR(JE21),MONTH(JE21),DAY(JE21)+15)</f>
        <v>15</v>
      </c>
      <c r="JH21" s="212"/>
      <c r="JI21" s="487" t="str">
        <f>IF(AND(JG21&gt;0,JH21&gt;0),JH21-JG21,"0")</f>
        <v>0</v>
      </c>
      <c r="JJ21" s="212">
        <f>DATE(YEAR(JH21),MONTH(JH21),DAY(JH21)+15)</f>
        <v>15</v>
      </c>
      <c r="JK21" s="212"/>
      <c r="JL21" s="487" t="str">
        <f>IF(AND(JJ21&gt;0,JK21&gt;0),JK21-JJ21,"0")</f>
        <v>0</v>
      </c>
      <c r="JM21" s="509" t="str">
        <f>IF(AND(JE21&gt;0,JK21&gt;0),JK21-JE21,"0")</f>
        <v>0</v>
      </c>
      <c r="JN21" s="499"/>
      <c r="JO21" s="501" t="str">
        <f>IF(AND(JK21&gt;0,JN21&gt;0),JN21-JK21,"0")</f>
        <v>0</v>
      </c>
      <c r="JP21" s="498">
        <f>JO21-60</f>
        <v>-60</v>
      </c>
      <c r="JQ21" s="482">
        <f>291/30</f>
        <v>9.6999999999999993</v>
      </c>
      <c r="JR21" s="504">
        <f>((+HS21+HU21+IB21+IJ21+IQ21+IU21+JB21+JI21+JF21)/30)-JQ21</f>
        <v>-9.6999999999999993</v>
      </c>
      <c r="JS21" s="490"/>
      <c r="JT21" s="491"/>
      <c r="JU21" s="490"/>
      <c r="JV21" s="491"/>
      <c r="JW21" s="488"/>
      <c r="JX21" s="488"/>
      <c r="JY21" s="488"/>
      <c r="JZ21" s="488"/>
    </row>
    <row r="22" spans="1:286" s="31" customFormat="1" ht="111.75" hidden="1" customHeight="1" x14ac:dyDescent="0.25">
      <c r="A22" s="52" t="s">
        <v>98</v>
      </c>
      <c r="B22" s="20" t="s">
        <v>44</v>
      </c>
      <c r="C22" s="20" t="s">
        <v>158</v>
      </c>
      <c r="D22" s="20">
        <v>2012</v>
      </c>
      <c r="E22" s="20" t="s">
        <v>110</v>
      </c>
      <c r="F22" s="20" t="s">
        <v>74</v>
      </c>
      <c r="G22" s="20" t="s">
        <v>719</v>
      </c>
      <c r="H22" s="20" t="s">
        <v>243</v>
      </c>
      <c r="I22" s="110"/>
      <c r="J22" s="110" t="s">
        <v>622</v>
      </c>
      <c r="K22" s="453" t="s">
        <v>943</v>
      </c>
      <c r="L22" s="290"/>
      <c r="M22" s="290"/>
      <c r="N22" s="290"/>
      <c r="O22" s="379">
        <v>7382</v>
      </c>
      <c r="P22" s="379">
        <v>243429</v>
      </c>
      <c r="Q22" s="379">
        <v>239545</v>
      </c>
      <c r="R22" s="379">
        <f>P22/AD22</f>
        <v>10142.875</v>
      </c>
      <c r="S22" s="379">
        <f>P22/O22</f>
        <v>32.976022758060147</v>
      </c>
      <c r="T22" s="379">
        <f>Q22/O22</f>
        <v>32.449878081820643</v>
      </c>
      <c r="U22" s="379">
        <f>Q22/AH22</f>
        <v>118.47636852830038</v>
      </c>
      <c r="V22" s="379">
        <f>Q22/AD22</f>
        <v>9981.0416666666661</v>
      </c>
      <c r="W22" s="379">
        <f>O22/AD22</f>
        <v>307.58333333333331</v>
      </c>
      <c r="X22" s="380"/>
      <c r="Y22" s="381">
        <f>AH22/O22</f>
        <v>0.27389325386074237</v>
      </c>
      <c r="Z22" s="380" t="s">
        <v>308</v>
      </c>
      <c r="AA22" s="382">
        <v>750</v>
      </c>
      <c r="AB22" s="383">
        <v>0.3</v>
      </c>
      <c r="AC22" s="20" t="s">
        <v>26</v>
      </c>
      <c r="AD22" s="640">
        <f>AE22+AF22</f>
        <v>24</v>
      </c>
      <c r="AE22" s="21"/>
      <c r="AF22" s="20">
        <v>24</v>
      </c>
      <c r="AG22" s="22">
        <v>2021.88</v>
      </c>
      <c r="AH22" s="139">
        <v>2021.88</v>
      </c>
      <c r="AI22" s="22">
        <f>AH22/AD22</f>
        <v>84.245000000000005</v>
      </c>
      <c r="AJ22" s="116"/>
      <c r="AK22" s="116"/>
      <c r="AL22" s="116"/>
      <c r="AM22" s="116"/>
      <c r="AN22" s="116"/>
      <c r="AO22" s="22">
        <v>1700</v>
      </c>
      <c r="AP22" s="133">
        <v>486</v>
      </c>
      <c r="AQ22" s="135">
        <f>AP22/O22</f>
        <v>6.5835816851801676E-2</v>
      </c>
      <c r="AR22" s="114">
        <v>1.5</v>
      </c>
      <c r="AS22" s="233"/>
      <c r="AT22" s="116"/>
      <c r="AU22" s="116"/>
      <c r="AV22" s="22"/>
      <c r="AW22" s="332">
        <v>40945</v>
      </c>
      <c r="AX22" s="110"/>
      <c r="AY22" s="332">
        <v>40963</v>
      </c>
      <c r="AZ22" s="332" t="s">
        <v>230</v>
      </c>
      <c r="BA22" s="332"/>
      <c r="BB22" s="332"/>
      <c r="BC22" s="332"/>
      <c r="BD22" s="332"/>
      <c r="BE22" s="332">
        <v>41033</v>
      </c>
      <c r="BF22" s="332"/>
      <c r="BG22" s="332"/>
      <c r="BH22" s="332"/>
      <c r="BI22" s="332">
        <v>41253</v>
      </c>
      <c r="BJ22" s="332"/>
      <c r="BK22" s="332" t="s">
        <v>178</v>
      </c>
      <c r="BL22" s="332" t="s">
        <v>178</v>
      </c>
      <c r="BM22" s="332" t="s">
        <v>178</v>
      </c>
      <c r="BN22" s="344" t="s">
        <v>17</v>
      </c>
      <c r="BO22" s="194" t="s">
        <v>174</v>
      </c>
      <c r="BP22" s="196"/>
      <c r="BQ22" s="194" t="s">
        <v>174</v>
      </c>
      <c r="BR22" s="194" t="s">
        <v>174</v>
      </c>
      <c r="BS22" s="344" t="s">
        <v>348</v>
      </c>
      <c r="BT22" s="5"/>
      <c r="BU22" s="376">
        <v>41170</v>
      </c>
      <c r="BV22" s="160"/>
      <c r="BW22" s="160"/>
      <c r="BX22" s="160"/>
      <c r="BY22" s="160"/>
      <c r="BZ22" s="376">
        <v>41232</v>
      </c>
      <c r="CA22" s="160"/>
      <c r="CB22" s="72"/>
      <c r="CC22" s="362"/>
      <c r="CD22" s="164"/>
      <c r="CE22" s="164"/>
      <c r="CF22" s="569">
        <v>41319</v>
      </c>
      <c r="CG22" s="569">
        <f>DATE(YEAR(CF22),MONTH(CF22)+24,DAY(CF22))</f>
        <v>42049</v>
      </c>
      <c r="CH22" s="569">
        <f>DATE(YEAR(CF22),MONTH(CF22)+36,DAY(CF22))</f>
        <v>42414</v>
      </c>
      <c r="CI22" s="569" t="str">
        <f>IF(EV22&gt;CG22,"oui","non")</f>
        <v>oui</v>
      </c>
      <c r="CJ22" s="164"/>
      <c r="CK22" s="72"/>
      <c r="CL22" s="72"/>
      <c r="CM22" s="594"/>
      <c r="CN22" s="164"/>
      <c r="CO22" s="164"/>
      <c r="CP22" s="69"/>
      <c r="CQ22" s="364"/>
      <c r="CR22" s="69"/>
      <c r="CS22" s="198"/>
      <c r="CT22" s="69"/>
      <c r="CU22" s="364"/>
      <c r="CV22" s="69"/>
      <c r="CW22" s="198"/>
      <c r="CX22" s="69"/>
      <c r="CY22" s="364"/>
      <c r="CZ22" s="69"/>
      <c r="DA22" s="198"/>
      <c r="DB22" s="296" t="s">
        <v>88</v>
      </c>
      <c r="DC22" s="300">
        <v>94248</v>
      </c>
      <c r="DD22" s="300">
        <f>DC22*3/5</f>
        <v>56548.800000000003</v>
      </c>
      <c r="DE22" s="291"/>
      <c r="DF22" s="291"/>
      <c r="DG22" s="291"/>
      <c r="DH22" s="312"/>
      <c r="DI22" s="291"/>
      <c r="DJ22" s="291"/>
      <c r="DK22" s="292"/>
      <c r="DL22" s="293"/>
      <c r="DM22" s="293"/>
      <c r="DN22" s="292"/>
      <c r="DO22" s="292"/>
      <c r="DP22" s="293"/>
      <c r="DQ22" s="304">
        <v>41256</v>
      </c>
      <c r="DR22" s="443"/>
      <c r="DS22" s="443"/>
      <c r="DT22" s="297">
        <v>3849124.53</v>
      </c>
      <c r="DU22" s="304">
        <f>DATE(YEAR(DQ22),MONTH(DQ22)+18,DAY(DQ22))</f>
        <v>41803</v>
      </c>
      <c r="DV22" s="443">
        <v>41850</v>
      </c>
      <c r="DW22" s="443"/>
      <c r="DX22" s="415">
        <v>41655</v>
      </c>
      <c r="DY22" s="415">
        <v>41666</v>
      </c>
      <c r="DZ22" s="415" t="s">
        <v>178</v>
      </c>
      <c r="EA22" s="413">
        <v>41572</v>
      </c>
      <c r="EB22" s="413" t="s">
        <v>178</v>
      </c>
      <c r="EC22" s="205">
        <v>17</v>
      </c>
      <c r="ED22" s="205">
        <f>EC22+2</f>
        <v>19</v>
      </c>
      <c r="EE22" s="205">
        <f>DATEDIF(EA22,EN22,"M")</f>
        <v>34</v>
      </c>
      <c r="EF22" s="205">
        <f>DATEDIF(EA22,EV22,"M")</f>
        <v>34</v>
      </c>
      <c r="EG22" s="205">
        <f>EE22-EC22</f>
        <v>17</v>
      </c>
      <c r="EH22" s="205">
        <f>EF22-ED22</f>
        <v>15</v>
      </c>
      <c r="EI22" s="427">
        <f>100906.540336335/12</f>
        <v>8408.8783613612504</v>
      </c>
      <c r="EJ22" s="427">
        <f>EI22*(EE22-EC22)</f>
        <v>142950.93214314125</v>
      </c>
      <c r="EK22" s="413">
        <v>42342</v>
      </c>
      <c r="EL22" s="413">
        <v>42542</v>
      </c>
      <c r="EM22" s="413" t="s">
        <v>178</v>
      </c>
      <c r="EN22" s="413">
        <v>42619</v>
      </c>
      <c r="EO22" s="223">
        <f>DATE(YEAR(DV22)+2,MONTH(DV22),DAY(DV22))</f>
        <v>42581</v>
      </c>
      <c r="EP22" s="413">
        <v>42669</v>
      </c>
      <c r="EQ22" s="230" t="s">
        <v>178</v>
      </c>
      <c r="ER22" s="208" t="s">
        <v>739</v>
      </c>
      <c r="ES22" s="413">
        <v>42633</v>
      </c>
      <c r="ET22" s="413" t="s">
        <v>881</v>
      </c>
      <c r="EU22" s="413" t="s">
        <v>178</v>
      </c>
      <c r="EV22" s="230">
        <v>42627</v>
      </c>
      <c r="EW22" s="413" t="s">
        <v>178</v>
      </c>
      <c r="EX22" s="524"/>
      <c r="EY22" s="524" t="s">
        <v>902</v>
      </c>
      <c r="EZ22" s="356">
        <v>42702</v>
      </c>
      <c r="FA22" s="502" t="s">
        <v>500</v>
      </c>
      <c r="FB22" s="502" t="s">
        <v>984</v>
      </c>
      <c r="FC22" s="356">
        <v>42766</v>
      </c>
      <c r="FD22" s="356">
        <v>42636</v>
      </c>
      <c r="FE22" s="502">
        <v>43034</v>
      </c>
      <c r="FF22" s="356">
        <v>42716</v>
      </c>
      <c r="FG22" s="356">
        <v>42755</v>
      </c>
      <c r="FH22" s="212"/>
      <c r="FI22" s="212"/>
      <c r="FJ22" s="212"/>
      <c r="FK22" s="502">
        <v>42794</v>
      </c>
      <c r="FL22" s="212"/>
      <c r="FM22" s="212" t="s">
        <v>977</v>
      </c>
      <c r="FN22" s="212"/>
      <c r="FO22" s="212"/>
      <c r="FP22" s="294"/>
      <c r="FQ22" s="23">
        <f>+GA22+GE22+GL22+HF22</f>
        <v>4128660.85</v>
      </c>
      <c r="FR22" s="28">
        <f>GB22+GF22+GM22+HF22+GK22+GQ22</f>
        <v>4128660.85</v>
      </c>
      <c r="FS22" s="25">
        <f>FR22-FQ22</f>
        <v>0</v>
      </c>
      <c r="FT22" s="25">
        <f>FR22/AG22</f>
        <v>2041.9910429896927</v>
      </c>
      <c r="FU22" s="25">
        <f>FR22/AD22</f>
        <v>172027.53541666668</v>
      </c>
      <c r="FV22" s="23">
        <v>3645377</v>
      </c>
      <c r="FW22" s="24"/>
      <c r="FX22" s="25">
        <f>FW22-FV22</f>
        <v>-3645377</v>
      </c>
      <c r="FY22" s="231">
        <f>FV22*1.021/FQ22</f>
        <v>0.90148599079045189</v>
      </c>
      <c r="FZ22" s="232"/>
      <c r="GA22" s="23">
        <v>1196851</v>
      </c>
      <c r="GB22" s="24">
        <v>1196851</v>
      </c>
      <c r="GC22" s="50">
        <f>GB22/AD22</f>
        <v>49868.791666666664</v>
      </c>
      <c r="GD22" s="73">
        <f>GB22-GA22</f>
        <v>0</v>
      </c>
      <c r="GE22" s="23">
        <v>2362522</v>
      </c>
      <c r="GF22" s="24">
        <f>+GG22+GH22</f>
        <v>2362522</v>
      </c>
      <c r="GG22" s="26">
        <v>585357</v>
      </c>
      <c r="GH22" s="26">
        <v>1777165</v>
      </c>
      <c r="GI22" s="73">
        <f>GF22-GE22</f>
        <v>0</v>
      </c>
      <c r="GJ22" s="50">
        <f>GF22/AD22</f>
        <v>98438.416666666672</v>
      </c>
      <c r="GK22" s="24">
        <v>0</v>
      </c>
      <c r="GL22" s="23">
        <f>264000+120000</f>
        <v>384000</v>
      </c>
      <c r="GM22" s="30">
        <v>384000</v>
      </c>
      <c r="GN22" s="123"/>
      <c r="GO22" s="76">
        <f>GM22/FR22</f>
        <v>9.3008366138865581E-2</v>
      </c>
      <c r="GP22" s="590"/>
      <c r="GQ22" s="30">
        <v>0</v>
      </c>
      <c r="GR22" s="51">
        <f>GM22-GL22</f>
        <v>0</v>
      </c>
      <c r="GS22" s="50">
        <f>GM22/AD22</f>
        <v>16000</v>
      </c>
      <c r="GT22" s="98"/>
      <c r="GU22" s="51">
        <f>GR22/AD22</f>
        <v>0</v>
      </c>
      <c r="GV22" s="97"/>
      <c r="GW22" s="97"/>
      <c r="GX22" s="75">
        <v>913316.69861249998</v>
      </c>
      <c r="GY22" s="75">
        <v>480000</v>
      </c>
      <c r="GZ22" s="50">
        <f>(GB22+GM22+GY22)/AD22</f>
        <v>85868.791666666672</v>
      </c>
      <c r="HA22" s="75">
        <v>148968.80577250005</v>
      </c>
      <c r="HB22" s="50">
        <f>(GB22+GM22+GY22+HA22)/AD22</f>
        <v>92075.825240520833</v>
      </c>
      <c r="HC22" s="99">
        <f>(GB22+GM22+GY22+HA22)/(GX22+FR22-HD22)</f>
        <v>0.46089221153691351</v>
      </c>
      <c r="HD22" s="75">
        <v>247321.11820000003</v>
      </c>
      <c r="HE22" s="632"/>
      <c r="HF22" s="631">
        <v>185287.85</v>
      </c>
      <c r="HG22" s="77">
        <f>FR22+GX22</f>
        <v>5041977.5486124996</v>
      </c>
      <c r="HH22" s="491"/>
      <c r="HI22" s="491"/>
      <c r="HJ22" s="494"/>
      <c r="HK22" s="491"/>
      <c r="HL22" s="477"/>
      <c r="HM22" s="477">
        <f>DATE(YEAR(HL22),MONTH(HL22),DAY(HL22)+21)</f>
        <v>21</v>
      </c>
      <c r="HN22" s="477"/>
      <c r="HO22" s="497" t="str">
        <f>IF(AND(HM22&gt;0,HN22&gt;0),HN22-HM22,"0")</f>
        <v>0</v>
      </c>
      <c r="HP22" s="477"/>
      <c r="HQ22" s="481" t="str">
        <f>IF(AND(HN22&gt;0,HP22&gt;0),HP22-HN22,"0")</f>
        <v>0</v>
      </c>
      <c r="HR22" s="497">
        <f>+HQ22-30</f>
        <v>-30</v>
      </c>
      <c r="HS22" s="506" t="str">
        <f>IF(AND(HL22&gt;0,HP22&gt;0),HP22-HL22,"0")</f>
        <v>0</v>
      </c>
      <c r="HT22" s="477"/>
      <c r="HU22" s="497" t="str">
        <f>IF(AND(HP22&gt;0,HT22&gt;0),HT22-HP22,"0")</f>
        <v>0</v>
      </c>
      <c r="HV22" s="477">
        <f>DATE(YEAR(HT22),MONTH(HT22),DAY(HT22)+21)</f>
        <v>21</v>
      </c>
      <c r="HW22" s="477"/>
      <c r="HX22" s="497" t="str">
        <f>IF(AND(HV22&gt;0,HW22&gt;0),HW22-HV22,"0")</f>
        <v>0</v>
      </c>
      <c r="HY22" s="476"/>
      <c r="HZ22" s="481" t="str">
        <f>IF(AND(HW22&gt;0,HY22&gt;0),HY22-HW22,"0")</f>
        <v>0</v>
      </c>
      <c r="IA22" s="497">
        <f>+HZ22-30</f>
        <v>-30</v>
      </c>
      <c r="IB22" s="506" t="str">
        <f>IF(AND(HT22&gt;0,HY22&gt;0),HY22-HT22,"0")</f>
        <v>0</v>
      </c>
      <c r="IC22" s="490"/>
      <c r="ID22" s="491"/>
      <c r="IE22" s="477"/>
      <c r="IF22" s="477"/>
      <c r="IG22" s="494"/>
      <c r="IH22" s="491"/>
      <c r="II22" s="478"/>
      <c r="IJ22" s="497" t="str">
        <f>IF(AND(HY22&gt;0,II22&gt;0),II22-HY22,"0")</f>
        <v>0</v>
      </c>
      <c r="IK22" s="478">
        <f>DATE(YEAR(II22),MONTH(II22),DAY(II22)+30)</f>
        <v>30</v>
      </c>
      <c r="IL22" s="478"/>
      <c r="IM22" s="497" t="str">
        <f>IF(AND(IK22&gt;0,IL22&gt;0),IL22-IK22,"0")</f>
        <v>0</v>
      </c>
      <c r="IN22" s="478"/>
      <c r="IO22" s="481" t="str">
        <f>IF(AND(IL22&gt;0,IN22&gt;0),IN22-IL22,"0")</f>
        <v>0</v>
      </c>
      <c r="IP22" s="497">
        <f>+IO22-30</f>
        <v>-30</v>
      </c>
      <c r="IQ22" s="506" t="str">
        <f>IF(AND(II22&gt;0,IN22&gt;0),IN22-II22,"0")</f>
        <v>0</v>
      </c>
      <c r="IR22" s="490"/>
      <c r="IS22" s="491"/>
      <c r="IT22" s="478"/>
      <c r="IU22" s="498" t="str">
        <f>IF(AND(IN22&gt;0,IT22&gt;0),IT22-IN22,"0")</f>
        <v>0</v>
      </c>
      <c r="IV22" s="478">
        <f>DATE(YEAR(IT22),MONTH(IT22),DAY(IT22)+30)</f>
        <v>30</v>
      </c>
      <c r="IW22" s="478"/>
      <c r="IX22" s="498" t="str">
        <f>IF(AND(IV22&gt;0,IW22&gt;0),IW22-IV22,"0")</f>
        <v>0</v>
      </c>
      <c r="IY22" s="478"/>
      <c r="IZ22" s="482" t="str">
        <f>IF(AND(IW22&gt;0,IY22&gt;0),IY22-IW22,"0")</f>
        <v>0</v>
      </c>
      <c r="JA22" s="498">
        <f>IZ22-30</f>
        <v>-30</v>
      </c>
      <c r="JB22" s="508" t="str">
        <f>IF(AND(IT22&gt;0,IY22&gt;0),IY22-IT22,"0")</f>
        <v>0</v>
      </c>
      <c r="JC22" s="490"/>
      <c r="JD22" s="491"/>
      <c r="JE22" s="212"/>
      <c r="JF22" s="487" t="str">
        <f>IF(AND(IY22&gt;0,JE22&gt;0),JE22-IY22,"0")</f>
        <v>0</v>
      </c>
      <c r="JG22" s="212">
        <f>DATE(YEAR(JE22),MONTH(JE22),DAY(JE22)+15)</f>
        <v>15</v>
      </c>
      <c r="JH22" s="212"/>
      <c r="JI22" s="487" t="str">
        <f>IF(AND(JG22&gt;0,JH22&gt;0),JH22-JG22,"0")</f>
        <v>0</v>
      </c>
      <c r="JJ22" s="212">
        <f>DATE(YEAR(JH22),MONTH(JH22),DAY(JH22)+15)</f>
        <v>15</v>
      </c>
      <c r="JK22" s="212"/>
      <c r="JL22" s="487" t="str">
        <f>IF(AND(JJ22&gt;0,JK22&gt;0),JK22-JJ22,"0")</f>
        <v>0</v>
      </c>
      <c r="JM22" s="509" t="str">
        <f>IF(AND(JE22&gt;0,JK22&gt;0),JK22-JE22,"0")</f>
        <v>0</v>
      </c>
      <c r="JN22" s="499"/>
      <c r="JO22" s="501" t="str">
        <f>IF(AND(JK22&gt;0,JN22&gt;0),JN22-JK22,"0")</f>
        <v>0</v>
      </c>
      <c r="JP22" s="498">
        <f>JO22-60</f>
        <v>-60</v>
      </c>
      <c r="JQ22" s="482">
        <f>291/30</f>
        <v>9.6999999999999993</v>
      </c>
      <c r="JR22" s="504">
        <f>((+HS22+HU22+IB22+IJ22+IQ22+IU22+JB22+JI22+JF22)/30)-JQ22</f>
        <v>-9.6999999999999993</v>
      </c>
      <c r="JS22" s="490"/>
      <c r="JT22" s="491"/>
      <c r="JU22" s="490"/>
      <c r="JV22" s="491"/>
      <c r="JW22" s="586"/>
      <c r="JX22" s="586"/>
      <c r="JY22" s="586"/>
      <c r="JZ22" s="586"/>
    </row>
    <row r="23" spans="1:286" s="31" customFormat="1" ht="108.75" hidden="1" customHeight="1" x14ac:dyDescent="0.25">
      <c r="A23" s="141" t="s">
        <v>811</v>
      </c>
      <c r="B23" s="20" t="s">
        <v>38</v>
      </c>
      <c r="C23" s="20" t="s">
        <v>157</v>
      </c>
      <c r="D23" s="20">
        <v>2013</v>
      </c>
      <c r="E23" s="20" t="s">
        <v>68</v>
      </c>
      <c r="F23" s="20" t="s">
        <v>74</v>
      </c>
      <c r="G23" s="20" t="s">
        <v>277</v>
      </c>
      <c r="H23" s="20" t="s">
        <v>244</v>
      </c>
      <c r="I23" s="110"/>
      <c r="J23" s="110"/>
      <c r="K23" s="453" t="s">
        <v>1009</v>
      </c>
      <c r="L23" s="303" t="s">
        <v>81</v>
      </c>
      <c r="M23" s="190" t="s">
        <v>86</v>
      </c>
      <c r="N23" s="191">
        <v>41627</v>
      </c>
      <c r="O23" s="379">
        <v>11354</v>
      </c>
      <c r="P23" s="379">
        <v>444858</v>
      </c>
      <c r="Q23" s="379">
        <v>247250</v>
      </c>
      <c r="R23" s="379">
        <f>P23/AD23</f>
        <v>13084.058823529413</v>
      </c>
      <c r="S23" s="379">
        <f>P23/O23</f>
        <v>39.180729258411134</v>
      </c>
      <c r="T23" s="379">
        <f>Q23/O23</f>
        <v>21.776466443544127</v>
      </c>
      <c r="U23" s="379">
        <f>Q23/AH23</f>
        <v>93.413630644960193</v>
      </c>
      <c r="V23" s="379">
        <f>Q23/AD23</f>
        <v>7272.0588235294117</v>
      </c>
      <c r="W23" s="379">
        <f>O23/AD23</f>
        <v>333.94117647058823</v>
      </c>
      <c r="X23" s="380"/>
      <c r="Y23" s="381">
        <f>AH23/O23</f>
        <v>0.23311872467852737</v>
      </c>
      <c r="Z23" s="380" t="s">
        <v>312</v>
      </c>
      <c r="AA23" s="382"/>
      <c r="AB23" s="383"/>
      <c r="AC23" s="20" t="s">
        <v>26</v>
      </c>
      <c r="AD23" s="640">
        <f>AE23+AF23</f>
        <v>34</v>
      </c>
      <c r="AE23" s="21"/>
      <c r="AF23" s="20">
        <v>34</v>
      </c>
      <c r="AG23" s="22">
        <v>2592.75</v>
      </c>
      <c r="AH23" s="139">
        <v>2646.83</v>
      </c>
      <c r="AI23" s="22">
        <f>AH23/AD23</f>
        <v>77.847941176470584</v>
      </c>
      <c r="AJ23" s="116"/>
      <c r="AK23" s="116"/>
      <c r="AL23" s="116"/>
      <c r="AM23" s="116"/>
      <c r="AN23" s="116"/>
      <c r="AO23" s="22">
        <v>1035</v>
      </c>
      <c r="AP23" s="133" t="s">
        <v>515</v>
      </c>
      <c r="AQ23" s="135" t="e">
        <f>AP23/O23</f>
        <v>#VALUE!</v>
      </c>
      <c r="AR23" s="116">
        <v>2</v>
      </c>
      <c r="AS23" s="20">
        <v>4</v>
      </c>
      <c r="AT23" s="110" t="s">
        <v>316</v>
      </c>
      <c r="AU23" s="110" t="s">
        <v>178</v>
      </c>
      <c r="AV23" s="20" t="s">
        <v>169</v>
      </c>
      <c r="AW23" s="332">
        <v>41200</v>
      </c>
      <c r="AX23" s="332">
        <v>41173</v>
      </c>
      <c r="AY23" s="110"/>
      <c r="AZ23" s="110" t="s">
        <v>230</v>
      </c>
      <c r="BA23" s="110"/>
      <c r="BB23" s="110"/>
      <c r="BC23" s="110"/>
      <c r="BD23" s="110"/>
      <c r="BE23" s="332">
        <v>41463</v>
      </c>
      <c r="BF23" s="332">
        <v>41477</v>
      </c>
      <c r="BG23" s="332">
        <v>41508</v>
      </c>
      <c r="BH23" s="332">
        <v>41540</v>
      </c>
      <c r="BI23" s="332">
        <v>41621</v>
      </c>
      <c r="BJ23" s="332"/>
      <c r="BK23" s="332" t="s">
        <v>178</v>
      </c>
      <c r="BL23" s="332" t="s">
        <v>178</v>
      </c>
      <c r="BM23" s="332"/>
      <c r="BN23" s="194" t="s">
        <v>18</v>
      </c>
      <c r="BO23" s="194" t="s">
        <v>174</v>
      </c>
      <c r="BP23" s="196"/>
      <c r="BQ23" s="194" t="s">
        <v>174</v>
      </c>
      <c r="BR23" s="194" t="s">
        <v>174</v>
      </c>
      <c r="BS23" s="194" t="s">
        <v>203</v>
      </c>
      <c r="BT23" s="548"/>
      <c r="BU23" s="376">
        <v>41484</v>
      </c>
      <c r="BV23" s="160"/>
      <c r="BW23" s="160"/>
      <c r="BX23" s="160" t="s">
        <v>168</v>
      </c>
      <c r="BY23" s="160">
        <v>41498</v>
      </c>
      <c r="BZ23" s="376">
        <v>41509</v>
      </c>
      <c r="CA23" s="160"/>
      <c r="CB23" s="301">
        <v>41549</v>
      </c>
      <c r="CC23" s="372">
        <v>41576</v>
      </c>
      <c r="CD23" s="302">
        <f>DATE(YEAR(CC23),MONTH(CC23)+3,DAY(CC23))</f>
        <v>41668</v>
      </c>
      <c r="CE23" s="302"/>
      <c r="CF23" s="570">
        <v>41659</v>
      </c>
      <c r="CG23" s="569">
        <f>DATE(YEAR(CF23),MONTH(CF23)+24,DAY(CF23))</f>
        <v>42389</v>
      </c>
      <c r="CH23" s="569">
        <f>DATE(YEAR(CF23),MONTH(CF23)+36,DAY(CF23))</f>
        <v>42755</v>
      </c>
      <c r="CI23" s="569" t="str">
        <f>IF(EV23&gt;CG23,"oui","non")</f>
        <v>oui</v>
      </c>
      <c r="CJ23" s="302"/>
      <c r="CK23" s="305" t="s">
        <v>272</v>
      </c>
      <c r="CL23" s="80">
        <v>41583</v>
      </c>
      <c r="CM23" s="370">
        <v>41619</v>
      </c>
      <c r="CN23" s="82">
        <v>41653</v>
      </c>
      <c r="CO23" s="161"/>
      <c r="CP23" s="80">
        <v>41584</v>
      </c>
      <c r="CQ23" s="365">
        <v>41625</v>
      </c>
      <c r="CR23" s="81">
        <v>41645</v>
      </c>
      <c r="CS23" s="162"/>
      <c r="CT23" s="80" t="s">
        <v>235</v>
      </c>
      <c r="CU23" s="368">
        <v>41614</v>
      </c>
      <c r="CV23" s="166">
        <v>41624</v>
      </c>
      <c r="CW23" s="166"/>
      <c r="CX23" s="80">
        <v>41583</v>
      </c>
      <c r="CY23" s="366">
        <v>41604</v>
      </c>
      <c r="CZ23" s="80">
        <v>41626</v>
      </c>
      <c r="DA23" s="166"/>
      <c r="DB23" s="296" t="s">
        <v>202</v>
      </c>
      <c r="DC23" s="300">
        <v>120582</v>
      </c>
      <c r="DD23" s="300">
        <f>DC23*3/5</f>
        <v>72349.2</v>
      </c>
      <c r="DE23" s="296" t="s">
        <v>189</v>
      </c>
      <c r="DF23" s="304" t="s">
        <v>256</v>
      </c>
      <c r="DG23" s="304" t="s">
        <v>250</v>
      </c>
      <c r="DH23" s="443"/>
      <c r="DI23" s="296" t="s">
        <v>254</v>
      </c>
      <c r="DJ23" s="304">
        <v>41614</v>
      </c>
      <c r="DK23" s="297" t="s">
        <v>178</v>
      </c>
      <c r="DL23" s="298"/>
      <c r="DM23" s="298"/>
      <c r="DN23" s="304">
        <v>41624</v>
      </c>
      <c r="DO23" s="292" t="s">
        <v>178</v>
      </c>
      <c r="DP23" s="293"/>
      <c r="DQ23" s="304">
        <v>41627</v>
      </c>
      <c r="DR23" s="443"/>
      <c r="DS23" s="443"/>
      <c r="DT23" s="297">
        <v>5177307.8499999996</v>
      </c>
      <c r="DU23" s="304">
        <f>DATE(YEAR(DQ23),MONTH(DQ23)+18,DAY(DQ23))</f>
        <v>42174</v>
      </c>
      <c r="DV23" s="443">
        <v>41988</v>
      </c>
      <c r="DW23" s="443"/>
      <c r="DX23" s="415" t="s">
        <v>178</v>
      </c>
      <c r="DY23" s="415">
        <v>41843</v>
      </c>
      <c r="DZ23" s="415">
        <v>42198</v>
      </c>
      <c r="EA23" s="413">
        <v>41729</v>
      </c>
      <c r="EB23" s="424"/>
      <c r="EC23" s="421">
        <v>18</v>
      </c>
      <c r="ED23" s="222">
        <f>EC23+2</f>
        <v>20</v>
      </c>
      <c r="EE23" s="422">
        <f>DATEDIF(EA23,EN23,"M")</f>
        <v>37</v>
      </c>
      <c r="EF23" s="422">
        <f>DATEDIF(EA23,EV23,"M")</f>
        <v>38</v>
      </c>
      <c r="EG23" s="422">
        <f>EE23-EC23</f>
        <v>19</v>
      </c>
      <c r="EH23" s="422">
        <f>EF23-ED23</f>
        <v>18</v>
      </c>
      <c r="EI23" s="410">
        <f>170360/12</f>
        <v>14196.666666666666</v>
      </c>
      <c r="EJ23" s="410">
        <f>EI23*(EE23-EC23)</f>
        <v>269736.66666666663</v>
      </c>
      <c r="EK23" s="413">
        <v>42342</v>
      </c>
      <c r="EL23" s="223"/>
      <c r="EM23" s="223"/>
      <c r="EN23" s="227">
        <v>42856</v>
      </c>
      <c r="EO23" s="223">
        <f>DATE(YEAR(DV23)+2,MONTH(DV23),DAY(DV23))</f>
        <v>42719</v>
      </c>
      <c r="EP23" s="223"/>
      <c r="EQ23" s="223"/>
      <c r="ER23" s="223"/>
      <c r="ES23" s="223"/>
      <c r="ET23" s="413"/>
      <c r="EU23" s="227">
        <f>DATE(YEAR(EN23),MONTH(EN23)+1,DAY(EN23))</f>
        <v>42887</v>
      </c>
      <c r="EV23" s="230">
        <f>DATE(YEAR(EU23),MONTH(EU23)*1,DAY(EU23))</f>
        <v>42887</v>
      </c>
      <c r="EW23" s="211" t="s">
        <v>506</v>
      </c>
      <c r="EX23" s="512" t="s">
        <v>745</v>
      </c>
      <c r="EY23" s="516" t="s">
        <v>998</v>
      </c>
      <c r="EZ23" s="209"/>
      <c r="FA23" s="209"/>
      <c r="FB23" s="209"/>
      <c r="FC23" s="209"/>
      <c r="FD23" s="209"/>
      <c r="FE23" s="110"/>
      <c r="FF23" s="110"/>
      <c r="FG23" s="110"/>
      <c r="FH23" s="110"/>
      <c r="FI23" s="110"/>
      <c r="FJ23" s="110"/>
      <c r="FK23" s="110"/>
      <c r="FL23" s="110"/>
      <c r="FM23" s="110"/>
      <c r="FN23" s="110"/>
      <c r="FO23" s="110"/>
      <c r="FP23" s="195" t="s">
        <v>168</v>
      </c>
      <c r="FQ23" s="23">
        <f>+GA23+GE23+GL23+HF23</f>
        <v>5410286</v>
      </c>
      <c r="FR23" s="24">
        <f>GB23+GF23+GM23+HF23</f>
        <v>5669177.5800000001</v>
      </c>
      <c r="FS23" s="25">
        <f>FR23-FQ23</f>
        <v>258891.58000000007</v>
      </c>
      <c r="FT23" s="25">
        <f>FR23/AG23</f>
        <v>2186.5500260341337</v>
      </c>
      <c r="FU23" s="25">
        <f>FR23/AD23</f>
        <v>166740.51705882352</v>
      </c>
      <c r="FV23" s="23">
        <v>4467345</v>
      </c>
      <c r="FW23" s="24">
        <v>4848194</v>
      </c>
      <c r="FX23" s="25">
        <f>FW23-FV23</f>
        <v>380849</v>
      </c>
      <c r="FY23" s="231">
        <f>FV23*1.021/FQ23</f>
        <v>0.84305325910681972</v>
      </c>
      <c r="FZ23" s="232"/>
      <c r="GA23" s="23">
        <v>1408892</v>
      </c>
      <c r="GB23" s="24">
        <v>1600171.58</v>
      </c>
      <c r="GC23" s="50">
        <f>GB23/AD23</f>
        <v>47063.87</v>
      </c>
      <c r="GD23" s="73">
        <f>GB23-GA23</f>
        <v>191279.58000000007</v>
      </c>
      <c r="GE23" s="23">
        <v>2956295</v>
      </c>
      <c r="GF23" s="24">
        <f>+GG23+GH23</f>
        <v>3023907</v>
      </c>
      <c r="GG23" s="26">
        <v>650910</v>
      </c>
      <c r="GH23" s="26">
        <v>2372997</v>
      </c>
      <c r="GI23" s="73">
        <f>GF23-GE23</f>
        <v>67612</v>
      </c>
      <c r="GJ23" s="50">
        <f>GF23/AD23</f>
        <v>88938.441176470587</v>
      </c>
      <c r="GK23" s="24"/>
      <c r="GL23" s="23">
        <v>680000</v>
      </c>
      <c r="GM23" s="24">
        <v>680000</v>
      </c>
      <c r="GN23" s="124"/>
      <c r="GO23" s="76">
        <f>GM23/FR23</f>
        <v>0.11994685126797527</v>
      </c>
      <c r="GP23" s="590"/>
      <c r="GQ23" s="24">
        <v>0</v>
      </c>
      <c r="GR23" s="51">
        <f>GM23-GL23</f>
        <v>0</v>
      </c>
      <c r="GS23" s="50">
        <f>GM23/AD23</f>
        <v>20000</v>
      </c>
      <c r="GT23" s="98"/>
      <c r="GU23" s="51">
        <f>GR23/AD23</f>
        <v>0</v>
      </c>
      <c r="GV23" s="97"/>
      <c r="GW23" s="97"/>
      <c r="GX23" s="75">
        <v>1298644.9078014998</v>
      </c>
      <c r="GY23" s="75">
        <v>680000</v>
      </c>
      <c r="GZ23" s="50">
        <f>(GB23+GM23+GY23)/AD23</f>
        <v>87063.87</v>
      </c>
      <c r="HA23" s="75">
        <v>0</v>
      </c>
      <c r="HB23" s="50">
        <f>(GB23+GM23+GY23+HA23)/AD23</f>
        <v>87063.87</v>
      </c>
      <c r="HC23" s="99">
        <f>(GB23+GM23+GY23+HA23)/(GX23+FR23-HD23)</f>
        <v>0.44080476088858217</v>
      </c>
      <c r="HD23" s="75">
        <v>252442.25</v>
      </c>
      <c r="HE23" s="75"/>
      <c r="HF23" s="631">
        <v>365099</v>
      </c>
      <c r="HG23" s="77">
        <f>FR23+GX23</f>
        <v>6967822.4878014997</v>
      </c>
      <c r="HH23" s="491">
        <v>258409</v>
      </c>
      <c r="HI23" s="491"/>
      <c r="HJ23" s="494">
        <v>40779</v>
      </c>
      <c r="HK23" s="491">
        <v>210013</v>
      </c>
      <c r="HL23" s="415">
        <v>40784</v>
      </c>
      <c r="HM23" s="415">
        <f>DATE(YEAR(HL23),MONTH(HL23),DAY(HL23)+21)</f>
        <v>40805</v>
      </c>
      <c r="HN23" s="415">
        <v>40864</v>
      </c>
      <c r="HO23" s="497">
        <f>IF(AND(HM23&gt;0,HN23&gt;0),HN23-HM23,"0")</f>
        <v>59</v>
      </c>
      <c r="HP23" s="415">
        <v>41095</v>
      </c>
      <c r="HQ23" s="481">
        <f>IF(AND(HN23&gt;0,HP23&gt;0),HP23-HN23,"0")</f>
        <v>231</v>
      </c>
      <c r="HR23" s="497">
        <f>+HQ23-30</f>
        <v>201</v>
      </c>
      <c r="HS23" s="506">
        <f>IF(AND(HL23&gt;0,HP23&gt;0),HP23-HL23,"0")</f>
        <v>311</v>
      </c>
      <c r="HT23" s="415">
        <v>40870</v>
      </c>
      <c r="HU23" s="497">
        <f>IF(AND(HP23&gt;0,HT23&gt;0),HT23-HP23,"0")</f>
        <v>-225</v>
      </c>
      <c r="HV23" s="415">
        <f>DATE(YEAR(HT23),MONTH(HT23),DAY(HT23)+21)</f>
        <v>40891</v>
      </c>
      <c r="HW23" s="415">
        <v>41096</v>
      </c>
      <c r="HX23" s="497">
        <f>IF(AND(HV23&gt;0,HW23&gt;0),HW23-HV23,"0")</f>
        <v>205</v>
      </c>
      <c r="HY23" s="415">
        <v>41325</v>
      </c>
      <c r="HZ23" s="481">
        <f>IF(AND(HW23&gt;0,HY23&gt;0),HY23-HW23,"0")</f>
        <v>229</v>
      </c>
      <c r="IA23" s="497">
        <f>+HZ23-30</f>
        <v>199</v>
      </c>
      <c r="IB23" s="506">
        <f>IF(AND(HT23&gt;0,HY23&gt;0),HY23-HT23,"0")</f>
        <v>455</v>
      </c>
      <c r="IC23" s="490"/>
      <c r="ID23" s="491"/>
      <c r="IE23" s="415">
        <v>41236</v>
      </c>
      <c r="IF23" s="415">
        <v>41332</v>
      </c>
      <c r="IG23" s="494">
        <v>41332</v>
      </c>
      <c r="IH23" s="491">
        <v>39806</v>
      </c>
      <c r="II23" s="347">
        <v>41360</v>
      </c>
      <c r="IJ23" s="497">
        <f>IF(AND(HY23&gt;0,II23&gt;0),II23-HY23,"0")</f>
        <v>35</v>
      </c>
      <c r="IK23" s="347">
        <f>DATE(YEAR(II23),MONTH(II23),DAY(II23)+30)</f>
        <v>41390</v>
      </c>
      <c r="IL23" s="347">
        <v>41418</v>
      </c>
      <c r="IM23" s="497">
        <f>IF(AND(IK23&gt;0,IL23&gt;0),IL23-IK23,"0")</f>
        <v>28</v>
      </c>
      <c r="IN23" s="347">
        <v>41463</v>
      </c>
      <c r="IO23" s="481">
        <f>IF(AND(IL23&gt;0,IN23&gt;0),IN23-IL23,"0")</f>
        <v>45</v>
      </c>
      <c r="IP23" s="497">
        <f>+IO23-30</f>
        <v>15</v>
      </c>
      <c r="IQ23" s="506">
        <f>IF(AND(II23&gt;0,IN23&gt;0),IN23-II23,"0")</f>
        <v>103</v>
      </c>
      <c r="IR23" s="490">
        <v>41485</v>
      </c>
      <c r="IS23" s="491">
        <v>24327</v>
      </c>
      <c r="IT23" s="347">
        <v>41463</v>
      </c>
      <c r="IU23" s="498">
        <f>IF(AND(IN23&gt;0,IT23&gt;0),IT23-IN23,"0")</f>
        <v>0</v>
      </c>
      <c r="IV23" s="347">
        <f>DATE(YEAR(IT23),MONTH(IT23),DAY(IT23)+30)</f>
        <v>41493</v>
      </c>
      <c r="IW23" s="347">
        <v>41512</v>
      </c>
      <c r="IX23" s="498">
        <f>IF(AND(IV23&gt;0,IW23&gt;0),IW23-IV23,"0")</f>
        <v>19</v>
      </c>
      <c r="IY23" s="347">
        <v>41543</v>
      </c>
      <c r="IZ23" s="482">
        <f>IF(AND(IW23&gt;0,IY23&gt;0),IY23-IW23,"0")</f>
        <v>31</v>
      </c>
      <c r="JA23" s="498">
        <f>IZ23-30</f>
        <v>1</v>
      </c>
      <c r="JB23" s="508">
        <f>IF(AND(IT23&gt;0,IY23&gt;0),IY23-IT23,"0")</f>
        <v>80</v>
      </c>
      <c r="JC23" s="490">
        <v>41570</v>
      </c>
      <c r="JD23" s="491">
        <v>36491</v>
      </c>
      <c r="JE23" s="347">
        <v>41463</v>
      </c>
      <c r="JF23" s="487">
        <f>IF(AND(IY23&gt;0,JE23&gt;0),JE23-IY23,"0")</f>
        <v>-80</v>
      </c>
      <c r="JG23" s="347">
        <f>DATE(YEAR(JE23),MONTH(JE23),DAY(JE23)+15)</f>
        <v>41478</v>
      </c>
      <c r="JH23" s="347">
        <v>41512</v>
      </c>
      <c r="JI23" s="487">
        <f>IF(AND(JG23&gt;0,JH23&gt;0),JH23-JG23,"0")</f>
        <v>34</v>
      </c>
      <c r="JJ23" s="347">
        <f>DATE(YEAR(JH23),MONTH(JH23),DAY(JH23)+15)</f>
        <v>41527</v>
      </c>
      <c r="JK23" s="347">
        <v>41543</v>
      </c>
      <c r="JL23" s="487">
        <f>IF(AND(JJ23&gt;0,JK23&gt;0),JK23-JJ23,"0")</f>
        <v>16</v>
      </c>
      <c r="JM23" s="509">
        <f>IF(AND(JE23&gt;0,JK23&gt;0),JK23-JE23,"0")</f>
        <v>80</v>
      </c>
      <c r="JN23" s="541">
        <v>41600</v>
      </c>
      <c r="JO23" s="501">
        <f>IF(AND(JK23&gt;0,JN23&gt;0),JN23-JK23,"0")</f>
        <v>57</v>
      </c>
      <c r="JP23" s="498">
        <f>JO23-60</f>
        <v>-3</v>
      </c>
      <c r="JQ23" s="482">
        <f>291/30</f>
        <v>9.6999999999999993</v>
      </c>
      <c r="JR23" s="504">
        <f>((+HS23+HU23+IB23+IJ23+IQ23+IU23+JB23+JI23+JF23)/30)-JQ23</f>
        <v>14.066666666666666</v>
      </c>
      <c r="JS23" s="490" t="s">
        <v>178</v>
      </c>
      <c r="JT23" s="491"/>
      <c r="JU23" s="490">
        <v>42719</v>
      </c>
      <c r="JV23" s="491">
        <v>39100</v>
      </c>
      <c r="JW23" s="586"/>
      <c r="JX23" s="586"/>
      <c r="JY23" s="586"/>
      <c r="JZ23" s="586"/>
    </row>
    <row r="24" spans="1:286" ht="127.5" hidden="1" customHeight="1" x14ac:dyDescent="0.25">
      <c r="A24" s="52" t="s">
        <v>58</v>
      </c>
      <c r="B24" s="20" t="s">
        <v>59</v>
      </c>
      <c r="C24" s="20" t="s">
        <v>157</v>
      </c>
      <c r="D24" s="20">
        <v>2013</v>
      </c>
      <c r="E24" s="20" t="s">
        <v>60</v>
      </c>
      <c r="F24" s="20" t="s">
        <v>412</v>
      </c>
      <c r="G24" s="554" t="s">
        <v>273</v>
      </c>
      <c r="H24" s="20" t="s">
        <v>244</v>
      </c>
      <c r="I24" s="135"/>
      <c r="J24" s="110"/>
      <c r="K24" s="453"/>
      <c r="L24" s="295" t="s">
        <v>79</v>
      </c>
      <c r="M24" s="295" t="s">
        <v>86</v>
      </c>
      <c r="N24" s="600">
        <v>41591</v>
      </c>
      <c r="O24" s="379">
        <v>1547</v>
      </c>
      <c r="P24" s="379">
        <f>Q24</f>
        <v>259906</v>
      </c>
      <c r="Q24" s="379">
        <v>259906</v>
      </c>
      <c r="R24" s="379">
        <f>P24/AD24</f>
        <v>14439.222222222223</v>
      </c>
      <c r="S24" s="379">
        <f>P24/O24</f>
        <v>168.00646412411118</v>
      </c>
      <c r="T24" s="379">
        <f>Q24/O24</f>
        <v>168.00646412411118</v>
      </c>
      <c r="U24" s="379">
        <f>Q24/AH24</f>
        <v>196.37036757205999</v>
      </c>
      <c r="V24" s="379">
        <f>Q24/AD24</f>
        <v>14439.222222222223</v>
      </c>
      <c r="W24" s="379">
        <f>O24/AD24</f>
        <v>85.944444444444443</v>
      </c>
      <c r="X24" s="380">
        <v>836</v>
      </c>
      <c r="Y24" s="381">
        <f>AH24/O24</f>
        <v>0.85555914673561728</v>
      </c>
      <c r="Z24" s="380" t="s">
        <v>309</v>
      </c>
      <c r="AA24" s="382">
        <v>383</v>
      </c>
      <c r="AB24" s="383">
        <v>0</v>
      </c>
      <c r="AC24" s="20" t="s">
        <v>26</v>
      </c>
      <c r="AD24" s="640">
        <f>AE24+AF24</f>
        <v>18</v>
      </c>
      <c r="AE24" s="21"/>
      <c r="AF24" s="20">
        <v>18</v>
      </c>
      <c r="AG24" s="22">
        <f>1340.98-1283.18*0</f>
        <v>1340.98</v>
      </c>
      <c r="AH24" s="139">
        <v>1323.55</v>
      </c>
      <c r="AI24" s="22">
        <f>AH24/AD24</f>
        <v>73.530555555555551</v>
      </c>
      <c r="AJ24" s="116"/>
      <c r="AK24" s="116"/>
      <c r="AL24" s="116"/>
      <c r="AM24" s="116"/>
      <c r="AN24" s="116"/>
      <c r="AO24" s="22"/>
      <c r="AP24" s="133">
        <v>0</v>
      </c>
      <c r="AQ24" s="135">
        <f>AP24/O24</f>
        <v>0</v>
      </c>
      <c r="AR24" s="114">
        <v>3.5</v>
      </c>
      <c r="AS24" s="20"/>
      <c r="AT24" s="110" t="s">
        <v>316</v>
      </c>
      <c r="AU24" s="110" t="s">
        <v>178</v>
      </c>
      <c r="AV24" s="20" t="s">
        <v>168</v>
      </c>
      <c r="AW24" s="337">
        <v>41305</v>
      </c>
      <c r="AX24" s="337">
        <v>41313</v>
      </c>
      <c r="AY24" s="135"/>
      <c r="AZ24" s="135" t="s">
        <v>230</v>
      </c>
      <c r="BA24" s="135"/>
      <c r="BB24" s="135"/>
      <c r="BC24" s="135"/>
      <c r="BD24" s="135"/>
      <c r="BE24" s="337">
        <v>41397</v>
      </c>
      <c r="BF24" s="332">
        <v>41474</v>
      </c>
      <c r="BG24" s="332">
        <v>41505</v>
      </c>
      <c r="BH24" s="332">
        <v>41536</v>
      </c>
      <c r="BI24" s="337">
        <v>41612</v>
      </c>
      <c r="BJ24" s="337"/>
      <c r="BK24" s="337" t="s">
        <v>178</v>
      </c>
      <c r="BL24" s="337" t="s">
        <v>178</v>
      </c>
      <c r="BM24" s="337" t="s">
        <v>230</v>
      </c>
      <c r="BN24" s="194" t="s">
        <v>17</v>
      </c>
      <c r="BO24" s="194" t="s">
        <v>174</v>
      </c>
      <c r="BP24" s="196"/>
      <c r="BQ24" s="194" t="s">
        <v>174</v>
      </c>
      <c r="BR24" s="194" t="s">
        <v>174</v>
      </c>
      <c r="BS24" s="194" t="s">
        <v>197</v>
      </c>
      <c r="BT24" s="55"/>
      <c r="BU24" s="376">
        <v>41463</v>
      </c>
      <c r="BV24" s="160"/>
      <c r="BW24" s="160"/>
      <c r="BX24" s="160" t="s">
        <v>168</v>
      </c>
      <c r="BY24" s="160">
        <v>41514</v>
      </c>
      <c r="BZ24" s="376">
        <v>41515</v>
      </c>
      <c r="CA24" s="160"/>
      <c r="CB24" s="301">
        <v>41549</v>
      </c>
      <c r="CC24" s="372">
        <v>41576</v>
      </c>
      <c r="CD24" s="302">
        <f>DATE(YEAR(CC24),MONTH(CC24)+3,DAY(CC24))</f>
        <v>41668</v>
      </c>
      <c r="CE24" s="302"/>
      <c r="CF24" s="570">
        <v>41659</v>
      </c>
      <c r="CG24" s="569">
        <f>DATE(YEAR(CF24),MONTH(CF24)+24,DAY(CF24))</f>
        <v>42389</v>
      </c>
      <c r="CH24" s="569">
        <f>DATE(YEAR(CF24),MONTH(CF24)+36,DAY(CF24))</f>
        <v>42755</v>
      </c>
      <c r="CI24" s="569" t="str">
        <f>IF(EV24&gt;CG24,"oui","non")</f>
        <v>oui</v>
      </c>
      <c r="CJ24" s="302"/>
      <c r="CK24" s="305" t="s">
        <v>272</v>
      </c>
      <c r="CL24" s="80">
        <v>41583</v>
      </c>
      <c r="CM24" s="370">
        <v>41619</v>
      </c>
      <c r="CN24" s="82">
        <v>41653</v>
      </c>
      <c r="CO24" s="161"/>
      <c r="CP24" s="80">
        <v>41584</v>
      </c>
      <c r="CQ24" s="365">
        <v>41606</v>
      </c>
      <c r="CR24" s="81"/>
      <c r="CS24" s="162"/>
      <c r="CT24" s="80" t="s">
        <v>235</v>
      </c>
      <c r="CU24" s="366">
        <v>41614</v>
      </c>
      <c r="CV24" s="80">
        <v>41624</v>
      </c>
      <c r="CW24" s="166"/>
      <c r="CX24" s="80">
        <v>41583</v>
      </c>
      <c r="CY24" s="366">
        <v>41604</v>
      </c>
      <c r="CZ24" s="80">
        <v>41626</v>
      </c>
      <c r="DA24" s="166"/>
      <c r="DB24" s="304" t="s">
        <v>195</v>
      </c>
      <c r="DC24" s="296">
        <v>63511</v>
      </c>
      <c r="DD24" s="300">
        <f>DC24*3/5</f>
        <v>38106.6</v>
      </c>
      <c r="DE24" s="296" t="s">
        <v>189</v>
      </c>
      <c r="DF24" s="304" t="s">
        <v>259</v>
      </c>
      <c r="DG24" s="304" t="s">
        <v>264</v>
      </c>
      <c r="DH24" s="443"/>
      <c r="DI24" s="304" t="s">
        <v>265</v>
      </c>
      <c r="DJ24" s="304"/>
      <c r="DK24" s="297"/>
      <c r="DL24" s="298"/>
      <c r="DM24" s="298"/>
      <c r="DN24" s="304">
        <v>41612</v>
      </c>
      <c r="DO24" s="292" t="s">
        <v>178</v>
      </c>
      <c r="DP24" s="293"/>
      <c r="DQ24" s="304">
        <v>41625</v>
      </c>
      <c r="DR24" s="443"/>
      <c r="DS24" s="443"/>
      <c r="DT24" s="297">
        <v>2595669.38</v>
      </c>
      <c r="DU24" s="304">
        <f>DATE(YEAR(DQ24),MONTH(DQ24)+18,DAY(DQ24))</f>
        <v>42172</v>
      </c>
      <c r="DV24" s="443">
        <v>42153</v>
      </c>
      <c r="DW24" s="443"/>
      <c r="DX24" s="419" t="s">
        <v>178</v>
      </c>
      <c r="DY24" s="419">
        <v>41808</v>
      </c>
      <c r="DZ24" s="203">
        <v>42522</v>
      </c>
      <c r="EA24" s="413">
        <v>41751</v>
      </c>
      <c r="EB24" s="424"/>
      <c r="EC24" s="205">
        <v>15</v>
      </c>
      <c r="ED24" s="222">
        <f>EC24+2</f>
        <v>17</v>
      </c>
      <c r="EE24" s="422">
        <f>DATEDIF(EA24,EN24,"M")</f>
        <v>37</v>
      </c>
      <c r="EF24" s="422">
        <f>DATEDIF(EA24,EV24,"M")</f>
        <v>38</v>
      </c>
      <c r="EG24" s="422">
        <f>EE24-EC24</f>
        <v>22</v>
      </c>
      <c r="EH24" s="422">
        <f>EF24-ED24</f>
        <v>21</v>
      </c>
      <c r="EI24" s="410">
        <f>86289.3386701777/12</f>
        <v>7190.7782225148085</v>
      </c>
      <c r="EJ24" s="410">
        <f>EI24*(EE24-EC24)</f>
        <v>158197.12089532579</v>
      </c>
      <c r="EK24" s="413">
        <v>42382</v>
      </c>
      <c r="EL24" s="227"/>
      <c r="EM24" s="227"/>
      <c r="EN24" s="227">
        <v>42887</v>
      </c>
      <c r="EO24" s="223">
        <f>DATE(YEAR(DV24)+2,MONTH(DV24),DAY(DV24))</f>
        <v>42884</v>
      </c>
      <c r="EP24" s="223"/>
      <c r="EQ24" s="223"/>
      <c r="ER24" s="223"/>
      <c r="ES24" s="223"/>
      <c r="ET24" s="223"/>
      <c r="EU24" s="227">
        <f>DATE(YEAR(EN24),MONTH(EN24)+1,DAY(EN24))</f>
        <v>42917</v>
      </c>
      <c r="EV24" s="230">
        <f>DATE(YEAR(EU24),MONTH(EU24),DAY(EU24))</f>
        <v>42917</v>
      </c>
      <c r="EW24" s="211" t="s">
        <v>506</v>
      </c>
      <c r="EX24" s="512" t="s">
        <v>768</v>
      </c>
      <c r="EY24" s="517" t="s">
        <v>906</v>
      </c>
      <c r="EZ24" s="335"/>
      <c r="FA24" s="335"/>
      <c r="FB24" s="335"/>
      <c r="FC24" s="335"/>
      <c r="FD24" s="135"/>
      <c r="FE24" s="135"/>
      <c r="FF24" s="135"/>
      <c r="FG24" s="135"/>
      <c r="FH24" s="135"/>
      <c r="FI24" s="135"/>
      <c r="FJ24" s="135"/>
      <c r="FK24" s="135"/>
      <c r="FL24" s="135"/>
      <c r="FM24" s="135"/>
      <c r="FN24" s="135"/>
      <c r="FO24" s="135"/>
      <c r="FP24" s="195" t="s">
        <v>168</v>
      </c>
      <c r="FQ24" s="23">
        <f>+GA24+GE24+GL24+HF24</f>
        <v>3342473.3883068468</v>
      </c>
      <c r="FR24" s="24">
        <f>GB24+GF24+GM24+HF24</f>
        <v>3285776.3883068468</v>
      </c>
      <c r="FS24" s="25">
        <f>FR24-FQ24</f>
        <v>-56697</v>
      </c>
      <c r="FT24" s="25">
        <f>FR24/AG24</f>
        <v>2450.2799357983317</v>
      </c>
      <c r="FU24" s="25">
        <f>FR24/AD24</f>
        <v>182543.13268371372</v>
      </c>
      <c r="FV24" s="23">
        <v>2383274</v>
      </c>
      <c r="FW24" s="24">
        <v>2329832</v>
      </c>
      <c r="FX24" s="25">
        <f>FW24-FV24</f>
        <v>-53442</v>
      </c>
      <c r="FY24" s="231">
        <f>FV24*1.021/FQ24</f>
        <v>0.72800063644863189</v>
      </c>
      <c r="FZ24" s="232"/>
      <c r="GA24" s="23">
        <v>717900</v>
      </c>
      <c r="GB24" s="24">
        <v>736924</v>
      </c>
      <c r="GC24" s="50">
        <f>GB24/AD24</f>
        <v>40940.222222222219</v>
      </c>
      <c r="GD24" s="73">
        <f>GB24-GA24</f>
        <v>19024</v>
      </c>
      <c r="GE24" s="23">
        <v>1504024</v>
      </c>
      <c r="GF24" s="24">
        <f>+GG24+GH24</f>
        <v>1490303</v>
      </c>
      <c r="GG24" s="26">
        <v>341701</v>
      </c>
      <c r="GH24" s="26">
        <v>1148602</v>
      </c>
      <c r="GI24" s="73">
        <f>GF24-GE24</f>
        <v>-13721</v>
      </c>
      <c r="GJ24" s="50">
        <f>GF24/AD24</f>
        <v>82794.611111111109</v>
      </c>
      <c r="GK24" s="24"/>
      <c r="GL24" s="23">
        <v>494000</v>
      </c>
      <c r="GM24" s="24">
        <v>432000</v>
      </c>
      <c r="GN24" s="124"/>
      <c r="GO24" s="76">
        <f>GM24/FR24</f>
        <v>0.13147577587366152</v>
      </c>
      <c r="GP24" s="590"/>
      <c r="GQ24" s="24">
        <v>0</v>
      </c>
      <c r="GR24" s="51">
        <f>GM24-GL24</f>
        <v>-62000</v>
      </c>
      <c r="GS24" s="50">
        <f>GM24/AD24</f>
        <v>24000</v>
      </c>
      <c r="GT24" s="98"/>
      <c r="GU24" s="51">
        <f>GR24/AD24</f>
        <v>-3444.4444444444443</v>
      </c>
      <c r="GV24" s="97"/>
      <c r="GW24" s="97"/>
      <c r="GX24" s="75">
        <v>0</v>
      </c>
      <c r="GY24" s="75">
        <v>0</v>
      </c>
      <c r="GZ24" s="50">
        <f>(GB24+GM24+GY24)/AD24</f>
        <v>64940.222222222219</v>
      </c>
      <c r="HA24" s="75">
        <v>0</v>
      </c>
      <c r="HB24" s="50">
        <f>(GB24+GM24+GY24+HA24)/AD24</f>
        <v>64940.222222222219</v>
      </c>
      <c r="HC24" s="99">
        <f>(GB24+GM24+GY24+HA24)/(GX24+FR24-HD24)</f>
        <v>0.35575275425311093</v>
      </c>
      <c r="HD24" s="75"/>
      <c r="HE24" s="75"/>
      <c r="HF24" s="631">
        <v>626549.38830684684</v>
      </c>
      <c r="HG24" s="77">
        <f>FR24+GX24</f>
        <v>3285776.3883068468</v>
      </c>
      <c r="HH24" s="491">
        <v>149910</v>
      </c>
      <c r="HI24" s="491"/>
      <c r="HJ24" s="494">
        <v>41257</v>
      </c>
      <c r="HK24" s="491">
        <v>14755</v>
      </c>
      <c r="HL24" s="415">
        <v>41185</v>
      </c>
      <c r="HM24" s="415">
        <f>DATE(YEAR(HL24),MONTH(HL24),DAY(HL24)+21)</f>
        <v>41206</v>
      </c>
      <c r="HN24" s="415">
        <v>41219</v>
      </c>
      <c r="HO24" s="497">
        <f>IF(AND(HM24&gt;0,HN24&gt;0),HN24-HM24,"0")</f>
        <v>13</v>
      </c>
      <c r="HP24" s="415">
        <v>41242</v>
      </c>
      <c r="HQ24" s="481">
        <f>IF(AND(HN24&gt;0,HP24&gt;0),HP24-HN24,"0")</f>
        <v>23</v>
      </c>
      <c r="HR24" s="497">
        <f>+HQ24-30</f>
        <v>-7</v>
      </c>
      <c r="HS24" s="506">
        <f>IF(AND(HL24&gt;0,HP24&gt;0),HP24-HL24,"0")</f>
        <v>57</v>
      </c>
      <c r="HT24" s="415">
        <v>41242</v>
      </c>
      <c r="HU24" s="497">
        <f>IF(AND(HP24&gt;0,HT24&gt;0),HT24-HP24,"0")</f>
        <v>0</v>
      </c>
      <c r="HV24" s="415">
        <f>DATE(YEAR(HT24),MONTH(HT24),DAY(HT24)+21)</f>
        <v>41263</v>
      </c>
      <c r="HW24" s="415">
        <v>41262</v>
      </c>
      <c r="HX24" s="497">
        <f>IF(AND(HV24&gt;0,HW24&gt;0),HW24-HV24,"0")</f>
        <v>-1</v>
      </c>
      <c r="HY24" s="415">
        <v>41373</v>
      </c>
      <c r="HZ24" s="481">
        <f>IF(AND(HW24&gt;0,HY24&gt;0),HY24-HW24,"0")</f>
        <v>111</v>
      </c>
      <c r="IA24" s="497">
        <f>+HZ24-30</f>
        <v>81</v>
      </c>
      <c r="IB24" s="506">
        <f>IF(AND(HT24&gt;0,HY24&gt;0),HY24-HT24,"0")</f>
        <v>131</v>
      </c>
      <c r="IC24" s="490">
        <v>41373</v>
      </c>
      <c r="ID24" s="491">
        <v>4453</v>
      </c>
      <c r="IE24" s="415">
        <v>41296</v>
      </c>
      <c r="IF24" s="415">
        <v>41311</v>
      </c>
      <c r="IG24" s="494">
        <v>41311</v>
      </c>
      <c r="IH24" s="491">
        <v>14755</v>
      </c>
      <c r="II24" s="347">
        <v>41375</v>
      </c>
      <c r="IJ24" s="497">
        <f>IF(AND(HY24&gt;0,II24&gt;0),II24-HY24,"0")</f>
        <v>2</v>
      </c>
      <c r="IK24" s="347">
        <f>DATE(YEAR(II24),MONTH(II24),DAY(II24)+30)</f>
        <v>41405</v>
      </c>
      <c r="IL24" s="347">
        <v>41401</v>
      </c>
      <c r="IM24" s="497">
        <f>IF(AND(IK24&gt;0,IL24&gt;0),IL24-IK24,"0")</f>
        <v>-4</v>
      </c>
      <c r="IN24" s="347">
        <v>41437</v>
      </c>
      <c r="IO24" s="481">
        <f>IF(AND(IL24&gt;0,IN24&gt;0),IN24-IL24,"0")</f>
        <v>36</v>
      </c>
      <c r="IP24" s="497">
        <f>+IO24-30</f>
        <v>6</v>
      </c>
      <c r="IQ24" s="506">
        <f>IF(AND(II24&gt;0,IN24&gt;0),IN24-II24,"0")</f>
        <v>62</v>
      </c>
      <c r="IR24" s="490">
        <v>41453</v>
      </c>
      <c r="IS24" s="491">
        <v>12951</v>
      </c>
      <c r="IT24" s="347">
        <v>41437</v>
      </c>
      <c r="IU24" s="498">
        <f>IF(AND(IN24&gt;0,IT24&gt;0),IT24-IN24,"0")</f>
        <v>0</v>
      </c>
      <c r="IV24" s="347">
        <f>DATE(YEAR(IT24),MONTH(IT24),DAY(IT24)+30)</f>
        <v>41467</v>
      </c>
      <c r="IW24" s="347">
        <v>41491</v>
      </c>
      <c r="IX24" s="498">
        <f>IF(AND(IV24&gt;0,IW24&gt;0),IW24-IV24,"0")</f>
        <v>24</v>
      </c>
      <c r="IY24" s="347">
        <v>41529</v>
      </c>
      <c r="IZ24" s="482">
        <f>IF(AND(IW24&gt;0,IY24&gt;0),IY24-IW24,"0")</f>
        <v>38</v>
      </c>
      <c r="JA24" s="498">
        <f>IZ24-30</f>
        <v>8</v>
      </c>
      <c r="JB24" s="508">
        <f>IF(AND(IT24&gt;0,IY24&gt;0),IY24-IT24,"0")</f>
        <v>92</v>
      </c>
      <c r="JC24" s="490">
        <v>41514</v>
      </c>
      <c r="JD24" s="491">
        <v>19295</v>
      </c>
      <c r="JE24" s="347">
        <v>41529</v>
      </c>
      <c r="JF24" s="487">
        <f>IF(AND(IY24&gt;0,JE24&gt;0),JE24-IY24,"0")</f>
        <v>0</v>
      </c>
      <c r="JG24" s="347">
        <f>DATE(YEAR(JE24),MONTH(JE24),DAY(JE24)+15)</f>
        <v>41544</v>
      </c>
      <c r="JH24" s="347">
        <v>41558</v>
      </c>
      <c r="JI24" s="487">
        <f>IF(AND(JG24&gt;0,JH24&gt;0),JH24-JG24,"0")</f>
        <v>14</v>
      </c>
      <c r="JJ24" s="347">
        <f>DATE(YEAR(JH24),MONTH(JH24),DAY(JH24)+15)</f>
        <v>41573</v>
      </c>
      <c r="JK24" s="347">
        <v>41591</v>
      </c>
      <c r="JL24" s="487">
        <f>IF(AND(JJ24&gt;0,JK24&gt;0),JK24-JJ24,"0")</f>
        <v>18</v>
      </c>
      <c r="JM24" s="509">
        <f>IF(AND(JE24&gt;0,JK24&gt;0),JK24-JE24,"0")</f>
        <v>62</v>
      </c>
      <c r="JN24" s="541">
        <v>41684</v>
      </c>
      <c r="JO24" s="501">
        <f>IF(AND(JK24&gt;0,JN24&gt;0),JN24-JK24,"0")</f>
        <v>93</v>
      </c>
      <c r="JP24" s="498">
        <f>JO24-60</f>
        <v>33</v>
      </c>
      <c r="JQ24" s="482">
        <f>291/30</f>
        <v>9.6999999999999993</v>
      </c>
      <c r="JR24" s="504">
        <f>((+HS24+HU24+IB24+IJ24+IQ24+IU24+JB24+JI24+JF24)/30)-JQ24</f>
        <v>2.2333333333333343</v>
      </c>
      <c r="JS24" s="490"/>
      <c r="JT24" s="491"/>
      <c r="JU24" s="490"/>
      <c r="JV24" s="491"/>
      <c r="JW24" s="586"/>
      <c r="JX24" s="586"/>
      <c r="JY24" s="586"/>
      <c r="JZ24" s="586"/>
    </row>
    <row r="25" spans="1:286" ht="116.25" hidden="1" customHeight="1" x14ac:dyDescent="0.25">
      <c r="A25" s="141" t="s">
        <v>641</v>
      </c>
      <c r="B25" s="20" t="s">
        <v>46</v>
      </c>
      <c r="C25" s="20" t="s">
        <v>157</v>
      </c>
      <c r="D25" s="20">
        <v>2013</v>
      </c>
      <c r="E25" s="20" t="s">
        <v>47</v>
      </c>
      <c r="F25" s="20" t="s">
        <v>630</v>
      </c>
      <c r="G25" s="20" t="s">
        <v>276</v>
      </c>
      <c r="H25" s="20" t="s">
        <v>243</v>
      </c>
      <c r="I25" s="110"/>
      <c r="J25" s="110"/>
      <c r="K25" s="453"/>
      <c r="L25" s="303" t="s">
        <v>80</v>
      </c>
      <c r="M25" s="190"/>
      <c r="N25" s="191" t="s">
        <v>178</v>
      </c>
      <c r="O25" s="379">
        <v>2330</v>
      </c>
      <c r="P25" s="379">
        <f>Q25</f>
        <v>800000</v>
      </c>
      <c r="Q25" s="379">
        <v>800000</v>
      </c>
      <c r="R25" s="379">
        <f>P25/AD25</f>
        <v>18181.81818181818</v>
      </c>
      <c r="S25" s="379">
        <f>P25/O25</f>
        <v>343.34763948497852</v>
      </c>
      <c r="T25" s="379">
        <f>Q25/O25</f>
        <v>343.34763948497852</v>
      </c>
      <c r="U25" s="379">
        <f>Q25/AH25</f>
        <v>218.75076904567243</v>
      </c>
      <c r="V25" s="379">
        <f>Q25/AD25</f>
        <v>18181.81818181818</v>
      </c>
      <c r="W25" s="379">
        <f>O25/AD25</f>
        <v>52.954545454545453</v>
      </c>
      <c r="X25" s="380"/>
      <c r="Y25" s="381">
        <f>AH25/O25</f>
        <v>1.5695836909871246</v>
      </c>
      <c r="Z25" s="380" t="s">
        <v>309</v>
      </c>
      <c r="AA25" s="382"/>
      <c r="AB25" s="383"/>
      <c r="AC25" s="20" t="s">
        <v>25</v>
      </c>
      <c r="AD25" s="640">
        <f>AE25+AF25</f>
        <v>44</v>
      </c>
      <c r="AE25" s="20">
        <v>44</v>
      </c>
      <c r="AF25" s="21"/>
      <c r="AG25" s="22">
        <v>3666.81</v>
      </c>
      <c r="AH25" s="139">
        <v>3657.13</v>
      </c>
      <c r="AI25" s="22">
        <f>AH25/AD25</f>
        <v>83.116590909090917</v>
      </c>
      <c r="AJ25" s="116"/>
      <c r="AK25" s="116"/>
      <c r="AL25" s="116"/>
      <c r="AM25" s="116"/>
      <c r="AN25" s="116"/>
      <c r="AO25" s="22">
        <v>1428</v>
      </c>
      <c r="AP25" s="133">
        <v>0</v>
      </c>
      <c r="AQ25" s="135">
        <f>AP25/O25</f>
        <v>0</v>
      </c>
      <c r="AR25" s="114">
        <v>4</v>
      </c>
      <c r="AS25" s="20"/>
      <c r="AT25" s="110" t="s">
        <v>359</v>
      </c>
      <c r="AU25" s="110" t="s">
        <v>178</v>
      </c>
      <c r="AV25" s="20" t="s">
        <v>168</v>
      </c>
      <c r="AW25" s="332">
        <v>41121</v>
      </c>
      <c r="AX25" s="110"/>
      <c r="AY25" s="110"/>
      <c r="AZ25" s="332" t="s">
        <v>230</v>
      </c>
      <c r="BA25" s="332"/>
      <c r="BB25" s="332"/>
      <c r="BC25" s="332"/>
      <c r="BD25" s="332"/>
      <c r="BE25" s="332">
        <v>41400</v>
      </c>
      <c r="BF25" s="332">
        <v>41467</v>
      </c>
      <c r="BG25" s="332">
        <v>41498</v>
      </c>
      <c r="BH25" s="332">
        <v>41529</v>
      </c>
      <c r="BI25" s="332">
        <v>41621</v>
      </c>
      <c r="BJ25" s="332"/>
      <c r="BK25" s="332" t="s">
        <v>496</v>
      </c>
      <c r="BL25" s="332" t="s">
        <v>178</v>
      </c>
      <c r="BM25" s="332"/>
      <c r="BN25" s="194" t="s">
        <v>18</v>
      </c>
      <c r="BO25" s="194" t="s">
        <v>174</v>
      </c>
      <c r="BP25" s="196"/>
      <c r="BQ25" s="194" t="s">
        <v>174</v>
      </c>
      <c r="BR25" s="194" t="s">
        <v>174</v>
      </c>
      <c r="BS25" s="194" t="s">
        <v>190</v>
      </c>
      <c r="BT25" s="55"/>
      <c r="BU25" s="376">
        <v>41446</v>
      </c>
      <c r="BV25" s="160"/>
      <c r="BW25" s="160"/>
      <c r="BX25" s="160" t="s">
        <v>168</v>
      </c>
      <c r="BY25" s="160">
        <v>41467</v>
      </c>
      <c r="BZ25" s="376">
        <v>41500</v>
      </c>
      <c r="CA25" s="160"/>
      <c r="CB25" s="301">
        <v>41550</v>
      </c>
      <c r="CC25" s="372">
        <v>41576</v>
      </c>
      <c r="CD25" s="302">
        <f>DATE(YEAR(CC25),MONTH(CC25)+3,DAY(CC25))</f>
        <v>41668</v>
      </c>
      <c r="CE25" s="302"/>
      <c r="CF25" s="570">
        <v>41659</v>
      </c>
      <c r="CG25" s="569">
        <f>DATE(YEAR(CF25),MONTH(CF25)+24,DAY(CF25))</f>
        <v>42389</v>
      </c>
      <c r="CH25" s="569">
        <f>DATE(YEAR(CF25),MONTH(CF25)+36,DAY(CF25))</f>
        <v>42755</v>
      </c>
      <c r="CI25" s="569" t="str">
        <f>IF(EV25&gt;CG25,"oui","non")</f>
        <v>oui</v>
      </c>
      <c r="CJ25" s="302"/>
      <c r="CK25" s="305" t="s">
        <v>272</v>
      </c>
      <c r="CL25" s="80">
        <v>41583</v>
      </c>
      <c r="CM25" s="370">
        <v>41619</v>
      </c>
      <c r="CN25" s="82">
        <v>41653</v>
      </c>
      <c r="CO25" s="161"/>
      <c r="CP25" s="80">
        <v>41584</v>
      </c>
      <c r="CQ25" s="365">
        <v>41618</v>
      </c>
      <c r="CR25" s="81">
        <v>41648</v>
      </c>
      <c r="CS25" s="162"/>
      <c r="CT25" s="80" t="s">
        <v>235</v>
      </c>
      <c r="CU25" s="366">
        <v>41614</v>
      </c>
      <c r="CV25" s="80">
        <v>41624</v>
      </c>
      <c r="CW25" s="166"/>
      <c r="CX25" s="80">
        <v>41583</v>
      </c>
      <c r="CY25" s="366">
        <v>41604</v>
      </c>
      <c r="CZ25" s="80">
        <v>41626</v>
      </c>
      <c r="DA25" s="166"/>
      <c r="DB25" s="296" t="s">
        <v>188</v>
      </c>
      <c r="DC25" s="300">
        <v>170905</v>
      </c>
      <c r="DD25" s="300">
        <f>DC25*3/5</f>
        <v>102543</v>
      </c>
      <c r="DE25" s="296" t="s">
        <v>189</v>
      </c>
      <c r="DF25" s="304" t="s">
        <v>253</v>
      </c>
      <c r="DG25" s="304" t="s">
        <v>260</v>
      </c>
      <c r="DH25" s="443"/>
      <c r="DI25" s="304" t="s">
        <v>261</v>
      </c>
      <c r="DJ25" s="304"/>
      <c r="DK25" s="297"/>
      <c r="DL25" s="298"/>
      <c r="DM25" s="298"/>
      <c r="DN25" s="304">
        <v>41621</v>
      </c>
      <c r="DO25" s="292" t="s">
        <v>178</v>
      </c>
      <c r="DP25" s="293"/>
      <c r="DQ25" s="304">
        <v>41626</v>
      </c>
      <c r="DR25" s="443"/>
      <c r="DS25" s="443"/>
      <c r="DT25" s="297"/>
      <c r="DU25" s="304">
        <f>DATE(YEAR(DQ25),MONTH(DQ25)+18,DAY(DQ25))</f>
        <v>42173</v>
      </c>
      <c r="DV25" s="443">
        <v>41988</v>
      </c>
      <c r="DW25" s="443"/>
      <c r="DX25" s="415" t="s">
        <v>178</v>
      </c>
      <c r="DY25" s="415">
        <v>42066</v>
      </c>
      <c r="DZ25" s="415">
        <v>42136</v>
      </c>
      <c r="EA25" s="413">
        <v>41757</v>
      </c>
      <c r="EB25" s="424"/>
      <c r="EC25" s="205">
        <v>15</v>
      </c>
      <c r="ED25" s="222">
        <f>EC25+2</f>
        <v>17</v>
      </c>
      <c r="EE25" s="422">
        <f>DATEDIF(EA25,EN25,"M")</f>
        <v>28</v>
      </c>
      <c r="EF25" s="422">
        <f>DATEDIF(EA25,EV25,"M")</f>
        <v>30</v>
      </c>
      <c r="EG25" s="422">
        <f>EE25-EC25</f>
        <v>13</v>
      </c>
      <c r="EH25" s="422">
        <f>EF25-ED25</f>
        <v>13</v>
      </c>
      <c r="EI25" s="410">
        <f>288686.363903339/12</f>
        <v>24057.196991944918</v>
      </c>
      <c r="EJ25" s="410">
        <f>EI25*(EE25-EC25)</f>
        <v>312743.56089528394</v>
      </c>
      <c r="EK25" s="413">
        <v>42523</v>
      </c>
      <c r="EL25" s="223"/>
      <c r="EM25" s="452" t="s">
        <v>584</v>
      </c>
      <c r="EN25" s="413">
        <v>42640</v>
      </c>
      <c r="EO25" s="413">
        <f>DATE(YEAR(DV25)+2,MONTH(DV25),DAY(DV25))</f>
        <v>42719</v>
      </c>
      <c r="EP25" s="223" t="s">
        <v>1034</v>
      </c>
      <c r="EQ25" s="578" t="s">
        <v>178</v>
      </c>
      <c r="ER25" s="223"/>
      <c r="ES25" s="578">
        <v>42671</v>
      </c>
      <c r="ET25" s="578">
        <v>42745</v>
      </c>
      <c r="EU25" s="203">
        <f>DATE(YEAR(EN25),MONTH(EN25)+1,DAY(EN25))</f>
        <v>42670</v>
      </c>
      <c r="EV25" s="230">
        <v>42671</v>
      </c>
      <c r="EW25" s="203" t="s">
        <v>178</v>
      </c>
      <c r="EX25" s="626" t="s">
        <v>767</v>
      </c>
      <c r="EY25" s="203"/>
      <c r="EZ25" s="544" t="s">
        <v>1035</v>
      </c>
      <c r="FA25" s="502" t="s">
        <v>1036</v>
      </c>
      <c r="FB25" s="502" t="s">
        <v>1037</v>
      </c>
      <c r="FC25" s="502" t="s">
        <v>1038</v>
      </c>
      <c r="FD25" s="466" t="s">
        <v>1039</v>
      </c>
      <c r="FE25" s="502">
        <f>DATE(YEAR(EN25)+1,MONTH(EN25),DAY(EN25))</f>
        <v>43005</v>
      </c>
      <c r="FF25" s="464">
        <v>42705</v>
      </c>
      <c r="FG25" s="110"/>
      <c r="FH25" s="110"/>
      <c r="FI25" s="110"/>
      <c r="FJ25" s="110"/>
      <c r="FK25" s="110"/>
      <c r="FL25" s="110"/>
      <c r="FM25" s="212" t="s">
        <v>977</v>
      </c>
      <c r="FN25" s="110"/>
      <c r="FO25" s="110"/>
      <c r="FP25" s="195" t="s">
        <v>168</v>
      </c>
      <c r="FQ25" s="23">
        <f>+GA25+GE25+GL25+HF25</f>
        <v>7235711.5552148521</v>
      </c>
      <c r="FR25" s="24">
        <f>GB25+GF25+GM25+HF25</f>
        <v>7217191.5552148521</v>
      </c>
      <c r="FS25" s="25">
        <f>FR25-FQ25</f>
        <v>-18520</v>
      </c>
      <c r="FT25" s="25">
        <f>FR25/AG25</f>
        <v>1968.2480289992807</v>
      </c>
      <c r="FU25" s="25">
        <f>FR25/AD25</f>
        <v>164027.08080033754</v>
      </c>
      <c r="FV25" s="607">
        <v>6405313</v>
      </c>
      <c r="FW25" s="24">
        <v>6413222</v>
      </c>
      <c r="FX25" s="25">
        <f>FW25-FV25</f>
        <v>7909</v>
      </c>
      <c r="FY25" s="231">
        <f>FV25*1.021/FQ25</f>
        <v>0.90382604711304182</v>
      </c>
      <c r="FZ25" s="232"/>
      <c r="GA25" s="23">
        <v>2389181</v>
      </c>
      <c r="GB25" s="24">
        <v>2438948</v>
      </c>
      <c r="GC25" s="50">
        <f>GB25/AD25</f>
        <v>55430.63636363636</v>
      </c>
      <c r="GD25" s="73">
        <f>GB25-GA25</f>
        <v>49767</v>
      </c>
      <c r="GE25" s="23">
        <v>4761510</v>
      </c>
      <c r="GF25" s="24">
        <f>+GG25+GH25</f>
        <v>4693223</v>
      </c>
      <c r="GG25" s="26">
        <v>982573</v>
      </c>
      <c r="GH25" s="26">
        <v>3710650</v>
      </c>
      <c r="GI25" s="73">
        <f>GF25-GE25</f>
        <v>-68287</v>
      </c>
      <c r="GJ25" s="50">
        <f>GF25/AD25</f>
        <v>106664.15909090909</v>
      </c>
      <c r="GK25" s="24"/>
      <c r="GL25" s="23">
        <v>1</v>
      </c>
      <c r="GM25" s="24">
        <v>1</v>
      </c>
      <c r="GN25" s="124"/>
      <c r="GO25" s="76">
        <f>GM25/FR25</f>
        <v>1.3855805161184066E-7</v>
      </c>
      <c r="GP25" s="590"/>
      <c r="GQ25" s="24">
        <v>0</v>
      </c>
      <c r="GR25" s="51">
        <f>GM25-GL25</f>
        <v>0</v>
      </c>
      <c r="GS25" s="50">
        <f>GM25/AD25</f>
        <v>2.2727272727272728E-2</v>
      </c>
      <c r="GT25" s="98"/>
      <c r="GU25" s="51">
        <f>GR25/AD25</f>
        <v>0</v>
      </c>
      <c r="GV25" s="97"/>
      <c r="GW25" s="97"/>
      <c r="GX25" s="75"/>
      <c r="GY25" s="75"/>
      <c r="GZ25" s="50">
        <f>(GB25+GM25+GY25)/AD25</f>
        <v>55430.659090909088</v>
      </c>
      <c r="HA25" s="75"/>
      <c r="HB25" s="50">
        <f>(GB25+GM25+GY25+HA25)/AD25</f>
        <v>55430.659090909088</v>
      </c>
      <c r="HC25" s="99">
        <f>(GB25+GM25+GY25+HA25)/(GX25+FR25-HD25)</f>
        <v>0.33793602142064716</v>
      </c>
      <c r="HD25" s="75"/>
      <c r="HE25" s="75"/>
      <c r="HF25" s="631">
        <v>85019.555214851862</v>
      </c>
      <c r="HG25" s="156">
        <f>FR25+GX25</f>
        <v>7217191.5552148521</v>
      </c>
      <c r="HH25" s="491">
        <v>343148</v>
      </c>
      <c r="HI25" s="491"/>
      <c r="HJ25" s="494">
        <v>41060</v>
      </c>
      <c r="HK25" s="491">
        <v>37298</v>
      </c>
      <c r="HL25" s="415">
        <v>41052</v>
      </c>
      <c r="HM25" s="415">
        <v>41052</v>
      </c>
      <c r="HN25" s="415">
        <v>41052</v>
      </c>
      <c r="HO25" s="497">
        <f>IF(AND(HM25&gt;0,HN25&gt;0),HN25-HM25,"0")</f>
        <v>0</v>
      </c>
      <c r="HP25" s="415">
        <v>41052</v>
      </c>
      <c r="HQ25" s="481">
        <f>IF(AND(HN25&gt;0,HP25&gt;0),HP25-HN25,"0")</f>
        <v>0</v>
      </c>
      <c r="HR25" s="497">
        <f>+HQ25-30</f>
        <v>-30</v>
      </c>
      <c r="HS25" s="506">
        <f>IF(AND(HL25&gt;0,HP25&gt;0),HP25-HL25,"0")</f>
        <v>0</v>
      </c>
      <c r="HT25" s="415">
        <v>41052</v>
      </c>
      <c r="HU25" s="497">
        <f>IF(AND(HP25&gt;0,HT25&gt;0),HT25-HP25,"0")</f>
        <v>0</v>
      </c>
      <c r="HV25" s="415">
        <f>DATE(YEAR(HT25),MONTH(HT25),DAY(HT25)+21)</f>
        <v>41073</v>
      </c>
      <c r="HW25" s="415">
        <v>41155</v>
      </c>
      <c r="HX25" s="497">
        <f>IF(AND(HV25&gt;0,HW25&gt;0),HW25-HV25,"0")</f>
        <v>82</v>
      </c>
      <c r="HY25" s="415">
        <v>41324</v>
      </c>
      <c r="HZ25" s="481">
        <f>IF(AND(HW25&gt;0,HY25&gt;0),HY25-HW25,"0")</f>
        <v>169</v>
      </c>
      <c r="IA25" s="497">
        <f>+HZ25-30</f>
        <v>139</v>
      </c>
      <c r="IB25" s="506">
        <f>IF(AND(HT25&gt;0,HY25&gt;0),HY25-HT25,"0")</f>
        <v>272</v>
      </c>
      <c r="IC25" s="490">
        <v>41324</v>
      </c>
      <c r="ID25" s="491">
        <v>18649</v>
      </c>
      <c r="IE25" s="415"/>
      <c r="IF25" s="415">
        <v>41262</v>
      </c>
      <c r="IG25" s="494">
        <v>41262</v>
      </c>
      <c r="IH25" s="491">
        <v>37298</v>
      </c>
      <c r="II25" s="347">
        <v>41324</v>
      </c>
      <c r="IJ25" s="497">
        <f>IF(AND(HY25&gt;0,II25&gt;0),II25-HY25,"0")</f>
        <v>0</v>
      </c>
      <c r="IK25" s="347">
        <f>DATE(YEAR(II25),MONTH(II25),DAY(II25)+30)</f>
        <v>41354</v>
      </c>
      <c r="IL25" s="347">
        <v>41354</v>
      </c>
      <c r="IM25" s="497">
        <f>IF(AND(IK25&gt;0,IL25&gt;0),IL25-IK25,"0")</f>
        <v>0</v>
      </c>
      <c r="IN25" s="347">
        <v>41396</v>
      </c>
      <c r="IO25" s="481">
        <f>IF(AND(IL25&gt;0,IN25&gt;0),IN25-IL25,"0")</f>
        <v>42</v>
      </c>
      <c r="IP25" s="497">
        <f>+IO25-30</f>
        <v>12</v>
      </c>
      <c r="IQ25" s="506">
        <f>IF(AND(II25&gt;0,IN25&gt;0),IN25-II25,"0")</f>
        <v>72</v>
      </c>
      <c r="IR25" s="490">
        <v>41396</v>
      </c>
      <c r="IS25" s="491">
        <v>37298</v>
      </c>
      <c r="IT25" s="347">
        <v>41396</v>
      </c>
      <c r="IU25" s="498">
        <f>IF(AND(IN25&gt;0,IT25&gt;0),IT25-IN25,"0")</f>
        <v>0</v>
      </c>
      <c r="IV25" s="347">
        <f>DATE(YEAR(IT25),MONTH(IT25),DAY(IT25)+30)</f>
        <v>41426</v>
      </c>
      <c r="IW25" s="347">
        <v>41458</v>
      </c>
      <c r="IX25" s="498">
        <f>IF(AND(IV25&gt;0,IW25&gt;0),IW25-IV25,"0")</f>
        <v>32</v>
      </c>
      <c r="IY25" s="347">
        <v>41514</v>
      </c>
      <c r="IZ25" s="482">
        <f>IF(AND(IW25&gt;0,IY25&gt;0),IY25-IW25,"0")</f>
        <v>56</v>
      </c>
      <c r="JA25" s="498">
        <f>IZ25-30</f>
        <v>26</v>
      </c>
      <c r="JB25" s="508">
        <f>IF(AND(IT25&gt;0,IY25&gt;0),IY25-IT25,"0")</f>
        <v>118</v>
      </c>
      <c r="JC25" s="490">
        <v>41547</v>
      </c>
      <c r="JD25" s="491">
        <v>55946</v>
      </c>
      <c r="JE25" s="347">
        <v>41519</v>
      </c>
      <c r="JF25" s="487">
        <f>IF(AND(IY25&gt;0,JE25&gt;0),JE25-IY25,"0")</f>
        <v>5</v>
      </c>
      <c r="JG25" s="347">
        <f>DATE(YEAR(JE25),MONTH(JE25),DAY(JE25)+15)</f>
        <v>41534</v>
      </c>
      <c r="JH25" s="347">
        <v>41556</v>
      </c>
      <c r="JI25" s="487">
        <f>IF(AND(JG25&gt;0,JH25&gt;0),JH25-JG25,"0")</f>
        <v>22</v>
      </c>
      <c r="JJ25" s="347">
        <f>DATE(YEAR(JH25),MONTH(JH25),DAY(JH25)+15)</f>
        <v>41571</v>
      </c>
      <c r="JK25" s="347">
        <v>41561</v>
      </c>
      <c r="JL25" s="487">
        <f>IF(AND(JJ25&gt;0,JK25&gt;0),JK25-JJ25,"0")</f>
        <v>-10</v>
      </c>
      <c r="JM25" s="509">
        <f>IF(AND(JE25&gt;0,JK25&gt;0),JK25-JE25,"0")</f>
        <v>42</v>
      </c>
      <c r="JN25" s="541">
        <v>41684</v>
      </c>
      <c r="JO25" s="501">
        <f>IF(AND(JK25&gt;0,JN25&gt;0),JN25-JK25,"0")</f>
        <v>123</v>
      </c>
      <c r="JP25" s="498">
        <f>JO25-60</f>
        <v>63</v>
      </c>
      <c r="JQ25" s="482">
        <f>291/30</f>
        <v>9.6999999999999993</v>
      </c>
      <c r="JR25" s="504">
        <f>((+HS25+HU25+IB25+IJ25+IQ25+IU25+JB25+JI25+JF25)/30)-JQ25</f>
        <v>6.6000000000000014</v>
      </c>
      <c r="JS25" s="490"/>
      <c r="JT25" s="491"/>
      <c r="JU25" s="490"/>
      <c r="JV25" s="491"/>
      <c r="JW25" s="586"/>
      <c r="JX25" s="586"/>
      <c r="JY25" s="586"/>
      <c r="JZ25" s="586"/>
    </row>
    <row r="26" spans="1:286" ht="60" hidden="1" customHeight="1" x14ac:dyDescent="0.25">
      <c r="A26" s="52" t="s">
        <v>51</v>
      </c>
      <c r="B26" s="20" t="s">
        <v>46</v>
      </c>
      <c r="C26" s="20" t="s">
        <v>157</v>
      </c>
      <c r="D26" s="20">
        <v>2013</v>
      </c>
      <c r="E26" s="20" t="s">
        <v>52</v>
      </c>
      <c r="F26" s="20" t="s">
        <v>74</v>
      </c>
      <c r="G26" s="20" t="s">
        <v>273</v>
      </c>
      <c r="H26" s="20" t="s">
        <v>244</v>
      </c>
      <c r="I26" s="110"/>
      <c r="J26" s="110"/>
      <c r="K26" s="453"/>
      <c r="L26" s="295" t="s">
        <v>82</v>
      </c>
      <c r="M26" s="295" t="s">
        <v>84</v>
      </c>
      <c r="N26" s="600">
        <v>41619</v>
      </c>
      <c r="O26" s="379">
        <v>5146</v>
      </c>
      <c r="P26" s="379">
        <f>Q26</f>
        <v>1069200</v>
      </c>
      <c r="Q26" s="379">
        <v>1069200</v>
      </c>
      <c r="R26" s="379">
        <f>P26/AD26</f>
        <v>19800</v>
      </c>
      <c r="S26" s="379">
        <f>P26/O26</f>
        <v>207.77302759424796</v>
      </c>
      <c r="T26" s="379">
        <f>Q26/O26</f>
        <v>207.77302759424796</v>
      </c>
      <c r="U26" s="379">
        <f>Q26/AH26</f>
        <v>226.47840067104713</v>
      </c>
      <c r="V26" s="379">
        <f>Q26/AD26</f>
        <v>19800</v>
      </c>
      <c r="W26" s="379">
        <f>O26/AD26</f>
        <v>95.296296296296291</v>
      </c>
      <c r="X26" s="380">
        <v>2205.9499999999998</v>
      </c>
      <c r="Y26" s="381">
        <f>AH26/O26</f>
        <v>0.91740769529731825</v>
      </c>
      <c r="Z26" s="380" t="s">
        <v>309</v>
      </c>
      <c r="AA26" s="382">
        <v>570</v>
      </c>
      <c r="AB26" s="383">
        <v>0.15</v>
      </c>
      <c r="AC26" s="20" t="s">
        <v>25</v>
      </c>
      <c r="AD26" s="640">
        <f>AE26+AF26</f>
        <v>54</v>
      </c>
      <c r="AE26" s="20">
        <v>54</v>
      </c>
      <c r="AF26" s="21"/>
      <c r="AG26" s="22">
        <v>4668.4799999999996</v>
      </c>
      <c r="AH26" s="139">
        <v>4720.9799999999996</v>
      </c>
      <c r="AI26" s="22">
        <f>AH26/AD26</f>
        <v>87.425555555555547</v>
      </c>
      <c r="AJ26" s="116"/>
      <c r="AK26" s="116"/>
      <c r="AL26" s="116"/>
      <c r="AM26" s="116"/>
      <c r="AN26" s="116"/>
      <c r="AO26" s="22"/>
      <c r="AP26" s="133">
        <v>0</v>
      </c>
      <c r="AQ26" s="135">
        <f>AP26/O26</f>
        <v>0</v>
      </c>
      <c r="AR26" s="120" t="s">
        <v>310</v>
      </c>
      <c r="AS26" s="20"/>
      <c r="AT26" s="110" t="s">
        <v>359</v>
      </c>
      <c r="AU26" s="110" t="s">
        <v>178</v>
      </c>
      <c r="AV26" s="20" t="s">
        <v>168</v>
      </c>
      <c r="AW26" s="332">
        <v>41200</v>
      </c>
      <c r="AX26" s="332">
        <v>41233</v>
      </c>
      <c r="AY26" s="110"/>
      <c r="AZ26" s="110" t="s">
        <v>230</v>
      </c>
      <c r="BA26" s="110"/>
      <c r="BB26" s="110"/>
      <c r="BC26" s="110"/>
      <c r="BD26" s="110"/>
      <c r="BE26" s="332">
        <v>41457</v>
      </c>
      <c r="BF26" s="332">
        <v>41498</v>
      </c>
      <c r="BG26" s="332">
        <v>41529</v>
      </c>
      <c r="BH26" s="332">
        <v>41561</v>
      </c>
      <c r="BI26" s="332">
        <v>41621</v>
      </c>
      <c r="BJ26" s="332"/>
      <c r="BK26" s="332" t="s">
        <v>178</v>
      </c>
      <c r="BL26" s="332"/>
      <c r="BM26" s="332"/>
      <c r="BN26" s="194" t="s">
        <v>18</v>
      </c>
      <c r="BO26" s="194" t="s">
        <v>174</v>
      </c>
      <c r="BP26" s="196"/>
      <c r="BQ26" s="194" t="s">
        <v>174</v>
      </c>
      <c r="BR26" s="194" t="s">
        <v>174</v>
      </c>
      <c r="BS26" s="194" t="s">
        <v>186</v>
      </c>
      <c r="BT26" s="55"/>
      <c r="BU26" s="376">
        <v>41466</v>
      </c>
      <c r="BV26" s="160"/>
      <c r="BW26" s="160"/>
      <c r="BX26" s="160" t="s">
        <v>178</v>
      </c>
      <c r="BY26" s="160">
        <v>41498</v>
      </c>
      <c r="BZ26" s="376">
        <v>41508</v>
      </c>
      <c r="CA26" s="160"/>
      <c r="CB26" s="301">
        <v>41550</v>
      </c>
      <c r="CC26" s="372">
        <v>41576</v>
      </c>
      <c r="CD26" s="302">
        <f>DATE(YEAR(CC26),MONTH(CC26)+3,DAY(CC26))</f>
        <v>41668</v>
      </c>
      <c r="CE26" s="302"/>
      <c r="CF26" s="570">
        <v>41659</v>
      </c>
      <c r="CG26" s="569">
        <f>DATE(YEAR(CF26),MONTH(CF26)+24,DAY(CF26))</f>
        <v>42389</v>
      </c>
      <c r="CH26" s="569">
        <f>DATE(YEAR(CF26),MONTH(CF26)+36,DAY(CF26))</f>
        <v>42755</v>
      </c>
      <c r="CI26" s="569" t="str">
        <f>IF(EV26&gt;CG26,"oui","non")</f>
        <v>oui</v>
      </c>
      <c r="CJ26" s="302"/>
      <c r="CK26" s="305" t="s">
        <v>272</v>
      </c>
      <c r="CL26" s="80">
        <v>41583</v>
      </c>
      <c r="CM26" s="370">
        <v>41619</v>
      </c>
      <c r="CN26" s="82">
        <v>41653</v>
      </c>
      <c r="CO26" s="161"/>
      <c r="CP26" s="80">
        <v>41584</v>
      </c>
      <c r="CQ26" s="365">
        <v>41618</v>
      </c>
      <c r="CR26" s="81">
        <v>41648</v>
      </c>
      <c r="CS26" s="162"/>
      <c r="CT26" s="80" t="s">
        <v>235</v>
      </c>
      <c r="CU26" s="366">
        <v>41614</v>
      </c>
      <c r="CV26" s="80">
        <v>41624</v>
      </c>
      <c r="CW26" s="166"/>
      <c r="CX26" s="80">
        <v>41583</v>
      </c>
      <c r="CY26" s="366">
        <v>41604</v>
      </c>
      <c r="CZ26" s="80">
        <v>41626</v>
      </c>
      <c r="DA26" s="166"/>
      <c r="DB26" s="304" t="s">
        <v>188</v>
      </c>
      <c r="DC26" s="300">
        <v>217473</v>
      </c>
      <c r="DD26" s="300">
        <f>DC26*3/5</f>
        <v>130483.8</v>
      </c>
      <c r="DE26" s="296" t="s">
        <v>189</v>
      </c>
      <c r="DF26" s="304" t="s">
        <v>252</v>
      </c>
      <c r="DG26" s="304" t="s">
        <v>262</v>
      </c>
      <c r="DH26" s="443"/>
      <c r="DI26" s="304" t="s">
        <v>263</v>
      </c>
      <c r="DJ26" s="304"/>
      <c r="DK26" s="297" t="s">
        <v>178</v>
      </c>
      <c r="DL26" s="298"/>
      <c r="DM26" s="298"/>
      <c r="DN26" s="304">
        <v>41621</v>
      </c>
      <c r="DO26" s="292" t="s">
        <v>178</v>
      </c>
      <c r="DP26" s="293"/>
      <c r="DQ26" s="304">
        <v>41626</v>
      </c>
      <c r="DR26" s="443"/>
      <c r="DS26" s="443"/>
      <c r="DT26" s="297">
        <v>9174750.6199999992</v>
      </c>
      <c r="DU26" s="304">
        <f>DATE(YEAR(DQ26),MONTH(DQ26)+18,DAY(DQ26))</f>
        <v>42173</v>
      </c>
      <c r="DV26" s="454" t="s">
        <v>612</v>
      </c>
      <c r="DW26" s="454"/>
      <c r="DX26" s="332"/>
      <c r="DY26" s="415" t="s">
        <v>178</v>
      </c>
      <c r="DZ26" s="415">
        <v>42236</v>
      </c>
      <c r="EA26" s="413">
        <v>41764</v>
      </c>
      <c r="EB26" s="413">
        <v>41887</v>
      </c>
      <c r="EC26" s="421">
        <v>15</v>
      </c>
      <c r="ED26" s="222">
        <f>EC26+2</f>
        <v>17</v>
      </c>
      <c r="EE26" s="422">
        <f>DATEDIF(EA26,EN26,"M")</f>
        <v>38</v>
      </c>
      <c r="EF26" s="422">
        <f>DATEDIF(EA26,EV26,"M")</f>
        <v>40</v>
      </c>
      <c r="EG26" s="422">
        <f>EE26-EC26</f>
        <v>23</v>
      </c>
      <c r="EH26" s="422">
        <f>EF26-ED26</f>
        <v>23</v>
      </c>
      <c r="EI26" s="410">
        <f>366249.787559262/12</f>
        <v>30520.815629938501</v>
      </c>
      <c r="EJ26" s="410">
        <f>EI26*(EE26-EC26)</f>
        <v>701978.75948858552</v>
      </c>
      <c r="EK26" s="203">
        <v>42527</v>
      </c>
      <c r="EL26" s="223">
        <v>42618</v>
      </c>
      <c r="EM26" s="223"/>
      <c r="EN26" s="334">
        <v>42944</v>
      </c>
      <c r="EO26" s="223" t="e">
        <f>DATE(YEAR(DV26)+2,MONTH(DV26),DAY(DV26))</f>
        <v>#VALUE!</v>
      </c>
      <c r="EP26" s="210"/>
      <c r="EQ26" s="226"/>
      <c r="ER26" s="226"/>
      <c r="ES26" s="226"/>
      <c r="ET26" s="226"/>
      <c r="EU26" s="227">
        <f>DATE(YEAR(EN26),MONTH(EN26)+1,DAY(EN26))</f>
        <v>42975</v>
      </c>
      <c r="EV26" s="230">
        <f>DATE(YEAR(EU26),MONTH(EU26)+1,DAY(EU26))</f>
        <v>43006</v>
      </c>
      <c r="EW26" s="211" t="s">
        <v>506</v>
      </c>
      <c r="EX26" s="512" t="s">
        <v>1000</v>
      </c>
      <c r="EY26" s="518" t="s">
        <v>908</v>
      </c>
      <c r="EZ26" s="212"/>
      <c r="FA26" s="212"/>
      <c r="FB26" s="212"/>
      <c r="FC26" s="212"/>
      <c r="FD26" s="110"/>
      <c r="FE26" s="110"/>
      <c r="FF26" s="110"/>
      <c r="FG26" s="110"/>
      <c r="FH26" s="110"/>
      <c r="FI26" s="110"/>
      <c r="FJ26" s="110"/>
      <c r="FK26" s="110"/>
      <c r="FL26" s="110"/>
      <c r="FM26" s="110"/>
      <c r="FN26" s="110"/>
      <c r="FO26" s="110"/>
      <c r="FP26" s="195" t="s">
        <v>168</v>
      </c>
      <c r="FQ26" s="23">
        <f>+GA26+GE26+GL26+HF26</f>
        <v>9674796</v>
      </c>
      <c r="FR26" s="24">
        <f>GB26+GF26+GM26+HF26</f>
        <v>9781798</v>
      </c>
      <c r="FS26" s="25">
        <f>FR26-FQ26</f>
        <v>107002</v>
      </c>
      <c r="FT26" s="25">
        <f>FR26/AG26</f>
        <v>2095.2854033861131</v>
      </c>
      <c r="FU26" s="25">
        <f>FR26/AD26</f>
        <v>181144.40740740742</v>
      </c>
      <c r="FV26" s="607">
        <v>8367242</v>
      </c>
      <c r="FW26" s="24">
        <v>8644229</v>
      </c>
      <c r="FX26" s="25">
        <f>FW26-FV26</f>
        <v>276987</v>
      </c>
      <c r="FY26" s="231">
        <f>FV26*1.021/FQ26</f>
        <v>0.88301128850675492</v>
      </c>
      <c r="FZ26" s="232"/>
      <c r="GA26" s="23">
        <v>3120981</v>
      </c>
      <c r="GB26" s="24">
        <v>3287400</v>
      </c>
      <c r="GC26" s="50">
        <f>GB26/AD26</f>
        <v>60877.777777777781</v>
      </c>
      <c r="GD26" s="73">
        <f>GB26-GA26</f>
        <v>166419</v>
      </c>
      <c r="GE26" s="23">
        <v>5978090</v>
      </c>
      <c r="GF26" s="24">
        <f>+GG26+GH26</f>
        <v>5918673</v>
      </c>
      <c r="GG26" s="26">
        <v>1256197</v>
      </c>
      <c r="GH26" s="26">
        <v>4662476</v>
      </c>
      <c r="GI26" s="73">
        <f>GF26-GE26</f>
        <v>-59417</v>
      </c>
      <c r="GJ26" s="50">
        <f>GF26/AD26</f>
        <v>109605.05555555556</v>
      </c>
      <c r="GK26" s="24"/>
      <c r="GL26" s="23">
        <v>1</v>
      </c>
      <c r="GM26" s="24">
        <v>1</v>
      </c>
      <c r="GN26" s="124"/>
      <c r="GO26" s="76">
        <f>GM26/FR26</f>
        <v>1.0223069419343969E-7</v>
      </c>
      <c r="GP26" s="590"/>
      <c r="GQ26" s="24">
        <v>0</v>
      </c>
      <c r="GR26" s="51">
        <f>GM26-GL26</f>
        <v>0</v>
      </c>
      <c r="GS26" s="50">
        <f>GM26/AD26</f>
        <v>1.8518518518518517E-2</v>
      </c>
      <c r="GT26" s="98"/>
      <c r="GU26" s="51">
        <f>GR26/AD26</f>
        <v>0</v>
      </c>
      <c r="GV26" s="97"/>
      <c r="GW26" s="97"/>
      <c r="GX26" s="75"/>
      <c r="GY26" s="75"/>
      <c r="GZ26" s="50">
        <f>(GB26+GM26+GY26)/AD26</f>
        <v>60877.796296296299</v>
      </c>
      <c r="HA26" s="75">
        <v>0</v>
      </c>
      <c r="HB26" s="50">
        <f>(GB26+GM26+GY26+HA26)/AD26</f>
        <v>60877.796296296299</v>
      </c>
      <c r="HC26" s="99">
        <f>(GB26+GM26+GY26+HA26)/(GX26+FR26-HD26)</f>
        <v>0.33607328632220784</v>
      </c>
      <c r="HD26" s="75"/>
      <c r="HE26" s="75"/>
      <c r="HF26" s="631">
        <v>575724</v>
      </c>
      <c r="HG26" s="77">
        <f>FR26+GX26</f>
        <v>9781798</v>
      </c>
      <c r="HH26" s="491">
        <v>455729</v>
      </c>
      <c r="HI26" s="491"/>
      <c r="HJ26" s="494">
        <v>41207</v>
      </c>
      <c r="HK26" s="491">
        <v>42868</v>
      </c>
      <c r="HL26" s="415"/>
      <c r="HM26" s="415">
        <f>DATE(YEAR(HL26),MONTH(HL26),DAY(HL26)+21)</f>
        <v>21</v>
      </c>
      <c r="HN26" s="415">
        <v>41197</v>
      </c>
      <c r="HO26" s="497">
        <f>IF(AND(HM26&gt;0,HN26&gt;0),HN26-HM26,"0")</f>
        <v>41176</v>
      </c>
      <c r="HP26" s="415"/>
      <c r="HQ26" s="481" t="str">
        <f>IF(AND(HN26&gt;0,HP26&gt;0),HP26-HN26,"0")</f>
        <v>0</v>
      </c>
      <c r="HR26" s="497">
        <f>+HQ26-30</f>
        <v>-30</v>
      </c>
      <c r="HS26" s="506" t="str">
        <f>IF(AND(HL26&gt;0,HP26&gt;0),HP26-HL26,"0")</f>
        <v>0</v>
      </c>
      <c r="HT26" s="415"/>
      <c r="HU26" s="497" t="str">
        <f>IF(AND(HP26&gt;0,HT26&gt;0),HT26-HP26,"0")</f>
        <v>0</v>
      </c>
      <c r="HV26" s="415"/>
      <c r="HW26" s="415"/>
      <c r="HX26" s="497" t="str">
        <f>IF(AND(HV26&gt;0,HW26&gt;0),HW26-HV26,"0")</f>
        <v>0</v>
      </c>
      <c r="HY26" s="540"/>
      <c r="HZ26" s="481" t="str">
        <f>IF(AND(HW26&gt;0,HY26&gt;0),HY26-HW26,"0")</f>
        <v>0</v>
      </c>
      <c r="IA26" s="497">
        <f>+HZ26-30</f>
        <v>-30</v>
      </c>
      <c r="IB26" s="506" t="str">
        <f>IF(AND(HT26&gt;0,HY26&gt;0),HY26-HT26,"0")</f>
        <v>0</v>
      </c>
      <c r="IC26" s="490"/>
      <c r="ID26" s="491"/>
      <c r="IE26" s="415">
        <v>41313</v>
      </c>
      <c r="IF26" s="415">
        <v>41332</v>
      </c>
      <c r="IG26" s="494">
        <v>41332</v>
      </c>
      <c r="IH26" s="491">
        <v>44712</v>
      </c>
      <c r="II26" s="347">
        <v>41351</v>
      </c>
      <c r="IJ26" s="497" t="str">
        <f>IF(AND(HY26&gt;0,II26&gt;0),II26-HY26,"0")</f>
        <v>0</v>
      </c>
      <c r="IK26" s="347">
        <f>DATE(YEAR(II26),MONTH(II26),DAY(II26)+30)</f>
        <v>41381</v>
      </c>
      <c r="IL26" s="347">
        <v>41367</v>
      </c>
      <c r="IM26" s="497">
        <f>IF(AND(IK26&gt;0,IL26&gt;0),IL26-IK26,"0")</f>
        <v>-14</v>
      </c>
      <c r="IN26" s="347">
        <v>41396</v>
      </c>
      <c r="IO26" s="481">
        <f>IF(AND(IL26&gt;0,IN26&gt;0),IN26-IL26,"0")</f>
        <v>29</v>
      </c>
      <c r="IP26" s="497">
        <f>+IO26-30</f>
        <v>-1</v>
      </c>
      <c r="IQ26" s="506">
        <f>IF(AND(II26&gt;0,IN26&gt;0),IN26-II26,"0")</f>
        <v>45</v>
      </c>
      <c r="IR26" s="490">
        <v>41396</v>
      </c>
      <c r="IS26" s="491">
        <v>65685</v>
      </c>
      <c r="IT26" s="347">
        <v>41396</v>
      </c>
      <c r="IU26" s="498">
        <f>IF(AND(IN26&gt;0,IT26&gt;0),IT26-IN26,"0")</f>
        <v>0</v>
      </c>
      <c r="IV26" s="347">
        <f>DATE(YEAR(IT26),MONTH(IT26),DAY(IT26)+30)</f>
        <v>41426</v>
      </c>
      <c r="IW26" s="347">
        <v>41426</v>
      </c>
      <c r="IX26" s="498">
        <f>IF(AND(IV26&gt;0,IW26&gt;0),IW26-IV26,"0")</f>
        <v>0</v>
      </c>
      <c r="IY26" s="347">
        <v>41519</v>
      </c>
      <c r="IZ26" s="482">
        <f>IF(AND(IW26&gt;0,IY26&gt;0),IY26-IW26,"0")</f>
        <v>93</v>
      </c>
      <c r="JA26" s="498">
        <f>IZ26-30</f>
        <v>63</v>
      </c>
      <c r="JB26" s="508">
        <f>IF(AND(IT26&gt;0,IY26&gt;0),IY26-IT26,"0")</f>
        <v>123</v>
      </c>
      <c r="JC26" s="490">
        <v>41547</v>
      </c>
      <c r="JD26" s="491">
        <v>65685</v>
      </c>
      <c r="JE26" s="347">
        <v>41519</v>
      </c>
      <c r="JF26" s="487">
        <f>IF(AND(IY26&gt;0,JE26&gt;0),JE26-IY26,"0")</f>
        <v>0</v>
      </c>
      <c r="JG26" s="347">
        <f>DATE(YEAR(JE26),MONTH(JE26),DAY(JE26)+15)</f>
        <v>41534</v>
      </c>
      <c r="JH26" s="347">
        <v>41544</v>
      </c>
      <c r="JI26" s="487">
        <f>IF(AND(JG26&gt;0,JH26&gt;0),JH26-JG26,"0")</f>
        <v>10</v>
      </c>
      <c r="JJ26" s="347">
        <f>DATE(YEAR(JH26),MONTH(JH26),DAY(JH26)+15)</f>
        <v>41559</v>
      </c>
      <c r="JK26" s="347">
        <v>41551</v>
      </c>
      <c r="JL26" s="487">
        <f>IF(AND(JJ26&gt;0,JK26&gt;0),JK26-JJ26,"0")</f>
        <v>-8</v>
      </c>
      <c r="JM26" s="509">
        <f>IF(AND(JE26&gt;0,JK26&gt;0),JK26-JE26,"0")</f>
        <v>32</v>
      </c>
      <c r="JN26" s="541">
        <v>41620</v>
      </c>
      <c r="JO26" s="501">
        <f>IF(AND(JK26&gt;0,JN26&gt;0),JN26-JK26,"0")</f>
        <v>69</v>
      </c>
      <c r="JP26" s="498">
        <f>JO26-60</f>
        <v>9</v>
      </c>
      <c r="JQ26" s="482">
        <f>291/30</f>
        <v>9.6999999999999993</v>
      </c>
      <c r="JR26" s="504">
        <f>((+HS26+HU26+IB26+IJ26+IQ26+IU26+JB26+JI26+JF26)/30)-JQ26</f>
        <v>-3.7666666666666657</v>
      </c>
      <c r="JS26" s="490"/>
      <c r="JT26" s="491"/>
      <c r="JU26" s="490"/>
      <c r="JV26" s="491"/>
      <c r="JW26" s="586"/>
      <c r="JX26" s="586"/>
      <c r="JY26" s="586"/>
      <c r="JZ26" s="586"/>
    </row>
    <row r="27" spans="1:286" ht="89.25" hidden="1" customHeight="1" x14ac:dyDescent="0.25">
      <c r="A27" s="52" t="s">
        <v>539</v>
      </c>
      <c r="B27" s="20" t="s">
        <v>44</v>
      </c>
      <c r="C27" s="20" t="s">
        <v>158</v>
      </c>
      <c r="D27" s="20">
        <v>2013</v>
      </c>
      <c r="E27" s="20" t="s">
        <v>65</v>
      </c>
      <c r="F27" s="20" t="s">
        <v>511</v>
      </c>
      <c r="G27" s="20" t="s">
        <v>719</v>
      </c>
      <c r="H27" s="20" t="s">
        <v>244</v>
      </c>
      <c r="I27" s="110"/>
      <c r="J27" s="110" t="s">
        <v>623</v>
      </c>
      <c r="K27" s="453" t="s">
        <v>1008</v>
      </c>
      <c r="L27" s="303" t="s">
        <v>79</v>
      </c>
      <c r="M27" s="190" t="s">
        <v>87</v>
      </c>
      <c r="N27" s="191"/>
      <c r="O27" s="379">
        <v>18523</v>
      </c>
      <c r="P27" s="379">
        <v>492000</v>
      </c>
      <c r="Q27" s="379">
        <v>699015</v>
      </c>
      <c r="R27" s="379">
        <f>P27/AD27</f>
        <v>13297.297297297297</v>
      </c>
      <c r="S27" s="379">
        <f>P27/O27</f>
        <v>26.56157209955191</v>
      </c>
      <c r="T27" s="379">
        <f>Q27/O27</f>
        <v>37.737677482049342</v>
      </c>
      <c r="U27" s="379">
        <f>Q27/(AH27+AH64)</f>
        <v>189.87388190043652</v>
      </c>
      <c r="V27" s="379">
        <f>Q27/(AD27+AD64)</f>
        <v>11459.262295081968</v>
      </c>
      <c r="W27" s="379">
        <f>O27/(AD27+AD64)</f>
        <v>303.65573770491801</v>
      </c>
      <c r="X27" s="380"/>
      <c r="Y27" s="381">
        <f>(AH27+AH64)/O27</f>
        <v>0.19875128218971008</v>
      </c>
      <c r="Z27" s="380" t="s">
        <v>313</v>
      </c>
      <c r="AA27" s="382"/>
      <c r="AB27" s="383"/>
      <c r="AC27" s="20" t="s">
        <v>25</v>
      </c>
      <c r="AD27" s="640">
        <f>AE27+AF27</f>
        <v>37</v>
      </c>
      <c r="AE27" s="20">
        <v>37</v>
      </c>
      <c r="AF27" s="21"/>
      <c r="AG27" s="22">
        <v>3305.14</v>
      </c>
      <c r="AH27" s="139">
        <v>3681.47</v>
      </c>
      <c r="AI27" s="22">
        <f>AH27/AD27</f>
        <v>99.499189189189181</v>
      </c>
      <c r="AJ27" s="116"/>
      <c r="AK27" s="116"/>
      <c r="AL27" s="116"/>
      <c r="AM27" s="116"/>
      <c r="AN27" s="116"/>
      <c r="AO27" s="22">
        <v>3236</v>
      </c>
      <c r="AP27" s="133"/>
      <c r="AQ27" s="135">
        <f>AP27/O27</f>
        <v>0</v>
      </c>
      <c r="AR27" s="114">
        <v>3.5</v>
      </c>
      <c r="AS27" s="47">
        <v>6</v>
      </c>
      <c r="AT27" s="111" t="s">
        <v>316</v>
      </c>
      <c r="AU27" s="111" t="s">
        <v>178</v>
      </c>
      <c r="AV27" s="47" t="s">
        <v>168</v>
      </c>
      <c r="AW27" s="332">
        <v>41305</v>
      </c>
      <c r="AX27" s="332">
        <v>41170</v>
      </c>
      <c r="AY27" s="332">
        <v>40963</v>
      </c>
      <c r="AZ27" s="332" t="s">
        <v>230</v>
      </c>
      <c r="BA27" s="332"/>
      <c r="BB27" s="332"/>
      <c r="BC27" s="332"/>
      <c r="BD27" s="332"/>
      <c r="BE27" s="332">
        <v>41390</v>
      </c>
      <c r="BF27" s="332">
        <v>41730</v>
      </c>
      <c r="BG27" s="332">
        <v>41764</v>
      </c>
      <c r="BH27" s="332"/>
      <c r="BI27" s="332">
        <v>41621</v>
      </c>
      <c r="BJ27" s="332"/>
      <c r="BK27" s="332">
        <v>41569</v>
      </c>
      <c r="BL27" s="332" t="s">
        <v>178</v>
      </c>
      <c r="BM27" s="332" t="s">
        <v>178</v>
      </c>
      <c r="BN27" s="194" t="s">
        <v>17</v>
      </c>
      <c r="BO27" s="194" t="s">
        <v>174</v>
      </c>
      <c r="BP27" s="196"/>
      <c r="BQ27" s="194" t="s">
        <v>174</v>
      </c>
      <c r="BR27" s="194" t="s">
        <v>174</v>
      </c>
      <c r="BS27" s="194" t="s">
        <v>201</v>
      </c>
      <c r="BT27" s="55"/>
      <c r="BU27" s="376">
        <v>41493</v>
      </c>
      <c r="BV27" s="160"/>
      <c r="BW27" s="160"/>
      <c r="BX27" s="160" t="s">
        <v>168</v>
      </c>
      <c r="BY27" s="160">
        <v>41537</v>
      </c>
      <c r="BZ27" s="376">
        <v>41543</v>
      </c>
      <c r="CA27" s="160"/>
      <c r="CB27" s="301">
        <v>41549</v>
      </c>
      <c r="CC27" s="372">
        <v>41576</v>
      </c>
      <c r="CD27" s="302">
        <f>DATE(YEAR(CC27),MONTH(CC27)+3,DAY(CC27))</f>
        <v>41668</v>
      </c>
      <c r="CE27" s="302"/>
      <c r="CF27" s="570">
        <v>41659</v>
      </c>
      <c r="CG27" s="569">
        <f>DATE(YEAR(CF27),MONTH(CF27)+24,DAY(CF27))</f>
        <v>42389</v>
      </c>
      <c r="CH27" s="569">
        <f>DATE(YEAR(CF27),MONTH(CF27)+36,DAY(CF27))</f>
        <v>42755</v>
      </c>
      <c r="CI27" s="569" t="str">
        <f>IF(EV27&gt;CG27,"oui","non")</f>
        <v>oui</v>
      </c>
      <c r="CJ27" s="302"/>
      <c r="CK27" s="301">
        <v>41652</v>
      </c>
      <c r="CL27" s="82" t="s">
        <v>230</v>
      </c>
      <c r="CM27" s="370" t="s">
        <v>230</v>
      </c>
      <c r="CN27" s="82" t="s">
        <v>230</v>
      </c>
      <c r="CO27" s="161"/>
      <c r="CP27" s="80">
        <v>41584</v>
      </c>
      <c r="CQ27" s="365">
        <v>41624</v>
      </c>
      <c r="CR27" s="81">
        <v>41631</v>
      </c>
      <c r="CS27" s="162"/>
      <c r="CT27" s="81" t="s">
        <v>230</v>
      </c>
      <c r="CU27" s="365" t="s">
        <v>230</v>
      </c>
      <c r="CV27" s="81" t="s">
        <v>230</v>
      </c>
      <c r="CW27" s="162"/>
      <c r="CX27" s="80" t="s">
        <v>230</v>
      </c>
      <c r="CY27" s="366" t="s">
        <v>230</v>
      </c>
      <c r="CZ27" s="80" t="s">
        <v>230</v>
      </c>
      <c r="DA27" s="166"/>
      <c r="DB27" s="296" t="s">
        <v>202</v>
      </c>
      <c r="DC27" s="300">
        <v>307120</v>
      </c>
      <c r="DD27" s="300">
        <f>DC27*3/5</f>
        <v>184272</v>
      </c>
      <c r="DE27" s="296" t="s">
        <v>189</v>
      </c>
      <c r="DF27" s="304">
        <v>41593</v>
      </c>
      <c r="DG27" s="304" t="s">
        <v>258</v>
      </c>
      <c r="DH27" s="443"/>
      <c r="DI27" s="296"/>
      <c r="DJ27" s="304">
        <v>41612</v>
      </c>
      <c r="DK27" s="297" t="s">
        <v>178</v>
      </c>
      <c r="DL27" s="298"/>
      <c r="DM27" s="298"/>
      <c r="DN27" s="304">
        <v>41621</v>
      </c>
      <c r="DO27" s="292" t="s">
        <v>178</v>
      </c>
      <c r="DP27" s="293"/>
      <c r="DQ27" s="304">
        <v>41635</v>
      </c>
      <c r="DR27" s="443"/>
      <c r="DS27" s="443"/>
      <c r="DT27" s="297">
        <v>13276941.869999999</v>
      </c>
      <c r="DU27" s="304">
        <f>DATE(YEAR(DQ27),MONTH(DQ27)+18,DAY(DQ27))</f>
        <v>42182</v>
      </c>
      <c r="DV27" s="443">
        <v>42159</v>
      </c>
      <c r="DW27" s="443"/>
      <c r="DX27" s="415" t="s">
        <v>178</v>
      </c>
      <c r="DY27" s="415" t="s">
        <v>178</v>
      </c>
      <c r="DZ27" s="415">
        <v>42178</v>
      </c>
      <c r="EA27" s="413">
        <v>41801</v>
      </c>
      <c r="EB27" s="413">
        <v>41898</v>
      </c>
      <c r="EC27" s="421">
        <v>24</v>
      </c>
      <c r="ED27" s="222">
        <f>EC27+2</f>
        <v>26</v>
      </c>
      <c r="EE27" s="422">
        <f>DATEDIF(EA27,EN27,"M")</f>
        <v>27</v>
      </c>
      <c r="EF27" s="422">
        <f>DATEDIF(EA27,EV27,"M")</f>
        <v>29</v>
      </c>
      <c r="EG27" s="422">
        <f>EE27-EC27</f>
        <v>3</v>
      </c>
      <c r="EH27" s="422">
        <f>EF27-ED27</f>
        <v>3</v>
      </c>
      <c r="EI27" s="410">
        <f>277640.753085829/12</f>
        <v>23136.729423819084</v>
      </c>
      <c r="EJ27" s="410">
        <f>EI27*(EE27-EC27)</f>
        <v>69410.188271457257</v>
      </c>
      <c r="EK27" s="413">
        <v>42538</v>
      </c>
      <c r="EL27" s="223"/>
      <c r="EM27" s="223"/>
      <c r="EN27" s="227">
        <v>42644</v>
      </c>
      <c r="EO27" s="223">
        <v>42735</v>
      </c>
      <c r="EP27" s="223" t="s">
        <v>967</v>
      </c>
      <c r="EQ27" s="223"/>
      <c r="ER27" s="223"/>
      <c r="ES27" s="413">
        <v>42726</v>
      </c>
      <c r="ET27" s="413">
        <v>42744</v>
      </c>
      <c r="EU27" s="413">
        <v>42692</v>
      </c>
      <c r="EV27" s="230">
        <v>42704</v>
      </c>
      <c r="EW27" s="413">
        <v>42670</v>
      </c>
      <c r="EX27" s="514" t="s">
        <v>883</v>
      </c>
      <c r="EY27" s="627" t="s">
        <v>910</v>
      </c>
      <c r="EZ27" s="583" t="s">
        <v>1024</v>
      </c>
      <c r="FA27" s="583" t="s">
        <v>1041</v>
      </c>
      <c r="FB27" s="583" t="s">
        <v>500</v>
      </c>
      <c r="FC27" s="583" t="s">
        <v>1043</v>
      </c>
      <c r="FD27" s="466" t="s">
        <v>506</v>
      </c>
      <c r="FE27" s="110"/>
      <c r="FF27" s="464">
        <v>42795</v>
      </c>
      <c r="FG27" s="110"/>
      <c r="FH27" s="110"/>
      <c r="FI27" s="110"/>
      <c r="FJ27" s="110"/>
      <c r="FK27" s="464">
        <v>42795</v>
      </c>
      <c r="FL27" s="110"/>
      <c r="FM27" s="212" t="s">
        <v>977</v>
      </c>
      <c r="FN27" s="110"/>
      <c r="FO27" s="110"/>
      <c r="FP27" s="195" t="s">
        <v>168</v>
      </c>
      <c r="FQ27" s="23">
        <f>+GA27+GE27+GL27+HF27</f>
        <v>6473750</v>
      </c>
      <c r="FR27" s="24">
        <f>GB27+GF27+GM27+HF27</f>
        <v>7164331</v>
      </c>
      <c r="FS27" s="25">
        <f>FR27-FQ27</f>
        <v>690581</v>
      </c>
      <c r="FT27" s="25">
        <f>FR27/AG27</f>
        <v>2167.6331411074871</v>
      </c>
      <c r="FU27" s="25">
        <f>FR27/AD27</f>
        <v>193630.56756756757</v>
      </c>
      <c r="FV27" s="23">
        <v>5795250</v>
      </c>
      <c r="FW27" s="24">
        <v>6458898</v>
      </c>
      <c r="FX27" s="25">
        <f>FW27-FV27</f>
        <v>663648</v>
      </c>
      <c r="FY27" s="231">
        <f>FV27*1.021/FQ27</f>
        <v>0.91399115659393693</v>
      </c>
      <c r="FZ27" s="232"/>
      <c r="GA27" s="23">
        <v>2155832</v>
      </c>
      <c r="GB27" s="24">
        <v>2453735</v>
      </c>
      <c r="GC27" s="50">
        <f>GB27/AD27</f>
        <v>66317.16216216216</v>
      </c>
      <c r="GD27" s="73">
        <f>GB27-GA27</f>
        <v>297903</v>
      </c>
      <c r="GE27" s="23">
        <v>4291546</v>
      </c>
      <c r="GF27" s="24">
        <f>+GG27+GH27</f>
        <v>4684224</v>
      </c>
      <c r="GG27" s="26">
        <v>641413</v>
      </c>
      <c r="GH27" s="26">
        <v>4042811</v>
      </c>
      <c r="GI27" s="73">
        <f>GF27-GE27</f>
        <v>392678</v>
      </c>
      <c r="GJ27" s="50">
        <f>GF27/AD27</f>
        <v>126600.64864864865</v>
      </c>
      <c r="GK27" s="24"/>
      <c r="GL27" s="23">
        <v>1</v>
      </c>
      <c r="GM27" s="24">
        <v>1</v>
      </c>
      <c r="GN27" s="124"/>
      <c r="GO27" s="76">
        <f>GM27/FR27</f>
        <v>1.3958037393861339E-7</v>
      </c>
      <c r="GP27" s="590"/>
      <c r="GQ27" s="24">
        <v>0</v>
      </c>
      <c r="GR27" s="51">
        <f>GM27-GL27</f>
        <v>0</v>
      </c>
      <c r="GS27" s="50">
        <f>GM27/AD27</f>
        <v>2.7027027027027029E-2</v>
      </c>
      <c r="GT27" s="98"/>
      <c r="GU27" s="51">
        <f>GR27/AD27</f>
        <v>0</v>
      </c>
      <c r="GV27" s="97"/>
      <c r="GW27" s="97"/>
      <c r="GX27" s="75">
        <v>2196102.662575</v>
      </c>
      <c r="GY27" s="75">
        <v>1303101.6922500001</v>
      </c>
      <c r="GZ27" s="50">
        <f>(GB27+GM27+GY27)/AD27</f>
        <v>101536.15384459461</v>
      </c>
      <c r="HA27" s="75">
        <v>0</v>
      </c>
      <c r="HB27" s="50">
        <f>(GB27+GM27+GY27+HA27)/AD27</f>
        <v>101536.15384459461</v>
      </c>
      <c r="HC27" s="99">
        <f>(GB27+GM27+GY27+HA27)/(GX27+FR27-HD27)</f>
        <v>0.41871366900662704</v>
      </c>
      <c r="HD27" s="75">
        <v>388102.52</v>
      </c>
      <c r="HE27" s="75"/>
      <c r="HF27" s="631">
        <v>26371</v>
      </c>
      <c r="HG27" s="77">
        <f>FR27+GX27</f>
        <v>9360433.662574999</v>
      </c>
      <c r="HH27" s="491">
        <v>657747</v>
      </c>
      <c r="HI27" s="491"/>
      <c r="HJ27" s="494">
        <v>40945</v>
      </c>
      <c r="HK27" s="491">
        <v>42492</v>
      </c>
      <c r="HL27" s="415"/>
      <c r="HM27" s="415"/>
      <c r="HN27" s="415"/>
      <c r="HO27" s="497" t="str">
        <f>IF(AND(HM27&gt;0,HN27&gt;0),HN27-HM27,"0")</f>
        <v>0</v>
      </c>
      <c r="HP27" s="415"/>
      <c r="HQ27" s="481" t="str">
        <f>IF(AND(HN27&gt;0,HP27&gt;0),HP27-HN27,"0")</f>
        <v>0</v>
      </c>
      <c r="HR27" s="497">
        <f>+HQ27-30</f>
        <v>-30</v>
      </c>
      <c r="HS27" s="506" t="str">
        <f>IF(AND(HL27&gt;0,HP27&gt;0),HP27-HL27,"0")</f>
        <v>0</v>
      </c>
      <c r="HT27" s="415"/>
      <c r="HU27" s="497" t="str">
        <f>IF(AND(HP27&gt;0,HT27&gt;0),HT27-HP27,"0")</f>
        <v>0</v>
      </c>
      <c r="HV27" s="415"/>
      <c r="HW27" s="415">
        <v>41240</v>
      </c>
      <c r="HX27" s="497" t="str">
        <f>IF(AND(HV27&gt;0,HW27&gt;0),HW27-HV27,"0")</f>
        <v>0</v>
      </c>
      <c r="HY27" s="415">
        <v>41267</v>
      </c>
      <c r="HZ27" s="481">
        <f>IF(AND(HW27&gt;0,HY27&gt;0),HY27-HW27,"0")</f>
        <v>27</v>
      </c>
      <c r="IA27" s="497">
        <f>+HZ27-30</f>
        <v>-3</v>
      </c>
      <c r="IB27" s="506" t="str">
        <f>IF(AND(HT27&gt;0,HY27&gt;0),HY27-HT27,"0")</f>
        <v>0</v>
      </c>
      <c r="IC27" s="490"/>
      <c r="ID27" s="491"/>
      <c r="IE27" s="415"/>
      <c r="IF27" s="415">
        <v>41267</v>
      </c>
      <c r="IG27" s="494">
        <v>41407</v>
      </c>
      <c r="IH27" s="491">
        <v>121749</v>
      </c>
      <c r="II27" s="347">
        <v>41324</v>
      </c>
      <c r="IJ27" s="497">
        <f>IF(AND(HY27&gt;0,II27&gt;0),II27-HY27,"0")</f>
        <v>57</v>
      </c>
      <c r="IK27" s="347">
        <f>DATE(YEAR(II27),MONTH(II27),DAY(II27)+30)</f>
        <v>41354</v>
      </c>
      <c r="IL27" s="347">
        <v>41408</v>
      </c>
      <c r="IM27" s="497">
        <f>IF(AND(IK27&gt;0,IL27&gt;0),IL27-IK27,"0")</f>
        <v>54</v>
      </c>
      <c r="IN27" s="347">
        <v>41459</v>
      </c>
      <c r="IO27" s="481">
        <f>IF(AND(IL27&gt;0,IN27&gt;0),IN27-IL27,"0")</f>
        <v>51</v>
      </c>
      <c r="IP27" s="497">
        <f>+IO27-30</f>
        <v>21</v>
      </c>
      <c r="IQ27" s="506">
        <f>IF(AND(II27&gt;0,IN27&gt;0),IN27-II27,"0")</f>
        <v>135</v>
      </c>
      <c r="IR27" s="490">
        <v>41485</v>
      </c>
      <c r="IS27" s="491">
        <v>65696</v>
      </c>
      <c r="IT27" s="347">
        <v>41459</v>
      </c>
      <c r="IU27" s="498">
        <f>IF(AND(IN27&gt;0,IT27&gt;0),IT27-IN27,"0")</f>
        <v>0</v>
      </c>
      <c r="IV27" s="347">
        <f>DATE(YEAR(IT27),MONTH(IT27),DAY(IT27)+30)</f>
        <v>41489</v>
      </c>
      <c r="IW27" s="347">
        <v>41508</v>
      </c>
      <c r="IX27" s="498">
        <f>IF(AND(IV27&gt;0,IW27&gt;0),IW27-IV27,"0")</f>
        <v>19</v>
      </c>
      <c r="IY27" s="347">
        <v>41541</v>
      </c>
      <c r="IZ27" s="482">
        <f>IF(AND(IW27&gt;0,IY27&gt;0),IY27-IW27,"0")</f>
        <v>33</v>
      </c>
      <c r="JA27" s="498">
        <f>IZ27-30</f>
        <v>3</v>
      </c>
      <c r="JB27" s="508">
        <f>IF(AND(IT27&gt;0,IY27&gt;0),IY27-IT27,"0")</f>
        <v>82</v>
      </c>
      <c r="JC27" s="490">
        <v>41570</v>
      </c>
      <c r="JD27" s="491">
        <v>98544</v>
      </c>
      <c r="JE27" s="347">
        <f>IT27</f>
        <v>41459</v>
      </c>
      <c r="JF27" s="487">
        <f>IF(AND(IY27&gt;0,JE27&gt;0),JE27-IY27,"0")</f>
        <v>-82</v>
      </c>
      <c r="JG27" s="347">
        <f>DATE(YEAR(JE27),MONTH(JE27),DAY(JE27)+15)</f>
        <v>41474</v>
      </c>
      <c r="JH27" s="347">
        <f>IW27</f>
        <v>41508</v>
      </c>
      <c r="JI27" s="487">
        <f>IF(AND(JG27&gt;0,JH27&gt;0),JH27-JG27,"0")</f>
        <v>34</v>
      </c>
      <c r="JJ27" s="347">
        <f>DATE(YEAR(JH27),MONTH(JH27),DAY(JH27)+15)</f>
        <v>41523</v>
      </c>
      <c r="JK27" s="347">
        <v>41541</v>
      </c>
      <c r="JL27" s="487">
        <f>IF(AND(JJ27&gt;0,JK27&gt;0),JK27-JJ27,"0")</f>
        <v>18</v>
      </c>
      <c r="JM27" s="509">
        <f>IF(AND(JE27&gt;0,JK27&gt;0),JK27-JE27,"0")</f>
        <v>82</v>
      </c>
      <c r="JN27" s="541">
        <v>41600</v>
      </c>
      <c r="JO27" s="501">
        <f>IF(AND(JK27&gt;0,JN27&gt;0),JN27-JK27,"0")</f>
        <v>59</v>
      </c>
      <c r="JP27" s="498">
        <f>JO27-60</f>
        <v>-1</v>
      </c>
      <c r="JQ27" s="482">
        <f>291/30</f>
        <v>9.6999999999999993</v>
      </c>
      <c r="JR27" s="504">
        <f>((+HS27+HU27+IB27+IJ27+IQ27+IU27+JB27+JI27+JF27)/30)-JQ27</f>
        <v>-2.1666666666666661</v>
      </c>
      <c r="JS27" s="490"/>
      <c r="JT27" s="491"/>
      <c r="JU27" s="490"/>
      <c r="JV27" s="491"/>
      <c r="JW27" s="586"/>
      <c r="JX27" s="586"/>
      <c r="JY27" s="586"/>
      <c r="JZ27" s="586"/>
    </row>
    <row r="28" spans="1:286" s="119" customFormat="1" ht="84.75" hidden="1" customHeight="1" x14ac:dyDescent="0.25">
      <c r="A28" s="52" t="s">
        <v>540</v>
      </c>
      <c r="B28" s="20" t="s">
        <v>44</v>
      </c>
      <c r="C28" s="20" t="s">
        <v>158</v>
      </c>
      <c r="D28" s="20">
        <v>2013</v>
      </c>
      <c r="E28" s="20" t="s">
        <v>65</v>
      </c>
      <c r="F28" s="20" t="s">
        <v>511</v>
      </c>
      <c r="G28" s="20" t="s">
        <v>719</v>
      </c>
      <c r="H28" s="20" t="s">
        <v>244</v>
      </c>
      <c r="I28" s="110"/>
      <c r="J28" s="110" t="s">
        <v>623</v>
      </c>
      <c r="K28" s="453" t="s">
        <v>942</v>
      </c>
      <c r="L28" s="303" t="s">
        <v>79</v>
      </c>
      <c r="M28" s="190" t="s">
        <v>87</v>
      </c>
      <c r="N28" s="191"/>
      <c r="O28" s="122"/>
      <c r="P28" s="122"/>
      <c r="Q28" s="122"/>
      <c r="R28" s="122"/>
      <c r="S28" s="122"/>
      <c r="T28" s="122"/>
      <c r="U28" s="122"/>
      <c r="V28" s="122"/>
      <c r="W28" s="122"/>
      <c r="X28" s="121"/>
      <c r="Y28" s="121"/>
      <c r="Z28" s="121"/>
      <c r="AA28" s="382"/>
      <c r="AB28" s="383"/>
      <c r="AC28" s="20" t="s">
        <v>26</v>
      </c>
      <c r="AD28" s="640">
        <f>AE28+AF28</f>
        <v>44</v>
      </c>
      <c r="AE28" s="21"/>
      <c r="AF28" s="20">
        <v>44</v>
      </c>
      <c r="AG28" s="22">
        <v>3272.11</v>
      </c>
      <c r="AH28" s="139">
        <v>3318.11</v>
      </c>
      <c r="AI28" s="22">
        <f>AH28/AD28</f>
        <v>75.411590909090918</v>
      </c>
      <c r="AJ28" s="116"/>
      <c r="AK28" s="116"/>
      <c r="AL28" s="116"/>
      <c r="AM28" s="116"/>
      <c r="AN28" s="116"/>
      <c r="AO28" s="22"/>
      <c r="AP28" s="133"/>
      <c r="AQ28" s="135" t="e">
        <f>AP28/O28</f>
        <v>#DIV/0!</v>
      </c>
      <c r="AR28" s="114">
        <v>3.5</v>
      </c>
      <c r="AS28" s="47">
        <v>6</v>
      </c>
      <c r="AT28" s="111" t="s">
        <v>316</v>
      </c>
      <c r="AU28" s="111" t="s">
        <v>178</v>
      </c>
      <c r="AV28" s="47" t="s">
        <v>168</v>
      </c>
      <c r="AW28" s="332">
        <v>41305</v>
      </c>
      <c r="AX28" s="332">
        <v>41170</v>
      </c>
      <c r="AY28" s="332">
        <v>40963</v>
      </c>
      <c r="AZ28" s="332" t="s">
        <v>230</v>
      </c>
      <c r="BA28" s="332"/>
      <c r="BB28" s="332"/>
      <c r="BC28" s="332"/>
      <c r="BD28" s="332"/>
      <c r="BE28" s="332">
        <v>41390</v>
      </c>
      <c r="BF28" s="332">
        <v>41730</v>
      </c>
      <c r="BG28" s="332">
        <v>41764</v>
      </c>
      <c r="BH28" s="332"/>
      <c r="BI28" s="332">
        <v>41621</v>
      </c>
      <c r="BJ28" s="332"/>
      <c r="BK28" s="332">
        <v>41569</v>
      </c>
      <c r="BL28" s="332" t="s">
        <v>178</v>
      </c>
      <c r="BM28" s="332" t="s">
        <v>178</v>
      </c>
      <c r="BN28" s="194" t="s">
        <v>17</v>
      </c>
      <c r="BO28" s="194" t="s">
        <v>174</v>
      </c>
      <c r="BP28" s="196"/>
      <c r="BQ28" s="194" t="s">
        <v>174</v>
      </c>
      <c r="BR28" s="194" t="s">
        <v>174</v>
      </c>
      <c r="BS28" s="194" t="s">
        <v>201</v>
      </c>
      <c r="BT28" s="355">
        <v>220000</v>
      </c>
      <c r="BU28" s="376">
        <v>41465</v>
      </c>
      <c r="BV28" s="160"/>
      <c r="BW28" s="160"/>
      <c r="BX28" s="160" t="s">
        <v>168</v>
      </c>
      <c r="BY28" s="160">
        <v>41537</v>
      </c>
      <c r="BZ28" s="376">
        <v>41543</v>
      </c>
      <c r="CA28" s="160"/>
      <c r="CB28" s="301">
        <v>41549</v>
      </c>
      <c r="CC28" s="372">
        <v>41583</v>
      </c>
      <c r="CD28" s="302">
        <f>DATE(YEAR(CC28),MONTH(CC28)+3,DAY(CC28))</f>
        <v>41675</v>
      </c>
      <c r="CE28" s="302"/>
      <c r="CF28" s="570">
        <v>41659</v>
      </c>
      <c r="CG28" s="569">
        <f>DATE(YEAR(CF28),MONTH(CF28)+24,DAY(CF28))</f>
        <v>42389</v>
      </c>
      <c r="CH28" s="569">
        <f>DATE(YEAR(CF28),MONTH(CF28)+36,DAY(CF28))</f>
        <v>42755</v>
      </c>
      <c r="CI28" s="569" t="str">
        <f>IF(EV28&gt;CG28,"oui","non")</f>
        <v>oui</v>
      </c>
      <c r="CJ28" s="302"/>
      <c r="CK28" s="301">
        <v>41659</v>
      </c>
      <c r="CL28" s="82" t="s">
        <v>230</v>
      </c>
      <c r="CM28" s="370" t="s">
        <v>230</v>
      </c>
      <c r="CN28" s="82" t="s">
        <v>230</v>
      </c>
      <c r="CO28" s="161"/>
      <c r="CP28" s="81" t="s">
        <v>230</v>
      </c>
      <c r="CQ28" s="365" t="s">
        <v>230</v>
      </c>
      <c r="CR28" s="81" t="s">
        <v>230</v>
      </c>
      <c r="CS28" s="162"/>
      <c r="CT28" s="80" t="s">
        <v>236</v>
      </c>
      <c r="CU28" s="366">
        <v>41624</v>
      </c>
      <c r="CV28" s="80">
        <v>41654</v>
      </c>
      <c r="CW28" s="166"/>
      <c r="CX28" s="80" t="s">
        <v>230</v>
      </c>
      <c r="CY28" s="366" t="s">
        <v>230</v>
      </c>
      <c r="CZ28" s="80" t="s">
        <v>230</v>
      </c>
      <c r="DA28" s="166"/>
      <c r="DB28" s="296"/>
      <c r="DC28" s="300"/>
      <c r="DD28" s="300">
        <f>DC28*3/5</f>
        <v>0</v>
      </c>
      <c r="DE28" s="296" t="s">
        <v>189</v>
      </c>
      <c r="DF28" s="304">
        <v>41593</v>
      </c>
      <c r="DG28" s="304" t="s">
        <v>258</v>
      </c>
      <c r="DH28" s="443"/>
      <c r="DI28" s="296"/>
      <c r="DJ28" s="304">
        <v>41612</v>
      </c>
      <c r="DK28" s="297" t="s">
        <v>178</v>
      </c>
      <c r="DL28" s="298"/>
      <c r="DM28" s="298"/>
      <c r="DN28" s="304">
        <v>41621</v>
      </c>
      <c r="DO28" s="292" t="s">
        <v>178</v>
      </c>
      <c r="DP28" s="293"/>
      <c r="DQ28" s="304">
        <v>41635</v>
      </c>
      <c r="DR28" s="443"/>
      <c r="DS28" s="443"/>
      <c r="DT28" s="297">
        <v>13276941.869999999</v>
      </c>
      <c r="DU28" s="304">
        <f>DATE(YEAR(DQ28),MONTH(DQ28)+18,DAY(DQ28))</f>
        <v>42182</v>
      </c>
      <c r="DV28" s="443">
        <v>42159</v>
      </c>
      <c r="DW28" s="443"/>
      <c r="DX28" s="415" t="s">
        <v>178</v>
      </c>
      <c r="DY28" s="415" t="s">
        <v>178</v>
      </c>
      <c r="DZ28" s="415">
        <v>42178</v>
      </c>
      <c r="EA28" s="413">
        <v>41801</v>
      </c>
      <c r="EB28" s="413">
        <v>41898</v>
      </c>
      <c r="EC28" s="421">
        <v>24</v>
      </c>
      <c r="ED28" s="222">
        <f>EC28+2</f>
        <v>26</v>
      </c>
      <c r="EE28" s="422">
        <f>DATEDIF(EA28,EN28,"M")</f>
        <v>27</v>
      </c>
      <c r="EF28" s="422">
        <f>DATEDIF(EA28,EV28,"M")</f>
        <v>29</v>
      </c>
      <c r="EG28" s="422">
        <f>EE28-EC28</f>
        <v>3</v>
      </c>
      <c r="EH28" s="422">
        <f>EF28-ED28</f>
        <v>3</v>
      </c>
      <c r="EI28" s="410">
        <f>215379.952064433/12</f>
        <v>17948.329338702748</v>
      </c>
      <c r="EJ28" s="410">
        <f>EI28*(EE28-EC28)</f>
        <v>53844.98801610824</v>
      </c>
      <c r="EK28" s="413">
        <v>42538</v>
      </c>
      <c r="EL28" s="110"/>
      <c r="EM28" s="110"/>
      <c r="EN28" s="227">
        <v>42644</v>
      </c>
      <c r="EO28" s="223">
        <v>42735</v>
      </c>
      <c r="EP28" s="223" t="s">
        <v>967</v>
      </c>
      <c r="EQ28" s="110"/>
      <c r="ER28" s="110"/>
      <c r="ES28" s="413">
        <v>42726</v>
      </c>
      <c r="ET28" s="413">
        <v>42744</v>
      </c>
      <c r="EU28" s="413">
        <v>42692</v>
      </c>
      <c r="EV28" s="230">
        <v>42704</v>
      </c>
      <c r="EW28" s="413">
        <v>42670</v>
      </c>
      <c r="EX28" s="514" t="s">
        <v>883</v>
      </c>
      <c r="EY28" s="627" t="s">
        <v>910</v>
      </c>
      <c r="EZ28" s="583" t="s">
        <v>1024</v>
      </c>
      <c r="FA28" s="583" t="s">
        <v>1041</v>
      </c>
      <c r="FB28" s="583" t="s">
        <v>500</v>
      </c>
      <c r="FC28" s="583" t="s">
        <v>1043</v>
      </c>
      <c r="FD28" s="466" t="s">
        <v>506</v>
      </c>
      <c r="FE28" s="110"/>
      <c r="FF28" s="464">
        <v>42795</v>
      </c>
      <c r="FG28" s="110"/>
      <c r="FH28" s="110"/>
      <c r="FI28" s="110"/>
      <c r="FJ28" s="110"/>
      <c r="FK28" s="464">
        <v>42795</v>
      </c>
      <c r="FL28" s="110"/>
      <c r="FM28" s="212" t="s">
        <v>977</v>
      </c>
      <c r="FN28" s="110"/>
      <c r="FO28" s="110"/>
      <c r="FP28" s="195" t="s">
        <v>168</v>
      </c>
      <c r="FQ28" s="23">
        <f>+GA28+GE28+GL28+HF28</f>
        <v>6402537</v>
      </c>
      <c r="FR28" s="24">
        <f>GB28+GF28+GM28+HF28</f>
        <v>6464079</v>
      </c>
      <c r="FS28" s="25">
        <f>FR28-FQ28</f>
        <v>61542</v>
      </c>
      <c r="FT28" s="25">
        <f>FR28/AG28</f>
        <v>1975.5078527311123</v>
      </c>
      <c r="FU28" s="25">
        <f>FR28/AD28</f>
        <v>146910.88636363635</v>
      </c>
      <c r="FV28" s="23">
        <v>5737343</v>
      </c>
      <c r="FW28" s="24">
        <v>5833192</v>
      </c>
      <c r="FX28" s="25">
        <f>FW28-FV28</f>
        <v>95849</v>
      </c>
      <c r="FY28" s="231">
        <f>FV28*1.021/FQ28</f>
        <v>0.91492281934489406</v>
      </c>
      <c r="FZ28" s="232"/>
      <c r="GA28" s="23">
        <v>1799492</v>
      </c>
      <c r="GB28" s="24">
        <v>1905132</v>
      </c>
      <c r="GC28" s="50">
        <f>GB28/AD28</f>
        <v>43298.454545454544</v>
      </c>
      <c r="GD28" s="73">
        <f>GB28-GA28</f>
        <v>105640</v>
      </c>
      <c r="GE28" s="23">
        <v>3703045</v>
      </c>
      <c r="GF28" s="24">
        <f>+GG28+GH28</f>
        <v>3678947</v>
      </c>
      <c r="GG28" s="26">
        <v>473086</v>
      </c>
      <c r="GH28" s="26">
        <v>3205861</v>
      </c>
      <c r="GI28" s="73">
        <f>GF28-GE28</f>
        <v>-24098</v>
      </c>
      <c r="GJ28" s="50">
        <f>GF28/AD28</f>
        <v>83612.431818181823</v>
      </c>
      <c r="GK28" s="24"/>
      <c r="GL28" s="23">
        <v>900000</v>
      </c>
      <c r="GM28" s="24">
        <v>880000</v>
      </c>
      <c r="GN28" s="124"/>
      <c r="GO28" s="76">
        <f>GM28/FR28</f>
        <v>0.13613695005893336</v>
      </c>
      <c r="GP28" s="590"/>
      <c r="GQ28" s="24">
        <v>0</v>
      </c>
      <c r="GR28" s="51">
        <f>GM28-GL28</f>
        <v>-20000</v>
      </c>
      <c r="GS28" s="50">
        <f>GM28/AD28</f>
        <v>20000</v>
      </c>
      <c r="GT28" s="98"/>
      <c r="GU28" s="51">
        <f>GR28/AD28</f>
        <v>-454.54545454545456</v>
      </c>
      <c r="GV28" s="97"/>
      <c r="GW28" s="97"/>
      <c r="GX28" s="75">
        <v>0</v>
      </c>
      <c r="GY28" s="75">
        <v>0</v>
      </c>
      <c r="GZ28" s="50">
        <f>(GB28+GM28+GY28)/AD28</f>
        <v>63298.454545454544</v>
      </c>
      <c r="HA28" s="75">
        <v>0</v>
      </c>
      <c r="HB28" s="50">
        <f>(GB28+GM28+GY28+HA28)/AD28</f>
        <v>63298.454545454544</v>
      </c>
      <c r="HC28" s="99">
        <f>(GB28+GM28+GY28+HA28)/(GX28+FR28-HD28)</f>
        <v>0.45371634850544579</v>
      </c>
      <c r="HD28" s="75">
        <v>325591.79499999998</v>
      </c>
      <c r="HE28" s="75"/>
      <c r="HF28" s="24">
        <v>0</v>
      </c>
      <c r="HG28" s="77">
        <f>FR28+GX28</f>
        <v>6464079</v>
      </c>
      <c r="HH28" s="491"/>
      <c r="HI28" s="491"/>
      <c r="HJ28" s="494"/>
      <c r="HK28" s="491"/>
      <c r="HL28" s="477"/>
      <c r="HM28" s="477">
        <f>DATE(YEAR(HL28),MONTH(HL28),DAY(HL28)+21)</f>
        <v>21</v>
      </c>
      <c r="HN28" s="477"/>
      <c r="HO28" s="497" t="str">
        <f>IF(AND(HM28&gt;0,HN28&gt;0),HN28-HM28,"0")</f>
        <v>0</v>
      </c>
      <c r="HP28" s="477"/>
      <c r="HQ28" s="481" t="str">
        <f>IF(AND(HN28&gt;0,HP28&gt;0),HP28-HN28,"0")</f>
        <v>0</v>
      </c>
      <c r="HR28" s="497"/>
      <c r="HS28" s="506" t="str">
        <f>IF(AND(HL28&gt;0,HP28&gt;0),HP28-HL28,"0")</f>
        <v>0</v>
      </c>
      <c r="HT28" s="477"/>
      <c r="HU28" s="497" t="str">
        <f>IF(AND(HP28&gt;0,HT28&gt;0),HT28-HP28,"0")</f>
        <v>0</v>
      </c>
      <c r="HV28" s="477"/>
      <c r="HW28" s="477"/>
      <c r="HX28" s="497" t="str">
        <f>IF(AND(HV28&gt;0,HW28&gt;0),HW28-HV28,"0")</f>
        <v>0</v>
      </c>
      <c r="HY28" s="476"/>
      <c r="HZ28" s="481" t="str">
        <f>IF(AND(HW28&gt;0,HY28&gt;0),HY28-HW28,"0")</f>
        <v>0</v>
      </c>
      <c r="IA28" s="497"/>
      <c r="IB28" s="506" t="str">
        <f>IF(AND(HT28&gt;0,HY28&gt;0),HY28-HT28,"0")</f>
        <v>0</v>
      </c>
      <c r="IC28" s="490"/>
      <c r="ID28" s="491"/>
      <c r="IE28" s="477"/>
      <c r="IF28" s="477"/>
      <c r="IG28" s="494"/>
      <c r="IH28" s="491"/>
      <c r="II28" s="478"/>
      <c r="IJ28" s="497" t="str">
        <f>IF(AND(HY28&gt;0,II28&gt;0),II28-HY28,"0")</f>
        <v>0</v>
      </c>
      <c r="IK28" s="478"/>
      <c r="IL28" s="478"/>
      <c r="IM28" s="497" t="str">
        <f>IF(AND(IK28&gt;0,IL28&gt;0),IL28-IK28,"0")</f>
        <v>0</v>
      </c>
      <c r="IN28" s="478"/>
      <c r="IO28" s="481" t="str">
        <f>IF(AND(IL28&gt;0,IN28&gt;0),IN28-IL28,"0")</f>
        <v>0</v>
      </c>
      <c r="IP28" s="497">
        <f>+IO28-30</f>
        <v>-30</v>
      </c>
      <c r="IQ28" s="506" t="str">
        <f>IF(AND(II28&gt;0,IN28&gt;0),IN28-II28,"0")</f>
        <v>0</v>
      </c>
      <c r="IR28" s="490"/>
      <c r="IS28" s="491"/>
      <c r="IT28" s="478"/>
      <c r="IU28" s="498" t="str">
        <f>IF(AND(IN28&gt;0,IT28&gt;0),IT28-IN28,"0")</f>
        <v>0</v>
      </c>
      <c r="IV28" s="478"/>
      <c r="IW28" s="478"/>
      <c r="IX28" s="498" t="str">
        <f>IF(AND(IV28&gt;0,IW28&gt;0),IW28-IV28,"0")</f>
        <v>0</v>
      </c>
      <c r="IY28" s="478"/>
      <c r="IZ28" s="482" t="str">
        <f>IF(AND(IW28&gt;0,IY28&gt;0),IY28-IW28,"0")</f>
        <v>0</v>
      </c>
      <c r="JA28" s="498"/>
      <c r="JB28" s="508" t="str">
        <f>IF(AND(IT28&gt;0,IY28&gt;0),IY28-IT28,"0")</f>
        <v>0</v>
      </c>
      <c r="JC28" s="490"/>
      <c r="JD28" s="491"/>
      <c r="JE28" s="212"/>
      <c r="JF28" s="487" t="str">
        <f>IF(AND(IY28&gt;0,JE28&gt;0),JE28-IY28,"0")</f>
        <v>0</v>
      </c>
      <c r="JG28" s="212"/>
      <c r="JH28" s="212"/>
      <c r="JI28" s="487" t="str">
        <f>IF(AND(JG28&gt;0,JH28&gt;0),JH28-JG28,"0")</f>
        <v>0</v>
      </c>
      <c r="JJ28" s="212"/>
      <c r="JK28" s="212"/>
      <c r="JL28" s="487" t="str">
        <f>IF(AND(JJ28&gt;0,JK28&gt;0),JK28-JJ28,"0")</f>
        <v>0</v>
      </c>
      <c r="JM28" s="509" t="str">
        <f>IF(AND(JE28&gt;0,JK28&gt;0),JK28-JE28,"0")</f>
        <v>0</v>
      </c>
      <c r="JN28" s="499"/>
      <c r="JO28" s="501" t="str">
        <f>IF(AND(JK28&gt;0,JN28&gt;0),JN28-JK28,"0")</f>
        <v>0</v>
      </c>
      <c r="JP28" s="498"/>
      <c r="JQ28" s="482">
        <f>291/30</f>
        <v>9.6999999999999993</v>
      </c>
      <c r="JR28" s="504">
        <f>((+HS28+HU28+IB28+IJ28+IQ28+IU28+JB28+JI28+JF28)/30)-JQ28</f>
        <v>-9.6999999999999993</v>
      </c>
      <c r="JS28" s="490"/>
      <c r="JT28" s="491"/>
      <c r="JU28" s="490"/>
      <c r="JV28" s="491"/>
      <c r="JW28" s="588"/>
      <c r="JX28" s="588"/>
      <c r="JY28" s="588"/>
      <c r="JZ28" s="588"/>
    </row>
    <row r="29" spans="1:286" s="53" customFormat="1" ht="84.75" hidden="1" customHeight="1" x14ac:dyDescent="0.25">
      <c r="A29" s="52" t="s">
        <v>43</v>
      </c>
      <c r="B29" s="20" t="s">
        <v>41</v>
      </c>
      <c r="C29" s="20" t="s">
        <v>157</v>
      </c>
      <c r="D29" s="20">
        <v>2013</v>
      </c>
      <c r="E29" s="20" t="s">
        <v>42</v>
      </c>
      <c r="F29" s="20" t="s">
        <v>40</v>
      </c>
      <c r="G29" s="20" t="s">
        <v>719</v>
      </c>
      <c r="H29" s="20" t="s">
        <v>643</v>
      </c>
      <c r="I29" s="110"/>
      <c r="J29" s="110"/>
      <c r="K29" s="453" t="s">
        <v>941</v>
      </c>
      <c r="L29" s="295" t="s">
        <v>80</v>
      </c>
      <c r="M29" s="295" t="s">
        <v>177</v>
      </c>
      <c r="N29" s="295" t="s">
        <v>178</v>
      </c>
      <c r="O29" s="379">
        <v>4625</v>
      </c>
      <c r="P29" s="379">
        <v>215000</v>
      </c>
      <c r="Q29" s="379">
        <v>104244</v>
      </c>
      <c r="R29" s="379">
        <f>P29/AD29</f>
        <v>15357.142857142857</v>
      </c>
      <c r="S29" s="379">
        <f>P29/O29</f>
        <v>46.486486486486484</v>
      </c>
      <c r="T29" s="379">
        <f>Q29/O29</f>
        <v>22.539243243243245</v>
      </c>
      <c r="U29" s="379">
        <f>Q29/AH29</f>
        <v>91.472596128534079</v>
      </c>
      <c r="V29" s="379">
        <f>Q29/AD29</f>
        <v>7446</v>
      </c>
      <c r="W29" s="379">
        <f>O29/AD29</f>
        <v>330.35714285714283</v>
      </c>
      <c r="X29" s="380">
        <v>1148.97</v>
      </c>
      <c r="Y29" s="381">
        <f>AH29/O29</f>
        <v>0.2464043243243243</v>
      </c>
      <c r="Z29" s="380" t="s">
        <v>330</v>
      </c>
      <c r="AA29" s="382"/>
      <c r="AB29" s="383"/>
      <c r="AC29" s="20" t="s">
        <v>26</v>
      </c>
      <c r="AD29" s="640">
        <f>AE29+AF29</f>
        <v>14</v>
      </c>
      <c r="AE29" s="21"/>
      <c r="AF29" s="20">
        <v>14</v>
      </c>
      <c r="AG29" s="22">
        <v>1044.56</v>
      </c>
      <c r="AH29" s="139">
        <v>1139.6199999999999</v>
      </c>
      <c r="AI29" s="22">
        <f>AH29/AD29</f>
        <v>81.401428571428568</v>
      </c>
      <c r="AJ29" s="116"/>
      <c r="AK29" s="116"/>
      <c r="AL29" s="116"/>
      <c r="AM29" s="116"/>
      <c r="AN29" s="116"/>
      <c r="AO29" s="22"/>
      <c r="AP29" s="133">
        <v>551.16</v>
      </c>
      <c r="AQ29" s="135">
        <f>AP29/O29</f>
        <v>0.11916972972972972</v>
      </c>
      <c r="AR29" s="116">
        <v>1.5</v>
      </c>
      <c r="AS29" s="20">
        <v>2</v>
      </c>
      <c r="AT29" s="110" t="s">
        <v>316</v>
      </c>
      <c r="AU29" s="110" t="s">
        <v>178</v>
      </c>
      <c r="AV29" s="20" t="s">
        <v>169</v>
      </c>
      <c r="AW29" s="332">
        <v>41200</v>
      </c>
      <c r="AX29" s="332">
        <v>41233</v>
      </c>
      <c r="AY29" s="332">
        <v>40963</v>
      </c>
      <c r="AZ29" s="332"/>
      <c r="BA29" s="332"/>
      <c r="BB29" s="332"/>
      <c r="BC29" s="332"/>
      <c r="BD29" s="332"/>
      <c r="BE29" s="332">
        <v>41523</v>
      </c>
      <c r="BF29" s="332">
        <v>41558</v>
      </c>
      <c r="BG29" s="332">
        <v>41590</v>
      </c>
      <c r="BH29" s="332">
        <v>41619</v>
      </c>
      <c r="BI29" s="332">
        <v>41621</v>
      </c>
      <c r="BJ29" s="332"/>
      <c r="BK29" s="332" t="s">
        <v>178</v>
      </c>
      <c r="BL29" s="332" t="s">
        <v>178</v>
      </c>
      <c r="BM29" s="332"/>
      <c r="BN29" s="194" t="s">
        <v>17</v>
      </c>
      <c r="BO29" s="194" t="s">
        <v>174</v>
      </c>
      <c r="BP29" s="196"/>
      <c r="BQ29" s="194" t="s">
        <v>174</v>
      </c>
      <c r="BR29" s="194" t="s">
        <v>174</v>
      </c>
      <c r="BS29" s="194" t="s">
        <v>175</v>
      </c>
      <c r="BT29" s="55"/>
      <c r="BU29" s="376">
        <v>41515</v>
      </c>
      <c r="BV29" s="160"/>
      <c r="BW29" s="160"/>
      <c r="BX29" s="160" t="s">
        <v>168</v>
      </c>
      <c r="BY29" s="160">
        <v>41535</v>
      </c>
      <c r="BZ29" s="376">
        <v>41544</v>
      </c>
      <c r="CA29" s="160"/>
      <c r="CB29" s="301">
        <v>41549</v>
      </c>
      <c r="CC29" s="372">
        <v>41575</v>
      </c>
      <c r="CD29" s="302">
        <f>DATE(YEAR(CC29),MONTH(CC29)+3,DAY(CC29))</f>
        <v>41667</v>
      </c>
      <c r="CE29" s="302"/>
      <c r="CF29" s="570">
        <v>41659</v>
      </c>
      <c r="CG29" s="569">
        <f>DATE(YEAR(CF29),MONTH(CF29)+24,DAY(CF29))</f>
        <v>42389</v>
      </c>
      <c r="CH29" s="569">
        <f>DATE(YEAR(CF29),MONTH(CF29)+36,DAY(CF29))</f>
        <v>42755</v>
      </c>
      <c r="CI29" s="569" t="str">
        <f>IF(EV29&gt;CG29,"oui","non")</f>
        <v>non</v>
      </c>
      <c r="CJ29" s="302"/>
      <c r="CK29" s="305" t="s">
        <v>321</v>
      </c>
      <c r="CL29" s="80">
        <v>41583</v>
      </c>
      <c r="CM29" s="370">
        <v>41619</v>
      </c>
      <c r="CN29" s="82">
        <v>41653</v>
      </c>
      <c r="CO29" s="161"/>
      <c r="CP29" s="80">
        <v>41584</v>
      </c>
      <c r="CQ29" s="366">
        <v>41627</v>
      </c>
      <c r="CR29" s="80" t="s">
        <v>320</v>
      </c>
      <c r="CS29" s="166"/>
      <c r="CT29" s="80" t="s">
        <v>235</v>
      </c>
      <c r="CU29" s="366">
        <v>41614</v>
      </c>
      <c r="CV29" s="80">
        <v>41624</v>
      </c>
      <c r="CW29" s="166"/>
      <c r="CX29" s="80">
        <v>41583</v>
      </c>
      <c r="CY29" s="366">
        <v>41604</v>
      </c>
      <c r="CZ29" s="166">
        <v>41626</v>
      </c>
      <c r="DA29" s="166"/>
      <c r="DB29" s="296" t="s">
        <v>195</v>
      </c>
      <c r="DC29" s="296">
        <v>67368</v>
      </c>
      <c r="DD29" s="300">
        <f>DC29*3/5</f>
        <v>40420.800000000003</v>
      </c>
      <c r="DE29" s="304">
        <v>41603</v>
      </c>
      <c r="DF29" s="304" t="s">
        <v>267</v>
      </c>
      <c r="DG29" s="304" t="s">
        <v>268</v>
      </c>
      <c r="DH29" s="443"/>
      <c r="DI29" s="304" t="s">
        <v>268</v>
      </c>
      <c r="DJ29" s="304">
        <v>41613</v>
      </c>
      <c r="DK29" s="297" t="s">
        <v>178</v>
      </c>
      <c r="DL29" s="298"/>
      <c r="DM29" s="298"/>
      <c r="DN29" s="304">
        <v>41621</v>
      </c>
      <c r="DO29" s="292" t="s">
        <v>178</v>
      </c>
      <c r="DP29" s="293"/>
      <c r="DQ29" s="304">
        <v>41625</v>
      </c>
      <c r="DR29" s="443"/>
      <c r="DS29" s="443"/>
      <c r="DT29" s="297">
        <v>2345333.9</v>
      </c>
      <c r="DU29" s="304">
        <f>DATE(YEAR(DQ29),MONTH(DQ29)+18,DAY(DQ29))</f>
        <v>42172</v>
      </c>
      <c r="DV29" s="443"/>
      <c r="DW29" s="443"/>
      <c r="DX29" s="415" t="s">
        <v>178</v>
      </c>
      <c r="DY29" s="415">
        <v>41919</v>
      </c>
      <c r="DZ29" s="415">
        <v>42115</v>
      </c>
      <c r="EA29" s="413">
        <v>41848</v>
      </c>
      <c r="EB29" s="424"/>
      <c r="EC29" s="421">
        <v>14</v>
      </c>
      <c r="ED29" s="421">
        <f>EC29+2</f>
        <v>16</v>
      </c>
      <c r="EE29" s="421">
        <f>DATEDIF(EA29,EN29,"M")</f>
        <v>14</v>
      </c>
      <c r="EF29" s="421">
        <f>DATEDIF(EA29,EV29,"M")</f>
        <v>15</v>
      </c>
      <c r="EG29" s="421">
        <f>EE29-EC29</f>
        <v>0</v>
      </c>
      <c r="EH29" s="421">
        <f>EF29-ED29</f>
        <v>-1</v>
      </c>
      <c r="EI29" s="427">
        <f>73432.856036765/12</f>
        <v>6119.4046697304175</v>
      </c>
      <c r="EJ29" s="427">
        <f>EI29*(EE29-EC29)</f>
        <v>0</v>
      </c>
      <c r="EK29" s="413" t="s">
        <v>178</v>
      </c>
      <c r="EL29" s="413" t="s">
        <v>178</v>
      </c>
      <c r="EM29" s="413">
        <v>42255</v>
      </c>
      <c r="EN29" s="413">
        <v>42276</v>
      </c>
      <c r="EO29" s="413"/>
      <c r="EP29" s="413">
        <v>42380</v>
      </c>
      <c r="EQ29" s="203">
        <v>42293</v>
      </c>
      <c r="ER29" s="203"/>
      <c r="ES29" s="203">
        <v>42333</v>
      </c>
      <c r="ET29" s="203">
        <v>42530</v>
      </c>
      <c r="EU29" s="203">
        <f>DATE(YEAR(EQ29),MONTH(EQ29),DAY(EQ29)+10)</f>
        <v>42303</v>
      </c>
      <c r="EV29" s="230">
        <v>42313</v>
      </c>
      <c r="EW29" s="203"/>
      <c r="EX29" s="203"/>
      <c r="EY29" s="207" t="s">
        <v>912</v>
      </c>
      <c r="EZ29" s="203">
        <v>42725</v>
      </c>
      <c r="FA29" s="583" t="s">
        <v>500</v>
      </c>
      <c r="FB29" s="203" t="s">
        <v>178</v>
      </c>
      <c r="FC29" s="203">
        <v>42555</v>
      </c>
      <c r="FD29" s="466" t="s">
        <v>506</v>
      </c>
      <c r="FE29" s="203">
        <v>42660</v>
      </c>
      <c r="FF29" s="347">
        <v>42324</v>
      </c>
      <c r="FG29" s="347">
        <v>42402</v>
      </c>
      <c r="FH29" s="110"/>
      <c r="FI29" s="110"/>
      <c r="FJ29" s="110"/>
      <c r="FK29" s="412" t="s">
        <v>1052</v>
      </c>
      <c r="FL29" s="112" t="s">
        <v>989</v>
      </c>
      <c r="FM29" s="112"/>
      <c r="FN29" s="110"/>
      <c r="FO29" s="110"/>
      <c r="FP29" s="195" t="s">
        <v>168</v>
      </c>
      <c r="FQ29" s="23">
        <f>+GA29+GE29+GL29</f>
        <v>2396286</v>
      </c>
      <c r="FR29" s="24">
        <f>GB29+GF29+GM29+HF29</f>
        <v>2426620.5</v>
      </c>
      <c r="FS29" s="25">
        <f>FR29-FQ29</f>
        <v>30334.5</v>
      </c>
      <c r="FT29" s="25">
        <f>FR29/AG29</f>
        <v>2323.1030290265758</v>
      </c>
      <c r="FU29" s="25">
        <f>FR29/AD29</f>
        <v>173330.03571428571</v>
      </c>
      <c r="FV29" s="23">
        <v>2112298</v>
      </c>
      <c r="FW29" s="24">
        <v>2153147</v>
      </c>
      <c r="FX29" s="25">
        <f>FW29-FV29</f>
        <v>40849</v>
      </c>
      <c r="FY29" s="231">
        <f>FV29*1.021/FQ29</f>
        <v>0.89999952342917333</v>
      </c>
      <c r="FZ29" s="232"/>
      <c r="GA29" s="23">
        <v>601367</v>
      </c>
      <c r="GB29" s="24">
        <v>642565</v>
      </c>
      <c r="GC29" s="50">
        <f>GB29/AD29</f>
        <v>45897.5</v>
      </c>
      <c r="GD29" s="73">
        <f>GB29-GA29</f>
        <v>41198</v>
      </c>
      <c r="GE29" s="23">
        <v>1294919</v>
      </c>
      <c r="GF29" s="24">
        <f>+GG29+GH29</f>
        <v>1260196</v>
      </c>
      <c r="GG29" s="26">
        <v>284216</v>
      </c>
      <c r="GH29" s="26">
        <v>975980</v>
      </c>
      <c r="GI29" s="73">
        <f>GF29-GE29</f>
        <v>-34723</v>
      </c>
      <c r="GJ29" s="50">
        <f>GF29/AD29</f>
        <v>90014</v>
      </c>
      <c r="GK29" s="24"/>
      <c r="GL29" s="23">
        <v>500000</v>
      </c>
      <c r="GM29" s="24">
        <v>500000</v>
      </c>
      <c r="GN29" s="124"/>
      <c r="GO29" s="76">
        <f>GM29/FR29</f>
        <v>0.2060478760481913</v>
      </c>
      <c r="GP29" s="590"/>
      <c r="GQ29" s="24">
        <v>0</v>
      </c>
      <c r="GR29" s="51">
        <f>GM29-GL29</f>
        <v>0</v>
      </c>
      <c r="GS29" s="50">
        <f>GM29/AD29</f>
        <v>35714.285714285717</v>
      </c>
      <c r="GT29" s="98"/>
      <c r="GU29" s="51">
        <f>GR29/AD29</f>
        <v>0</v>
      </c>
      <c r="GV29" s="97"/>
      <c r="GW29" s="97"/>
      <c r="GX29" s="75">
        <v>461213.14905750001</v>
      </c>
      <c r="GY29" s="75">
        <v>238500</v>
      </c>
      <c r="GZ29" s="50">
        <f>(GB29+GM29+GY29)/AD29</f>
        <v>98647.5</v>
      </c>
      <c r="HA29" s="75">
        <v>0</v>
      </c>
      <c r="HB29" s="50">
        <f>(GB29+GM29+GY29+HA29)/AD29</f>
        <v>98647.5</v>
      </c>
      <c r="HC29" s="99">
        <f>(GB29+GM29+GY29+HA29)/(GX29+FR29-HD29)</f>
        <v>0.49653583254414735</v>
      </c>
      <c r="HD29" s="75">
        <v>106433.17505000001</v>
      </c>
      <c r="HE29" s="75"/>
      <c r="HF29" s="631">
        <v>23859.5</v>
      </c>
      <c r="HG29" s="77">
        <f>FR29+GX29</f>
        <v>2887833.6490575001</v>
      </c>
      <c r="HH29" s="491">
        <v>118584</v>
      </c>
      <c r="HI29" s="491"/>
      <c r="HJ29" s="494">
        <v>40161</v>
      </c>
      <c r="HK29" s="491">
        <v>7820</v>
      </c>
      <c r="HL29" s="415">
        <v>41148</v>
      </c>
      <c r="HM29" s="415">
        <f>DATE(YEAR(HL29),MONTH(HL29),DAY(HL29)+21)</f>
        <v>41169</v>
      </c>
      <c r="HN29" s="415">
        <v>41169</v>
      </c>
      <c r="HO29" s="497">
        <f>IF(AND(HM29&gt;0,HN29&gt;0),HN29-HM29,"0")</f>
        <v>0</v>
      </c>
      <c r="HP29" s="415">
        <v>41246</v>
      </c>
      <c r="HQ29" s="481">
        <f>IF(AND(HN29&gt;0,HP29&gt;0),HP29-HN29,"0")</f>
        <v>77</v>
      </c>
      <c r="HR29" s="497">
        <f>+HQ29-30</f>
        <v>47</v>
      </c>
      <c r="HS29" s="506">
        <f>IF(AND(HL29&gt;0,HP29&gt;0),HP29-HL29,"0")</f>
        <v>98</v>
      </c>
      <c r="HT29" s="415">
        <v>41246</v>
      </c>
      <c r="HU29" s="497">
        <f>IF(AND(HP29&gt;0,HT29&gt;0),HT29-HP29,"0")</f>
        <v>0</v>
      </c>
      <c r="HV29" s="415">
        <f>DATE(YEAR(HT29),MONTH(HT29),DAY(HT29)+21)</f>
        <v>41267</v>
      </c>
      <c r="HW29" s="415">
        <v>41313</v>
      </c>
      <c r="HX29" s="497">
        <f>IF(AND(HV29&gt;0,HW29&gt;0),HW29-HV29,"0")</f>
        <v>46</v>
      </c>
      <c r="HY29" s="415">
        <v>41316</v>
      </c>
      <c r="HZ29" s="481">
        <f>IF(AND(HW29&gt;0,HY29&gt;0),HY29-HW29,"0")</f>
        <v>3</v>
      </c>
      <c r="IA29" s="497">
        <f>+HZ29-30</f>
        <v>-27</v>
      </c>
      <c r="IB29" s="506">
        <f>IF(AND(HT29&gt;0,HY29&gt;0),HY29-HT29,"0")</f>
        <v>70</v>
      </c>
      <c r="IC29" s="490">
        <v>41267</v>
      </c>
      <c r="ID29" s="491">
        <v>3939</v>
      </c>
      <c r="IE29" s="415">
        <v>41401</v>
      </c>
      <c r="IF29" s="477"/>
      <c r="IG29" s="494">
        <v>41313</v>
      </c>
      <c r="IH29" s="491">
        <v>17030</v>
      </c>
      <c r="II29" s="347">
        <v>41316</v>
      </c>
      <c r="IJ29" s="497">
        <f>IF(AND(HY29&gt;0,II29&gt;0),II29-HY29,"0")</f>
        <v>0</v>
      </c>
      <c r="IK29" s="347">
        <f>DATE(YEAR(II29),MONTH(II29),DAY(II29)+30)</f>
        <v>41346</v>
      </c>
      <c r="IL29" s="347">
        <v>41354</v>
      </c>
      <c r="IM29" s="497">
        <f>IF(AND(IK29&gt;0,IL29&gt;0),IL29-IK29,"0")</f>
        <v>8</v>
      </c>
      <c r="IN29" s="347">
        <v>41394</v>
      </c>
      <c r="IO29" s="481">
        <f>IF(AND(IL29&gt;0,IN29&gt;0),IN29-IL29,"0")</f>
        <v>40</v>
      </c>
      <c r="IP29" s="497">
        <f>+IO29-30</f>
        <v>10</v>
      </c>
      <c r="IQ29" s="506">
        <f>IF(AND(II29&gt;0,IN29&gt;0),IN29-II29,"0")</f>
        <v>78</v>
      </c>
      <c r="IR29" s="490">
        <v>11851</v>
      </c>
      <c r="IS29" s="491">
        <v>11851</v>
      </c>
      <c r="IT29" s="347">
        <v>41438</v>
      </c>
      <c r="IU29" s="498">
        <f>IF(AND(IN29&gt;0,IT29&gt;0),IT29-IN29,"0")</f>
        <v>44</v>
      </c>
      <c r="IV29" s="347">
        <f>DATE(YEAR(IT29),MONTH(IT29),DAY(IT29)+30)</f>
        <v>41468</v>
      </c>
      <c r="IW29" s="347">
        <v>41491</v>
      </c>
      <c r="IX29" s="498">
        <f>IF(AND(IV29&gt;0,IW29&gt;0),IW29-IV29,"0")</f>
        <v>23</v>
      </c>
      <c r="IY29" s="347">
        <v>41519</v>
      </c>
      <c r="IZ29" s="482">
        <f>IF(AND(IW29&gt;0,IY29&gt;0),IY29-IW29,"0")</f>
        <v>28</v>
      </c>
      <c r="JA29" s="498">
        <f>IZ29-30</f>
        <v>-2</v>
      </c>
      <c r="JB29" s="508">
        <f>IF(AND(IT29&gt;0,IY29&gt;0),IY29-IT29,"0")</f>
        <v>81</v>
      </c>
      <c r="JC29" s="490">
        <v>41547</v>
      </c>
      <c r="JD29" s="491">
        <v>17729</v>
      </c>
      <c r="JE29" s="347">
        <v>41519</v>
      </c>
      <c r="JF29" s="487">
        <f>IF(AND(IY29&gt;0,JE29&gt;0),JE29-IY29,"0")</f>
        <v>0</v>
      </c>
      <c r="JG29" s="347">
        <f>DATE(YEAR(JE29),MONTH(JE29),DAY(JE29)+15)</f>
        <v>41534</v>
      </c>
      <c r="JH29" s="347">
        <v>41536</v>
      </c>
      <c r="JI29" s="487">
        <f>IF(AND(JG29&gt;0,JH29&gt;0),JH29-JG29,"0")</f>
        <v>2</v>
      </c>
      <c r="JJ29" s="347">
        <f>DATE(YEAR(JH29),MONTH(JH29),DAY(JH29)+15)</f>
        <v>41551</v>
      </c>
      <c r="JK29" s="347">
        <v>41542</v>
      </c>
      <c r="JL29" s="487">
        <f>IF(AND(JJ29&gt;0,JK29&gt;0),JK29-JJ29,"0")</f>
        <v>-9</v>
      </c>
      <c r="JM29" s="509">
        <f>IF(AND(JE29&gt;0,JK29&gt;0),JK29-JE29,"0")</f>
        <v>23</v>
      </c>
      <c r="JN29" s="541">
        <v>41600</v>
      </c>
      <c r="JO29" s="501">
        <f>IF(AND(JK29&gt;0,JN29&gt;0),JN29-JK29,"0")</f>
        <v>58</v>
      </c>
      <c r="JP29" s="498">
        <f>JO29-60</f>
        <v>-2</v>
      </c>
      <c r="JQ29" s="482">
        <f>291/30</f>
        <v>9.6999999999999993</v>
      </c>
      <c r="JR29" s="504">
        <f>((+HS29+HU29+IB29+IJ29+IQ29+IU29+JB29+JI29+JF29)/30)-JQ29</f>
        <v>2.7333333333333343</v>
      </c>
      <c r="JS29" s="490"/>
      <c r="JT29" s="491"/>
      <c r="JU29" s="490"/>
      <c r="JV29" s="491"/>
      <c r="JW29" s="488"/>
      <c r="JX29" s="488"/>
      <c r="JY29" s="488"/>
      <c r="JZ29" s="488"/>
    </row>
    <row r="30" spans="1:286" ht="120.75" hidden="1" customHeight="1" x14ac:dyDescent="0.25">
      <c r="A30" s="52" t="s">
        <v>192</v>
      </c>
      <c r="B30" s="20" t="s">
        <v>54</v>
      </c>
      <c r="C30" s="20" t="s">
        <v>158</v>
      </c>
      <c r="D30" s="20">
        <v>2013</v>
      </c>
      <c r="E30" s="20" t="s">
        <v>55</v>
      </c>
      <c r="F30" s="20" t="s">
        <v>637</v>
      </c>
      <c r="G30" s="20" t="s">
        <v>278</v>
      </c>
      <c r="H30" s="20" t="s">
        <v>244</v>
      </c>
      <c r="I30" s="110"/>
      <c r="J30" s="110"/>
      <c r="K30" s="453" t="s">
        <v>1010</v>
      </c>
      <c r="L30" s="303" t="s">
        <v>79</v>
      </c>
      <c r="M30" s="190" t="s">
        <v>194</v>
      </c>
      <c r="N30" s="191">
        <v>41619</v>
      </c>
      <c r="O30" s="379">
        <v>15520</v>
      </c>
      <c r="P30" s="379">
        <v>130195</v>
      </c>
      <c r="Q30" s="379">
        <v>184575</v>
      </c>
      <c r="R30" s="379">
        <f>P30/AD30</f>
        <v>5424.791666666667</v>
      </c>
      <c r="S30" s="379">
        <f>P30/O30</f>
        <v>8.3888530927835046</v>
      </c>
      <c r="T30" s="379">
        <f>Q30/O30</f>
        <v>11.892719072164949</v>
      </c>
      <c r="U30" s="379">
        <f>Q30/AH30</f>
        <v>100.20684712857096</v>
      </c>
      <c r="V30" s="379">
        <f>Q30/AD30</f>
        <v>7690.625</v>
      </c>
      <c r="W30" s="379">
        <f>O30/AD30</f>
        <v>646.66666666666663</v>
      </c>
      <c r="X30" s="380"/>
      <c r="Y30" s="381">
        <f>AH30/O30</f>
        <v>0.11868170103092784</v>
      </c>
      <c r="Z30" s="380" t="s">
        <v>332</v>
      </c>
      <c r="AA30" s="382">
        <v>790</v>
      </c>
      <c r="AB30" s="383"/>
      <c r="AC30" s="20" t="s">
        <v>26</v>
      </c>
      <c r="AD30" s="640">
        <f>AE30+AF30</f>
        <v>24</v>
      </c>
      <c r="AE30" s="21"/>
      <c r="AF30" s="20">
        <v>24</v>
      </c>
      <c r="AG30" s="22">
        <v>1833.06</v>
      </c>
      <c r="AH30" s="139">
        <v>1841.94</v>
      </c>
      <c r="AI30" s="22">
        <f>AH30/AD30</f>
        <v>76.747500000000002</v>
      </c>
      <c r="AJ30" s="116"/>
      <c r="AK30" s="116"/>
      <c r="AL30" s="116"/>
      <c r="AM30" s="116"/>
      <c r="AN30" s="116"/>
      <c r="AO30" s="22"/>
      <c r="AP30" s="133"/>
      <c r="AQ30" s="135">
        <f>AP30/O30</f>
        <v>0</v>
      </c>
      <c r="AR30" s="114">
        <v>1.5</v>
      </c>
      <c r="AS30" s="47">
        <v>5</v>
      </c>
      <c r="AT30" s="111" t="s">
        <v>316</v>
      </c>
      <c r="AU30" s="111" t="s">
        <v>178</v>
      </c>
      <c r="AV30" s="47" t="s">
        <v>169</v>
      </c>
      <c r="AW30" s="332">
        <v>41305</v>
      </c>
      <c r="AX30" s="110"/>
      <c r="AY30" s="110"/>
      <c r="AZ30" s="110" t="s">
        <v>230</v>
      </c>
      <c r="BA30" s="110"/>
      <c r="BB30" s="110"/>
      <c r="BC30" s="110"/>
      <c r="BD30" s="110"/>
      <c r="BE30" s="332">
        <v>41353</v>
      </c>
      <c r="BF30" s="332">
        <v>41470</v>
      </c>
      <c r="BG30" s="332">
        <v>41502</v>
      </c>
      <c r="BH30" s="332">
        <v>41533</v>
      </c>
      <c r="BI30" s="332">
        <v>41619</v>
      </c>
      <c r="BJ30" s="332"/>
      <c r="BK30" s="332" t="s">
        <v>178</v>
      </c>
      <c r="BL30" s="332">
        <v>42318</v>
      </c>
      <c r="BM30" s="332"/>
      <c r="BN30" s="194" t="s">
        <v>18</v>
      </c>
      <c r="BO30" s="194" t="s">
        <v>174</v>
      </c>
      <c r="BP30" s="196"/>
      <c r="BQ30" s="194" t="s">
        <v>174</v>
      </c>
      <c r="BR30" s="194" t="s">
        <v>174</v>
      </c>
      <c r="BS30" s="194" t="s">
        <v>193</v>
      </c>
      <c r="BT30" s="355">
        <v>120000</v>
      </c>
      <c r="BU30" s="376">
        <v>41536</v>
      </c>
      <c r="BV30" s="160"/>
      <c r="BW30" s="160"/>
      <c r="BX30" s="160" t="s">
        <v>168</v>
      </c>
      <c r="BY30" s="160">
        <v>41564</v>
      </c>
      <c r="BZ30" s="376">
        <v>41568</v>
      </c>
      <c r="CA30" s="160"/>
      <c r="CB30" s="301">
        <v>41550</v>
      </c>
      <c r="CC30" s="372">
        <v>41583</v>
      </c>
      <c r="CD30" s="302">
        <f>DATE(YEAR(CC30),MONTH(CC30)+3,DAY(CC30))</f>
        <v>41675</v>
      </c>
      <c r="CE30" s="302"/>
      <c r="CF30" s="570">
        <v>41659</v>
      </c>
      <c r="CG30" s="569">
        <f>DATE(YEAR(CF30),MONTH(CF30)+24,DAY(CF30))</f>
        <v>42389</v>
      </c>
      <c r="CH30" s="569">
        <f>DATE(YEAR(CF30),MONTH(CF30)+36,DAY(CF30))</f>
        <v>42755</v>
      </c>
      <c r="CI30" s="569" t="str">
        <f>IF(EV30&gt;CG30,"oui","non")</f>
        <v>oui</v>
      </c>
      <c r="CJ30" s="302"/>
      <c r="CK30" s="301">
        <v>41659</v>
      </c>
      <c r="CL30" s="82" t="s">
        <v>230</v>
      </c>
      <c r="CM30" s="370" t="s">
        <v>230</v>
      </c>
      <c r="CN30" s="82" t="s">
        <v>230</v>
      </c>
      <c r="CO30" s="161"/>
      <c r="CP30" s="81" t="s">
        <v>230</v>
      </c>
      <c r="CQ30" s="365" t="s">
        <v>230</v>
      </c>
      <c r="CR30" s="81" t="s">
        <v>230</v>
      </c>
      <c r="CS30" s="162"/>
      <c r="CT30" s="80" t="s">
        <v>236</v>
      </c>
      <c r="CU30" s="366">
        <v>41624</v>
      </c>
      <c r="CV30" s="80">
        <v>41654</v>
      </c>
      <c r="CW30" s="166"/>
      <c r="CX30" s="80" t="s">
        <v>230</v>
      </c>
      <c r="CY30" s="366" t="s">
        <v>230</v>
      </c>
      <c r="CZ30" s="80" t="s">
        <v>230</v>
      </c>
      <c r="DA30" s="166"/>
      <c r="DB30" s="296" t="s">
        <v>195</v>
      </c>
      <c r="DC30" s="300">
        <v>85429</v>
      </c>
      <c r="DD30" s="300">
        <f>DC30*3/5</f>
        <v>51257.4</v>
      </c>
      <c r="DE30" s="304" t="s">
        <v>234</v>
      </c>
      <c r="DF30" s="304" t="s">
        <v>266</v>
      </c>
      <c r="DG30" s="304" t="s">
        <v>255</v>
      </c>
      <c r="DH30" s="443"/>
      <c r="DI30" s="304" t="s">
        <v>257</v>
      </c>
      <c r="DJ30" s="296"/>
      <c r="DK30" s="297"/>
      <c r="DL30" s="298"/>
      <c r="DM30" s="298"/>
      <c r="DN30" s="304">
        <v>41619</v>
      </c>
      <c r="DO30" s="292" t="s">
        <v>178</v>
      </c>
      <c r="DP30" s="293"/>
      <c r="DQ30" s="304">
        <v>41626</v>
      </c>
      <c r="DR30" s="443"/>
      <c r="DS30" s="443"/>
      <c r="DT30" s="297">
        <v>3488955.1556799999</v>
      </c>
      <c r="DU30" s="304">
        <f>DATE(YEAR(DQ30),MONTH(DQ30)+18,DAY(DQ30))</f>
        <v>42173</v>
      </c>
      <c r="DV30" s="443">
        <v>42114</v>
      </c>
      <c r="DW30" s="443"/>
      <c r="DX30" s="415">
        <v>41989</v>
      </c>
      <c r="DY30" s="415">
        <v>41688</v>
      </c>
      <c r="DZ30" s="415">
        <v>42242</v>
      </c>
      <c r="EA30" s="413">
        <v>41876</v>
      </c>
      <c r="EB30" s="203">
        <v>41974</v>
      </c>
      <c r="EC30" s="205">
        <v>14</v>
      </c>
      <c r="ED30" s="222">
        <f>EC30+2</f>
        <v>16</v>
      </c>
      <c r="EE30" s="422">
        <f>DATEDIF(EA30,EN30,"M")</f>
        <v>27</v>
      </c>
      <c r="EF30" s="422">
        <f>DATEDIF(EA30,EV30,"M")</f>
        <v>29</v>
      </c>
      <c r="EG30" s="422">
        <f>EE30-EC30</f>
        <v>13</v>
      </c>
      <c r="EH30" s="422">
        <f>EF30-ED30</f>
        <v>13</v>
      </c>
      <c r="EI30" s="410">
        <f>115866.7697376/12</f>
        <v>9655.5641448000006</v>
      </c>
      <c r="EJ30" s="410">
        <f>EI30*(EE30-EC30)</f>
        <v>125522.33388240001</v>
      </c>
      <c r="EK30" s="413" t="s">
        <v>178</v>
      </c>
      <c r="EL30" s="223"/>
      <c r="EM30" s="223"/>
      <c r="EN30" s="203">
        <v>42704</v>
      </c>
      <c r="EO30" s="210">
        <f>DATE(YEAR(DV30)+2,MONTH(DV30),DAY(DV30))</f>
        <v>42845</v>
      </c>
      <c r="EP30" s="203" t="s">
        <v>178</v>
      </c>
      <c r="EQ30" s="226"/>
      <c r="ER30" s="226"/>
      <c r="ES30" s="203">
        <v>42774</v>
      </c>
      <c r="ET30" s="226"/>
      <c r="EU30" s="582" t="s">
        <v>178</v>
      </c>
      <c r="EV30" s="230">
        <v>42774</v>
      </c>
      <c r="EW30" s="211" t="s">
        <v>741</v>
      </c>
      <c r="EX30" s="611"/>
      <c r="EY30" s="516" t="s">
        <v>905</v>
      </c>
      <c r="EZ30" s="209" t="s">
        <v>1024</v>
      </c>
      <c r="FA30" s="206" t="s">
        <v>1025</v>
      </c>
      <c r="FB30" s="206" t="s">
        <v>1026</v>
      </c>
      <c r="FC30" s="209"/>
      <c r="FD30" s="466" t="s">
        <v>506</v>
      </c>
      <c r="FE30" s="110"/>
      <c r="FF30" s="110"/>
      <c r="FG30" s="110"/>
      <c r="FH30" s="110"/>
      <c r="FI30" s="110"/>
      <c r="FJ30" s="110"/>
      <c r="FK30" s="110"/>
      <c r="FL30" s="110"/>
      <c r="FM30" s="110"/>
      <c r="FN30" s="110"/>
      <c r="FO30" s="110"/>
      <c r="FP30" s="195" t="s">
        <v>168</v>
      </c>
      <c r="FQ30" s="23">
        <f>+GA30+GE30+GL30+HF30</f>
        <v>3953193.4015262127</v>
      </c>
      <c r="FR30" s="24">
        <f>GB30+GF30+GM30+HF30+GN30</f>
        <v>3953193.4015262127</v>
      </c>
      <c r="FS30" s="25">
        <f>FR30-FQ30</f>
        <v>0</v>
      </c>
      <c r="FT30" s="25">
        <f>FR30/AG30</f>
        <v>2156.6088406960016</v>
      </c>
      <c r="FU30" s="25">
        <f>FR30/AD30</f>
        <v>164716.39173025885</v>
      </c>
      <c r="FV30" s="23">
        <v>3273574</v>
      </c>
      <c r="FW30" s="24">
        <v>3268014</v>
      </c>
      <c r="FX30" s="25">
        <f>FW30-FV30</f>
        <v>-5560</v>
      </c>
      <c r="FY30" s="231">
        <f>FV30*1.021/FQ30</f>
        <v>0.8454731945848204</v>
      </c>
      <c r="FZ30" s="232"/>
      <c r="GA30" s="23">
        <v>1046714</v>
      </c>
      <c r="GB30" s="24">
        <v>1042673</v>
      </c>
      <c r="GC30" s="50">
        <f>GB30/AD30</f>
        <v>43444.708333333336</v>
      </c>
      <c r="GD30" s="73">
        <f>GB30-GA30</f>
        <v>-4041</v>
      </c>
      <c r="GE30" s="23">
        <v>2047671</v>
      </c>
      <c r="GF30" s="124">
        <f>+GG30+GH30</f>
        <v>2051712</v>
      </c>
      <c r="GG30" s="26">
        <v>255345</v>
      </c>
      <c r="GH30" s="26">
        <v>1796367</v>
      </c>
      <c r="GI30" s="73">
        <f>GF30-GE30</f>
        <v>4041</v>
      </c>
      <c r="GJ30" s="50">
        <f>GF30/AD30</f>
        <v>85488</v>
      </c>
      <c r="GK30" s="24"/>
      <c r="GL30" s="23">
        <v>480000</v>
      </c>
      <c r="GM30" s="24">
        <v>360000</v>
      </c>
      <c r="GN30" s="124">
        <v>120000</v>
      </c>
      <c r="GO30" s="76">
        <f>GM30/FR30</f>
        <v>9.1065617953580133E-2</v>
      </c>
      <c r="GP30" s="590"/>
      <c r="GQ30" s="24">
        <v>0</v>
      </c>
      <c r="GR30" s="51">
        <f>GM30-GL30</f>
        <v>-120000</v>
      </c>
      <c r="GS30" s="50">
        <f>GM30/AD30</f>
        <v>15000</v>
      </c>
      <c r="GT30" s="98"/>
      <c r="GU30" s="51">
        <f>GR30/AD30</f>
        <v>-5000</v>
      </c>
      <c r="GV30" s="97"/>
      <c r="GW30" s="97"/>
      <c r="GX30" s="75">
        <v>1244630.4489499999</v>
      </c>
      <c r="GY30" s="75">
        <v>480000</v>
      </c>
      <c r="GZ30" s="50">
        <f>(GB30+GM30+GY30)/AD30</f>
        <v>78444.708333333328</v>
      </c>
      <c r="HA30" s="75">
        <v>0</v>
      </c>
      <c r="HB30" s="50">
        <f>(GB30+GM30+GY30+HA30)/AD30</f>
        <v>78444.708333333328</v>
      </c>
      <c r="HC30" s="99">
        <f>(GB30+GM30+GY30+HA30)/(GX30+FR30-HD30)</f>
        <v>0.37583008579772242</v>
      </c>
      <c r="HD30" s="75">
        <v>188451.07500000001</v>
      </c>
      <c r="HE30" s="75"/>
      <c r="HF30" s="633">
        <v>378808.40152621281</v>
      </c>
      <c r="HG30" s="156">
        <f>FR30+GX30</f>
        <v>5197823.8504762128</v>
      </c>
      <c r="HH30" s="491">
        <v>172483</v>
      </c>
      <c r="HI30" s="491"/>
      <c r="HJ30" s="494">
        <v>41246</v>
      </c>
      <c r="HK30" s="491">
        <v>16144</v>
      </c>
      <c r="HL30" s="415">
        <v>41200</v>
      </c>
      <c r="HM30" s="415">
        <f>DATE(YEAR(HL30),MONTH(HL30),DAY(HL30)+21)</f>
        <v>41221</v>
      </c>
      <c r="HN30" s="415">
        <v>41242</v>
      </c>
      <c r="HO30" s="497">
        <f>IF(AND(HM30&gt;0,HN30&gt;0),HN30-HM30,"0")</f>
        <v>21</v>
      </c>
      <c r="HP30" s="415">
        <v>41242</v>
      </c>
      <c r="HQ30" s="481">
        <f>IF(AND(HN30&gt;0,HP30&gt;0),HP30-HN30,"0")</f>
        <v>0</v>
      </c>
      <c r="HR30" s="497">
        <f>+HQ30-30</f>
        <v>-30</v>
      </c>
      <c r="HS30" s="506">
        <f>IF(AND(HL30&gt;0,HP30&gt;0),HP30-HL30,"0")</f>
        <v>42</v>
      </c>
      <c r="HT30" s="415">
        <v>41200</v>
      </c>
      <c r="HU30" s="497">
        <f>IF(AND(HP30&gt;0,HT30&gt;0),HT30-HP30,"0")</f>
        <v>-42</v>
      </c>
      <c r="HV30" s="415">
        <f>DATE(YEAR(HT30),MONTH(HT30),DAY(HT30)+21)</f>
        <v>41221</v>
      </c>
      <c r="HW30" s="415">
        <v>41242</v>
      </c>
      <c r="HX30" s="497">
        <f>IF(AND(HV30&gt;0,HW30&gt;0),HW30-HV30,"0")</f>
        <v>21</v>
      </c>
      <c r="HY30" s="415">
        <v>41291</v>
      </c>
      <c r="HZ30" s="481">
        <f>IF(AND(HW30&gt;0,HY30&gt;0),HY30-HW30,"0")</f>
        <v>49</v>
      </c>
      <c r="IA30" s="497">
        <f>+HZ30-30</f>
        <v>19</v>
      </c>
      <c r="IB30" s="506">
        <f>IF(AND(HT30&gt;0,HY30&gt;0),HY30-HT30,"0")</f>
        <v>91</v>
      </c>
      <c r="IC30" s="490">
        <v>41291</v>
      </c>
      <c r="ID30" s="491"/>
      <c r="IE30" s="415">
        <v>41261</v>
      </c>
      <c r="IF30" s="415">
        <v>41262</v>
      </c>
      <c r="IG30" s="494">
        <v>41275</v>
      </c>
      <c r="IH30" s="491">
        <v>24216</v>
      </c>
      <c r="II30" s="347">
        <v>41309</v>
      </c>
      <c r="IJ30" s="497">
        <f>IF(AND(HY30&gt;0,II30&gt;0),II30-HY30,"0")</f>
        <v>18</v>
      </c>
      <c r="IK30" s="347">
        <f>DATE(YEAR(II30),MONTH(II30),DAY(II30)+30)</f>
        <v>41339</v>
      </c>
      <c r="IL30" s="347">
        <v>41344</v>
      </c>
      <c r="IM30" s="497">
        <f>IF(AND(IK30&gt;0,IL30&gt;0),IL30-IK30,"0")</f>
        <v>5</v>
      </c>
      <c r="IN30" s="347">
        <v>41484</v>
      </c>
      <c r="IO30" s="481">
        <f>IF(AND(IL30&gt;0,IN30&gt;0),IN30-IL30,"0")</f>
        <v>140</v>
      </c>
      <c r="IP30" s="497">
        <f>+IO30-30</f>
        <v>110</v>
      </c>
      <c r="IQ30" s="506">
        <f>IF(AND(II30&gt;0,IN30&gt;0),IN30-II30,"0")</f>
        <v>175</v>
      </c>
      <c r="IR30" s="490">
        <v>41484</v>
      </c>
      <c r="IS30" s="491">
        <v>20008</v>
      </c>
      <c r="IT30" s="347">
        <v>41514</v>
      </c>
      <c r="IU30" s="498">
        <f>IF(AND(IN30&gt;0,IT30&gt;0),IT30-IN30,"0")</f>
        <v>30</v>
      </c>
      <c r="IV30" s="347">
        <f>DATE(YEAR(IT30),MONTH(IT30),DAY(IT30)+30)</f>
        <v>41544</v>
      </c>
      <c r="IW30" s="347">
        <v>41561</v>
      </c>
      <c r="IX30" s="498">
        <f>IF(AND(IV30&gt;0,IW30&gt;0),IW30-IV30,"0")</f>
        <v>17</v>
      </c>
      <c r="IY30" s="347">
        <v>41565</v>
      </c>
      <c r="IZ30" s="482">
        <f>IF(AND(IW30&gt;0,IY30&gt;0),IY30-IW30,"0")</f>
        <v>4</v>
      </c>
      <c r="JA30" s="498">
        <f>IZ30-30</f>
        <v>-26</v>
      </c>
      <c r="JB30" s="508">
        <f>IF(AND(IT30&gt;0,IY30&gt;0),IY30-IT30,"0")</f>
        <v>51</v>
      </c>
      <c r="JC30" s="490">
        <v>41583</v>
      </c>
      <c r="JD30" s="491">
        <v>25872</v>
      </c>
      <c r="JE30" s="347">
        <v>41514</v>
      </c>
      <c r="JF30" s="487">
        <f>IF(AND(IY30&gt;0,JE30&gt;0),JE30-IY30,"0")</f>
        <v>-51</v>
      </c>
      <c r="JG30" s="347">
        <f>IV30</f>
        <v>41544</v>
      </c>
      <c r="JH30" s="347">
        <f>IW30</f>
        <v>41561</v>
      </c>
      <c r="JI30" s="487">
        <f>IF(AND(JG30&gt;0,JH30&gt;0),JH30-JG30,"0")</f>
        <v>17</v>
      </c>
      <c r="JJ30" s="347">
        <f>DATE(YEAR(JH30),MONTH(JH30),DAY(JH30)+15)</f>
        <v>41576</v>
      </c>
      <c r="JK30" s="347">
        <v>41565</v>
      </c>
      <c r="JL30" s="487">
        <f>IF(AND(JJ30&gt;0,JK30&gt;0),JK30-JJ30,"0")</f>
        <v>-11</v>
      </c>
      <c r="JM30" s="509">
        <f>IF(AND(JE30&gt;0,JK30&gt;0),JK30-JE30,"0")</f>
        <v>51</v>
      </c>
      <c r="JN30" s="541">
        <v>41723</v>
      </c>
      <c r="JO30" s="501">
        <f>IF(AND(JK30&gt;0,JN30&gt;0),JN30-JK30,"0")</f>
        <v>158</v>
      </c>
      <c r="JP30" s="498">
        <f>JO30-60</f>
        <v>98</v>
      </c>
      <c r="JQ30" s="482">
        <f>291/30</f>
        <v>9.6999999999999993</v>
      </c>
      <c r="JR30" s="504">
        <f>((+HS30+HU30+IB30+IJ30+IQ30+IU30+JB30+JI30+JF30)/30)-JQ30</f>
        <v>1.3333333333333339</v>
      </c>
      <c r="JS30" s="490"/>
      <c r="JT30" s="491"/>
      <c r="JU30" s="490"/>
      <c r="JV30" s="491"/>
      <c r="JW30" s="586"/>
      <c r="JX30" s="586"/>
      <c r="JY30" s="586"/>
      <c r="JZ30" s="586"/>
    </row>
    <row r="31" spans="1:286" ht="216" hidden="1" customHeight="1" x14ac:dyDescent="0.25">
      <c r="A31" s="52" t="s">
        <v>639</v>
      </c>
      <c r="B31" s="20" t="s">
        <v>46</v>
      </c>
      <c r="C31" s="20" t="s">
        <v>157</v>
      </c>
      <c r="D31" s="20">
        <v>2013</v>
      </c>
      <c r="E31" s="20" t="s">
        <v>73</v>
      </c>
      <c r="F31" s="20" t="s">
        <v>970</v>
      </c>
      <c r="G31" s="20" t="s">
        <v>890</v>
      </c>
      <c r="H31" s="20" t="s">
        <v>243</v>
      </c>
      <c r="I31" s="110"/>
      <c r="J31" s="110"/>
      <c r="K31" s="453"/>
      <c r="L31" s="303" t="s">
        <v>81</v>
      </c>
      <c r="M31" s="190" t="s">
        <v>88</v>
      </c>
      <c r="N31" s="191"/>
      <c r="O31" s="379">
        <f>1825+425</f>
        <v>2250</v>
      </c>
      <c r="P31" s="379">
        <v>102507</v>
      </c>
      <c r="Q31" s="379">
        <v>68451</v>
      </c>
      <c r="R31" s="379">
        <f>P31/AD31</f>
        <v>11389.666666666666</v>
      </c>
      <c r="S31" s="379">
        <f>P31/O31</f>
        <v>45.558666666666667</v>
      </c>
      <c r="T31" s="387">
        <f>Q31/O31</f>
        <v>30.422666666666668</v>
      </c>
      <c r="U31" s="387">
        <f>Q31/AH31</f>
        <v>96.496842223976543</v>
      </c>
      <c r="V31" s="387">
        <f>Q31/AD31</f>
        <v>7605.666666666667</v>
      </c>
      <c r="W31" s="379">
        <f>O31/AD31</f>
        <v>250</v>
      </c>
      <c r="X31" s="380"/>
      <c r="Y31" s="381">
        <f>AH31/O31</f>
        <v>0.31527111111111111</v>
      </c>
      <c r="Z31" s="380" t="s">
        <v>327</v>
      </c>
      <c r="AA31" s="382"/>
      <c r="AB31" s="383"/>
      <c r="AC31" s="20" t="s">
        <v>26</v>
      </c>
      <c r="AD31" s="640">
        <f>AE31+AF31</f>
        <v>9</v>
      </c>
      <c r="AE31" s="21"/>
      <c r="AF31" s="20">
        <v>9</v>
      </c>
      <c r="AG31" s="22">
        <v>709.36</v>
      </c>
      <c r="AH31" s="139">
        <v>709.36</v>
      </c>
      <c r="AI31" s="22">
        <f>AH31/AD31</f>
        <v>78.817777777777778</v>
      </c>
      <c r="AJ31" s="135">
        <v>0</v>
      </c>
      <c r="AK31" s="135">
        <v>0</v>
      </c>
      <c r="AL31" s="135">
        <f>4/AD31</f>
        <v>0.44444444444444442</v>
      </c>
      <c r="AM31" s="135">
        <f>4/AD31</f>
        <v>0.44444444444444442</v>
      </c>
      <c r="AN31" s="135">
        <f>1/AD31</f>
        <v>0.1111111111111111</v>
      </c>
      <c r="AO31" s="22"/>
      <c r="AP31" s="133" t="s">
        <v>515</v>
      </c>
      <c r="AQ31" s="135" t="e">
        <f>AP31/O31</f>
        <v>#VALUE!</v>
      </c>
      <c r="AR31" s="114">
        <v>2</v>
      </c>
      <c r="AS31" s="20">
        <v>1</v>
      </c>
      <c r="AT31" s="110" t="s">
        <v>316</v>
      </c>
      <c r="AU31" s="110" t="s">
        <v>178</v>
      </c>
      <c r="AV31" s="20"/>
      <c r="AW31" s="332">
        <v>40945</v>
      </c>
      <c r="AX31" s="110"/>
      <c r="AY31" s="332">
        <v>40963</v>
      </c>
      <c r="AZ31" s="332" t="s">
        <v>230</v>
      </c>
      <c r="BA31" s="332"/>
      <c r="BB31" s="332"/>
      <c r="BC31" s="332"/>
      <c r="BD31" s="332"/>
      <c r="BE31" s="332">
        <v>41033</v>
      </c>
      <c r="BF31" s="332"/>
      <c r="BG31" s="332"/>
      <c r="BH31" s="332"/>
      <c r="BI31" s="332">
        <v>41621</v>
      </c>
      <c r="BJ31" s="332" t="s">
        <v>178</v>
      </c>
      <c r="BK31" s="332" t="s">
        <v>178</v>
      </c>
      <c r="BL31" s="332" t="s">
        <v>178</v>
      </c>
      <c r="BM31" s="332" t="s">
        <v>230</v>
      </c>
      <c r="BN31" s="194" t="s">
        <v>17</v>
      </c>
      <c r="BO31" s="194" t="s">
        <v>174</v>
      </c>
      <c r="BP31" s="196"/>
      <c r="BQ31" s="194" t="s">
        <v>174</v>
      </c>
      <c r="BR31" s="194" t="s">
        <v>174</v>
      </c>
      <c r="BS31" s="194" t="s">
        <v>175</v>
      </c>
      <c r="BT31" s="55"/>
      <c r="BU31" s="376">
        <v>41486</v>
      </c>
      <c r="BV31" s="160"/>
      <c r="BW31" s="160"/>
      <c r="BX31" s="160" t="s">
        <v>168</v>
      </c>
      <c r="BY31" s="160">
        <v>41516</v>
      </c>
      <c r="BZ31" s="376">
        <v>41519</v>
      </c>
      <c r="CA31" s="160"/>
      <c r="CB31" s="301">
        <v>41549</v>
      </c>
      <c r="CC31" s="372">
        <v>41576</v>
      </c>
      <c r="CD31" s="302">
        <f>DATE(YEAR(CC31),MONTH(CC31)+3,DAY(CC31))</f>
        <v>41668</v>
      </c>
      <c r="CE31" s="302"/>
      <c r="CF31" s="570">
        <v>41659</v>
      </c>
      <c r="CG31" s="569">
        <f>DATE(YEAR(CF31),MONTH(CF31)+24,DAY(CF31))</f>
        <v>42389</v>
      </c>
      <c r="CH31" s="569">
        <f>DATE(YEAR(CF31),MONTH(CF31)+36,DAY(CF31))</f>
        <v>42755</v>
      </c>
      <c r="CI31" s="569" t="str">
        <f>IF(EV31&gt;CG31,"oui","non")</f>
        <v>oui</v>
      </c>
      <c r="CJ31" s="302"/>
      <c r="CK31" s="305" t="s">
        <v>272</v>
      </c>
      <c r="CL31" s="80">
        <v>41583</v>
      </c>
      <c r="CM31" s="370">
        <v>41619</v>
      </c>
      <c r="CN31" s="82">
        <v>41653</v>
      </c>
      <c r="CO31" s="161"/>
      <c r="CP31" s="80">
        <v>41584</v>
      </c>
      <c r="CQ31" s="365">
        <v>41618</v>
      </c>
      <c r="CR31" s="81">
        <v>41648</v>
      </c>
      <c r="CS31" s="162"/>
      <c r="CT31" s="80" t="s">
        <v>235</v>
      </c>
      <c r="CU31" s="366">
        <v>41614</v>
      </c>
      <c r="CV31" s="80">
        <v>41624</v>
      </c>
      <c r="CW31" s="166"/>
      <c r="CX31" s="80">
        <v>41583</v>
      </c>
      <c r="CY31" s="366">
        <v>41604</v>
      </c>
      <c r="CZ31" s="80">
        <v>41626</v>
      </c>
      <c r="DA31" s="166"/>
      <c r="DB31" s="296" t="s">
        <v>88</v>
      </c>
      <c r="DC31" s="300">
        <v>36984</v>
      </c>
      <c r="DD31" s="300">
        <f>DC31*3/5</f>
        <v>22190.400000000001</v>
      </c>
      <c r="DE31" s="296" t="s">
        <v>196</v>
      </c>
      <c r="DF31" s="304">
        <v>41617</v>
      </c>
      <c r="DG31" s="304">
        <v>41618</v>
      </c>
      <c r="DH31" s="443"/>
      <c r="DI31" s="304">
        <v>41618</v>
      </c>
      <c r="DJ31" s="304">
        <v>41611</v>
      </c>
      <c r="DK31" s="297"/>
      <c r="DL31" s="298"/>
      <c r="DM31" s="298"/>
      <c r="DN31" s="304">
        <v>41621</v>
      </c>
      <c r="DO31" s="292" t="s">
        <v>178</v>
      </c>
      <c r="DP31" s="293"/>
      <c r="DQ31" s="304">
        <v>41625</v>
      </c>
      <c r="DR31" s="443"/>
      <c r="DS31" s="443"/>
      <c r="DT31" s="297">
        <v>1479199.4</v>
      </c>
      <c r="DU31" s="304">
        <f>DATE(YEAR(DQ31),MONTH(DQ31)+18,DAY(DQ31))</f>
        <v>42172</v>
      </c>
      <c r="DV31" s="443">
        <v>42066</v>
      </c>
      <c r="DW31" s="443"/>
      <c r="DX31" s="415" t="s">
        <v>178</v>
      </c>
      <c r="DY31" s="415">
        <v>41977</v>
      </c>
      <c r="DZ31" s="415">
        <v>42270</v>
      </c>
      <c r="EA31" s="413">
        <v>41900</v>
      </c>
      <c r="EB31" s="413"/>
      <c r="EC31" s="205">
        <v>13</v>
      </c>
      <c r="ED31" s="222">
        <f>EC31+2</f>
        <v>15</v>
      </c>
      <c r="EE31" s="422">
        <f>DATEDIF(EA31,EN31,"M")</f>
        <v>17</v>
      </c>
      <c r="EF31" s="422">
        <f>DATEDIF(EA31,EV31,"M")</f>
        <v>22</v>
      </c>
      <c r="EG31" s="422">
        <f>EE31-EC31</f>
        <v>4</v>
      </c>
      <c r="EH31" s="422">
        <f>EF31-ED31</f>
        <v>7</v>
      </c>
      <c r="EI31" s="410">
        <f>45210.5570752773/12</f>
        <v>3767.5464229397749</v>
      </c>
      <c r="EJ31" s="410">
        <f>EI31*(EE31-EC31)</f>
        <v>15070.185691759099</v>
      </c>
      <c r="EK31" s="413" t="s">
        <v>178</v>
      </c>
      <c r="EL31" s="426" t="s">
        <v>528</v>
      </c>
      <c r="EM31" s="413" t="s">
        <v>178</v>
      </c>
      <c r="EN31" s="413">
        <v>42424</v>
      </c>
      <c r="EO31" s="223">
        <f>DATE(YEAR(DV31)+2,MONTH(DV31),DAY(DV31))</f>
        <v>42797</v>
      </c>
      <c r="EP31" s="413" t="s">
        <v>891</v>
      </c>
      <c r="EQ31" s="465" t="s">
        <v>178</v>
      </c>
      <c r="ER31" s="465" t="s">
        <v>636</v>
      </c>
      <c r="ES31" s="413">
        <v>42566</v>
      </c>
      <c r="ET31" s="413">
        <v>42613</v>
      </c>
      <c r="EU31" s="413">
        <v>42577</v>
      </c>
      <c r="EV31" s="230">
        <v>42577</v>
      </c>
      <c r="EW31" s="413"/>
      <c r="EX31" s="522"/>
      <c r="EY31" s="356" t="s">
        <v>900</v>
      </c>
      <c r="EZ31" s="356" t="s">
        <v>178</v>
      </c>
      <c r="FA31" s="356" t="s">
        <v>178</v>
      </c>
      <c r="FB31" s="356" t="s">
        <v>178</v>
      </c>
      <c r="FC31" s="420">
        <v>42768</v>
      </c>
      <c r="FD31" s="225" t="s">
        <v>1040</v>
      </c>
      <c r="FE31" s="464">
        <f>DATE(YEAR(EN31)+1,MONTH(EN31),DAY(EN31))</f>
        <v>42790</v>
      </c>
      <c r="FF31" s="420">
        <v>42621</v>
      </c>
      <c r="FG31" s="420">
        <v>42688</v>
      </c>
      <c r="FH31" s="110"/>
      <c r="FI31" s="110"/>
      <c r="FJ31" s="110"/>
      <c r="FK31" s="213" t="s">
        <v>178</v>
      </c>
      <c r="FL31" s="112" t="s">
        <v>1032</v>
      </c>
      <c r="FM31" s="212" t="s">
        <v>977</v>
      </c>
      <c r="FN31" s="110"/>
      <c r="FO31" s="110"/>
      <c r="FP31" s="195" t="s">
        <v>168</v>
      </c>
      <c r="FQ31" s="23">
        <f>+GA31+GE31+GL31+HF31</f>
        <v>1710336.8171843851</v>
      </c>
      <c r="FR31" s="24">
        <f>GB31+GF31+GM31+HF31</f>
        <v>1708390.8171843851</v>
      </c>
      <c r="FS31" s="25">
        <f>FR31-FQ31</f>
        <v>-1946</v>
      </c>
      <c r="FT31" s="25">
        <f>FR31/AG31</f>
        <v>2408.3551612501201</v>
      </c>
      <c r="FU31" s="25">
        <f>FR31/AD31</f>
        <v>189821.20190937613</v>
      </c>
      <c r="FV31" s="23">
        <v>1337540</v>
      </c>
      <c r="FW31" s="24">
        <v>1322857</v>
      </c>
      <c r="FX31" s="25">
        <f>FW31-FV31</f>
        <v>-14683</v>
      </c>
      <c r="FY31" s="231">
        <f>FV31*1.021/FQ31</f>
        <v>0.79845579319759008</v>
      </c>
      <c r="FZ31" s="232"/>
      <c r="GA31" s="23">
        <v>424314</v>
      </c>
      <c r="GB31" s="24">
        <v>426409</v>
      </c>
      <c r="GC31" s="50">
        <f>GB31/AD31</f>
        <v>47378.777777777781</v>
      </c>
      <c r="GD31" s="73">
        <f>GB31-GA31</f>
        <v>2095</v>
      </c>
      <c r="GE31" s="23">
        <v>868051</v>
      </c>
      <c r="GF31" s="24">
        <f>+GG31+GH31</f>
        <v>864010</v>
      </c>
      <c r="GG31" s="26">
        <v>176535</v>
      </c>
      <c r="GH31" s="26">
        <v>687475</v>
      </c>
      <c r="GI31" s="73">
        <f>GF31-GE31</f>
        <v>-4041</v>
      </c>
      <c r="GJ31" s="50">
        <f>GF31/AD31</f>
        <v>96001.111111111109</v>
      </c>
      <c r="GK31" s="24"/>
      <c r="GL31" s="23">
        <v>225000</v>
      </c>
      <c r="GM31" s="24">
        <v>225000</v>
      </c>
      <c r="GN31" s="124"/>
      <c r="GO31" s="76">
        <f>GM31/FR31</f>
        <v>0.13170288539177738</v>
      </c>
      <c r="GP31" s="590"/>
      <c r="GQ31" s="24">
        <v>0</v>
      </c>
      <c r="GR31" s="51">
        <f>GM31-GL31</f>
        <v>0</v>
      </c>
      <c r="GS31" s="50">
        <f>GM31/AD31</f>
        <v>25000</v>
      </c>
      <c r="GT31" s="138"/>
      <c r="GU31" s="51">
        <f>GR31/AD31</f>
        <v>0</v>
      </c>
      <c r="GV31" s="97"/>
      <c r="GW31" s="97"/>
      <c r="GX31" s="75">
        <v>270120.19565000001</v>
      </c>
      <c r="GY31" s="75">
        <v>180000</v>
      </c>
      <c r="GZ31" s="50">
        <f>(GB31+GM31+GY31)/AD31</f>
        <v>92378.777777777781</v>
      </c>
      <c r="HA31" s="75">
        <v>0</v>
      </c>
      <c r="HB31" s="50">
        <f>(GB31+GM31+GY31+HA31)/AD31</f>
        <v>92378.777777777781</v>
      </c>
      <c r="HC31" s="99">
        <f>(GB31+GM31+GY31+HA31)/(GX31+FR31-HD31)</f>
        <v>0.43533295832276264</v>
      </c>
      <c r="HD31" s="75">
        <v>68687.774999999994</v>
      </c>
      <c r="HE31" s="632"/>
      <c r="HF31" s="631">
        <v>192971.81718438509</v>
      </c>
      <c r="HG31" s="77">
        <f>FR31+GX31</f>
        <v>1978511.012834385</v>
      </c>
      <c r="HH31" s="491">
        <v>79167</v>
      </c>
      <c r="HI31" s="491"/>
      <c r="HJ31" s="494"/>
      <c r="HK31" s="491"/>
      <c r="HL31" s="415"/>
      <c r="HM31" s="415"/>
      <c r="HN31" s="415"/>
      <c r="HO31" s="497" t="str">
        <f>IF(AND(HM31&gt;0,HN31&gt;0),HN31-HM31,"0")</f>
        <v>0</v>
      </c>
      <c r="HP31" s="415"/>
      <c r="HQ31" s="481" t="str">
        <f>IF(AND(HN31&gt;0,HP31&gt;0),HP31-HN31,"0")</f>
        <v>0</v>
      </c>
      <c r="HR31" s="497">
        <f>+HQ31-30</f>
        <v>-30</v>
      </c>
      <c r="HS31" s="506" t="str">
        <f>IF(AND(HL31&gt;0,HP31&gt;0),HP31-HL31,"0")</f>
        <v>0</v>
      </c>
      <c r="HT31" s="415"/>
      <c r="HU31" s="497" t="str">
        <f>IF(AND(HP31&gt;0,HT31&gt;0),HT31-HP31,"0")</f>
        <v>0</v>
      </c>
      <c r="HV31" s="415"/>
      <c r="HW31" s="415">
        <v>40813</v>
      </c>
      <c r="HX31" s="497" t="str">
        <f>IF(AND(HV31&gt;0,HW31&gt;0),HW31-HV31,"0")</f>
        <v>0</v>
      </c>
      <c r="HY31" s="415">
        <v>40920</v>
      </c>
      <c r="HZ31" s="481">
        <f>IF(AND(HW31&gt;0,HY31&gt;0),HY31-HW31,"0")</f>
        <v>107</v>
      </c>
      <c r="IA31" s="497">
        <f>+HZ31-30</f>
        <v>77</v>
      </c>
      <c r="IB31" s="506" t="str">
        <f>IF(AND(HT31&gt;0,HY31&gt;0),HY31-HT31,"0")</f>
        <v>0</v>
      </c>
      <c r="IC31" s="490"/>
      <c r="ID31" s="491"/>
      <c r="IE31" s="415">
        <v>40920</v>
      </c>
      <c r="IF31" s="415">
        <v>40941</v>
      </c>
      <c r="IG31" s="494">
        <v>40941</v>
      </c>
      <c r="IH31" s="491">
        <v>16481</v>
      </c>
      <c r="II31" s="347">
        <v>41183</v>
      </c>
      <c r="IJ31" s="497">
        <f>IF(AND(HY31&gt;0,II31&gt;0),II31-HY31,"0")</f>
        <v>263</v>
      </c>
      <c r="IK31" s="347">
        <f>DATE(YEAR(II31),MONTH(II31),DAY(II31)+30)</f>
        <v>41213</v>
      </c>
      <c r="IL31" s="347">
        <v>41228</v>
      </c>
      <c r="IM31" s="497">
        <f>IF(AND(IK31&gt;0,IL31&gt;0),IL31-IK31,"0")</f>
        <v>15</v>
      </c>
      <c r="IN31" s="347">
        <v>41386</v>
      </c>
      <c r="IO31" s="481">
        <f>IF(AND(IL31&gt;0,IN31&gt;0),IN31-IL31,"0")</f>
        <v>158</v>
      </c>
      <c r="IP31" s="497">
        <f>+IO31-30</f>
        <v>128</v>
      </c>
      <c r="IQ31" s="506">
        <f>IF(AND(II31&gt;0,IN31&gt;0),IN31-II31,"0")</f>
        <v>203</v>
      </c>
      <c r="IR31" s="490">
        <v>41254</v>
      </c>
      <c r="IS31" s="491">
        <v>10844</v>
      </c>
      <c r="IT31" s="347">
        <v>41386</v>
      </c>
      <c r="IU31" s="498">
        <f>IF(AND(IN31&gt;0,IT31&gt;0),IT31-IN31,"0")</f>
        <v>0</v>
      </c>
      <c r="IV31" s="347">
        <f>DATE(YEAR(IT31),MONTH(IT31),DAY(IT31)+30)</f>
        <v>41416</v>
      </c>
      <c r="IW31" s="347">
        <v>41430</v>
      </c>
      <c r="IX31" s="498">
        <f>IF(AND(IV31&gt;0,IW31&gt;0),IW31-IV31,"0")</f>
        <v>14</v>
      </c>
      <c r="IY31" s="347">
        <v>41514</v>
      </c>
      <c r="IZ31" s="482">
        <f>IF(AND(IW31&gt;0,IY31&gt;0),IY31-IW31,"0")</f>
        <v>84</v>
      </c>
      <c r="JA31" s="498">
        <f>IZ31-30</f>
        <v>54</v>
      </c>
      <c r="JB31" s="508">
        <f>IF(AND(IT31&gt;0,IY31&gt;0),IY31-IT31,"0")</f>
        <v>128</v>
      </c>
      <c r="JC31" s="490">
        <v>41508</v>
      </c>
      <c r="JD31" s="491">
        <v>11711</v>
      </c>
      <c r="JE31" s="347">
        <v>41514</v>
      </c>
      <c r="JF31" s="487">
        <f>IF(AND(IY31&gt;0,JE31&gt;0),JE31-IY31,"0")</f>
        <v>0</v>
      </c>
      <c r="JG31" s="347">
        <f>DATE(YEAR(JE31),MONTH(JE31),DAY(JE31)+15)</f>
        <v>41529</v>
      </c>
      <c r="JH31" s="347">
        <v>41548</v>
      </c>
      <c r="JI31" s="487">
        <f>IF(AND(JG31&gt;0,JH31&gt;0),JH31-JG31,"0")</f>
        <v>19</v>
      </c>
      <c r="JJ31" s="347">
        <f>DATE(YEAR(JH31),MONTH(JH31),DAY(JH31)+15)</f>
        <v>41563</v>
      </c>
      <c r="JK31" s="347">
        <v>41557</v>
      </c>
      <c r="JL31" s="487">
        <f>IF(AND(JJ31&gt;0,JK31&gt;0),JK31-JJ31,"0")</f>
        <v>-6</v>
      </c>
      <c r="JM31" s="509">
        <f>IF(AND(JE31&gt;0,JK31&gt;0),JK31-JE31,"0")</f>
        <v>43</v>
      </c>
      <c r="JN31" s="541">
        <v>41708</v>
      </c>
      <c r="JO31" s="501">
        <f>IF(AND(JK31&gt;0,JN31&gt;0),JN31-JK31,"0")</f>
        <v>151</v>
      </c>
      <c r="JP31" s="498">
        <f>JO31-60</f>
        <v>91</v>
      </c>
      <c r="JQ31" s="482">
        <f>291/30</f>
        <v>9.6999999999999993</v>
      </c>
      <c r="JR31" s="504">
        <f>((+HS31+HU31+IB31+IJ31+IQ31+IU31+JB31+JI31+JF31)/30)-JQ31</f>
        <v>10.733333333333334</v>
      </c>
      <c r="JS31" s="490"/>
      <c r="JT31" s="491"/>
      <c r="JU31" s="490"/>
      <c r="JV31" s="491"/>
      <c r="JW31" s="586"/>
      <c r="JX31" s="586"/>
      <c r="JY31" s="586"/>
      <c r="JZ31" s="586"/>
    </row>
    <row r="32" spans="1:286" ht="111" hidden="1" customHeight="1" x14ac:dyDescent="0.25">
      <c r="A32" s="141" t="s">
        <v>409</v>
      </c>
      <c r="B32" s="47" t="s">
        <v>46</v>
      </c>
      <c r="C32" s="47" t="s">
        <v>157</v>
      </c>
      <c r="D32" s="47">
        <v>2014</v>
      </c>
      <c r="E32" s="47" t="s">
        <v>315</v>
      </c>
      <c r="F32" s="47" t="s">
        <v>638</v>
      </c>
      <c r="G32" s="47" t="s">
        <v>719</v>
      </c>
      <c r="H32" s="47" t="s">
        <v>244</v>
      </c>
      <c r="I32" s="111"/>
      <c r="J32" s="111"/>
      <c r="K32" s="378"/>
      <c r="L32" s="303"/>
      <c r="M32" s="190"/>
      <c r="N32" s="191"/>
      <c r="O32" s="386">
        <f>1032+357+882+400</f>
        <v>2671</v>
      </c>
      <c r="P32" s="386">
        <f>Q32</f>
        <v>637295</v>
      </c>
      <c r="Q32" s="386">
        <v>637295</v>
      </c>
      <c r="R32" s="379">
        <f>P32/AD32</f>
        <v>13559.468085106382</v>
      </c>
      <c r="S32" s="386">
        <f>P32/O32</f>
        <v>238.5979034069637</v>
      </c>
      <c r="T32" s="387">
        <f>Q32/O32</f>
        <v>238.5979034069637</v>
      </c>
      <c r="U32" s="387">
        <f>Q32/AH32</f>
        <v>167.06075103217773</v>
      </c>
      <c r="V32" s="387">
        <f>Q32/AD32</f>
        <v>13559.468085106382</v>
      </c>
      <c r="W32" s="379">
        <f>O32/AD32</f>
        <v>56.829787234042556</v>
      </c>
      <c r="X32" s="388"/>
      <c r="Y32" s="389">
        <f>AH32/O32</f>
        <v>1.428210408086859</v>
      </c>
      <c r="Z32" s="388" t="s">
        <v>303</v>
      </c>
      <c r="AA32" s="384">
        <v>512</v>
      </c>
      <c r="AB32" s="385"/>
      <c r="AC32" s="47" t="s">
        <v>26</v>
      </c>
      <c r="AD32" s="639">
        <f>(AE32+AF32)</f>
        <v>47</v>
      </c>
      <c r="AE32" s="101"/>
      <c r="AF32" s="47">
        <v>47</v>
      </c>
      <c r="AG32" s="54">
        <v>4397.1499999999996</v>
      </c>
      <c r="AH32" s="140">
        <v>3814.75</v>
      </c>
      <c r="AI32" s="22">
        <f>AH32/AD32</f>
        <v>81.164893617021278</v>
      </c>
      <c r="AJ32" s="117"/>
      <c r="AK32" s="117"/>
      <c r="AL32" s="117"/>
      <c r="AM32" s="117"/>
      <c r="AN32" s="117"/>
      <c r="AO32" s="54"/>
      <c r="AP32" s="134">
        <v>0</v>
      </c>
      <c r="AQ32" s="136">
        <f>AP32/O32</f>
        <v>0</v>
      </c>
      <c r="AR32" s="115">
        <v>4.5</v>
      </c>
      <c r="AS32" s="47"/>
      <c r="AT32" s="111" t="s">
        <v>316</v>
      </c>
      <c r="AU32" s="111" t="s">
        <v>178</v>
      </c>
      <c r="AV32" s="47" t="s">
        <v>168</v>
      </c>
      <c r="AW32" s="338">
        <v>41604</v>
      </c>
      <c r="AX32" s="338">
        <v>41591</v>
      </c>
      <c r="AY32" s="338">
        <v>41771</v>
      </c>
      <c r="AZ32" s="338"/>
      <c r="BA32" s="338"/>
      <c r="BB32" s="338"/>
      <c r="BC32" s="338"/>
      <c r="BD32" s="338"/>
      <c r="BE32" s="111"/>
      <c r="BF32" s="111"/>
      <c r="BG32" s="111"/>
      <c r="BH32" s="111"/>
      <c r="BI32" s="111"/>
      <c r="BJ32" s="111"/>
      <c r="BK32" s="111"/>
      <c r="BL32" s="111"/>
      <c r="BM32" s="111"/>
      <c r="BN32" s="194" t="s">
        <v>18</v>
      </c>
      <c r="BO32" s="194" t="s">
        <v>174</v>
      </c>
      <c r="BP32" s="196"/>
      <c r="BQ32" s="194" t="s">
        <v>174</v>
      </c>
      <c r="BR32" s="194" t="s">
        <v>174</v>
      </c>
      <c r="BS32" s="194" t="s">
        <v>360</v>
      </c>
      <c r="BT32" s="67" t="s">
        <v>230</v>
      </c>
      <c r="BU32" s="376">
        <v>41800</v>
      </c>
      <c r="BV32" s="160"/>
      <c r="BW32" s="160"/>
      <c r="BX32" s="160" t="s">
        <v>168</v>
      </c>
      <c r="BY32" s="160">
        <v>41935</v>
      </c>
      <c r="BZ32" s="376">
        <v>41957</v>
      </c>
      <c r="CA32" s="160"/>
      <c r="CB32" s="301">
        <v>41989</v>
      </c>
      <c r="CC32" s="372">
        <v>41990</v>
      </c>
      <c r="CD32" s="302"/>
      <c r="CE32" s="302" t="s">
        <v>178</v>
      </c>
      <c r="CF32" s="570">
        <v>42080</v>
      </c>
      <c r="CG32" s="569">
        <f>DATE(YEAR(CF32),MONTH(CF32)+24,DAY(CF32))</f>
        <v>42811</v>
      </c>
      <c r="CH32" s="569">
        <f>DATE(YEAR(CF32),MONTH(CF32)+36,DAY(CF32))</f>
        <v>43176</v>
      </c>
      <c r="CI32" s="569" t="str">
        <f>IF(EV32&gt;CG32,"oui","non")</f>
        <v>non</v>
      </c>
      <c r="CJ32" s="307" t="s">
        <v>397</v>
      </c>
      <c r="CK32" s="71" t="s">
        <v>491</v>
      </c>
      <c r="CL32" s="82">
        <v>41991</v>
      </c>
      <c r="CM32" s="370">
        <v>42151</v>
      </c>
      <c r="CN32" s="82">
        <v>42180</v>
      </c>
      <c r="CO32" s="336" t="s">
        <v>526</v>
      </c>
      <c r="CP32" s="82">
        <v>41991</v>
      </c>
      <c r="CQ32" s="365">
        <v>42070</v>
      </c>
      <c r="CR32" s="81">
        <v>42081</v>
      </c>
      <c r="CS32" s="162"/>
      <c r="CT32" s="81">
        <v>41991</v>
      </c>
      <c r="CU32" s="365">
        <v>42060</v>
      </c>
      <c r="CV32" s="81">
        <v>42276</v>
      </c>
      <c r="CW32" s="162">
        <v>42276</v>
      </c>
      <c r="CX32" s="81">
        <v>41991</v>
      </c>
      <c r="CY32" s="365">
        <v>42136</v>
      </c>
      <c r="CZ32" s="81">
        <v>42166</v>
      </c>
      <c r="DA32" s="162"/>
      <c r="DB32" s="296" t="s">
        <v>195</v>
      </c>
      <c r="DC32" s="300"/>
      <c r="DD32" s="296">
        <f>DC32*3/5</f>
        <v>0</v>
      </c>
      <c r="DE32" s="296"/>
      <c r="DF32" s="296"/>
      <c r="DG32" s="296"/>
      <c r="DH32" s="299" t="s">
        <v>794</v>
      </c>
      <c r="DI32" s="296"/>
      <c r="DJ32" s="296"/>
      <c r="DK32" s="292"/>
      <c r="DL32" s="293"/>
      <c r="DM32" s="293"/>
      <c r="DN32" s="292"/>
      <c r="DO32" s="292"/>
      <c r="DP32" s="293"/>
      <c r="DQ32" s="304">
        <v>41992</v>
      </c>
      <c r="DR32" s="443"/>
      <c r="DS32" s="443"/>
      <c r="DT32" s="297"/>
      <c r="DU32" s="304">
        <f>DATE(YEAR(DQ32),MONTH(DQ32)+18,DAY(DQ32))</f>
        <v>42540</v>
      </c>
      <c r="DV32" s="443"/>
      <c r="DW32" s="443"/>
      <c r="DX32" s="111"/>
      <c r="DY32" s="420">
        <v>42150</v>
      </c>
      <c r="DZ32" s="420">
        <v>42499</v>
      </c>
      <c r="EA32" s="413">
        <v>42037</v>
      </c>
      <c r="EB32" s="425"/>
      <c r="EC32" s="421">
        <v>18</v>
      </c>
      <c r="ED32" s="222">
        <f>EC32+2</f>
        <v>20</v>
      </c>
      <c r="EE32" s="422">
        <f>DATEDIF(EA32,EN32,"M")</f>
        <v>19</v>
      </c>
      <c r="EF32" s="422">
        <f>DATEDIF(EA32,EV32,"M")</f>
        <v>21</v>
      </c>
      <c r="EG32" s="422">
        <f>EE32-EC32</f>
        <v>1</v>
      </c>
      <c r="EH32" s="422">
        <f>EF32-ED32</f>
        <v>1</v>
      </c>
      <c r="EI32" s="411">
        <f>245360.943389331/12</f>
        <v>20446.745282444248</v>
      </c>
      <c r="EJ32" s="411">
        <f>EI32*(EF32-EC32)</f>
        <v>61340.235847332748</v>
      </c>
      <c r="EK32" s="413">
        <v>42591</v>
      </c>
      <c r="EL32" s="223"/>
      <c r="EM32" s="223"/>
      <c r="EN32" s="210">
        <f>DATE(YEAR(EA32),MONTH(EA32)+EC32+1,DAY(EA32))</f>
        <v>42615</v>
      </c>
      <c r="EO32" s="210">
        <f>DATE(YEAR(DV32)+2,MONTH(DV32),DAY(DV32))</f>
        <v>731</v>
      </c>
      <c r="EP32" s="223"/>
      <c r="EQ32" s="210"/>
      <c r="ER32" s="210"/>
      <c r="ES32" s="413">
        <v>42657</v>
      </c>
      <c r="ET32" s="452" t="s">
        <v>893</v>
      </c>
      <c r="EU32" s="413"/>
      <c r="EV32" s="333">
        <v>42682</v>
      </c>
      <c r="EW32" s="211" t="s">
        <v>506</v>
      </c>
      <c r="EX32" s="513" t="s">
        <v>766</v>
      </c>
      <c r="EY32" s="218"/>
      <c r="EZ32" s="218"/>
      <c r="FA32" s="218"/>
      <c r="FB32" s="218"/>
      <c r="FC32" s="218"/>
      <c r="FD32" s="111"/>
      <c r="FE32" s="111"/>
      <c r="FF32" s="420">
        <v>42710</v>
      </c>
      <c r="FG32" s="420">
        <v>42779</v>
      </c>
      <c r="FH32" s="111"/>
      <c r="FI32" s="111"/>
      <c r="FJ32" s="111"/>
      <c r="FK32" s="111"/>
      <c r="FL32" s="111"/>
      <c r="FM32" s="212" t="s">
        <v>977</v>
      </c>
      <c r="FN32" s="111"/>
      <c r="FO32" s="111"/>
      <c r="FP32" s="195"/>
      <c r="FQ32" s="49">
        <f>+GA32+GE32+GL32+HF32</f>
        <v>9070838.1099999994</v>
      </c>
      <c r="FR32" s="66">
        <f>GB32+GF32+GK32+GM32+GQ32</f>
        <v>7893608.4299999997</v>
      </c>
      <c r="FS32" s="92">
        <f>FR32-FQ32</f>
        <v>-1177229.6799999997</v>
      </c>
      <c r="FT32" s="50">
        <f>FR32/AG32</f>
        <v>1795.1646930398099</v>
      </c>
      <c r="FU32" s="50">
        <f>FR32/AD32</f>
        <v>167949.1155319149</v>
      </c>
      <c r="FV32" s="49">
        <v>7995841</v>
      </c>
      <c r="FW32" s="66">
        <v>6785519</v>
      </c>
      <c r="FX32" s="92">
        <f>FW32-FV32</f>
        <v>-1210322</v>
      </c>
      <c r="FY32" s="231">
        <f>FW32*1.021/FR32</f>
        <v>0.87767400174928611</v>
      </c>
      <c r="FZ32" s="232"/>
      <c r="GA32" s="49">
        <v>2612892.11</v>
      </c>
      <c r="GB32" s="66">
        <v>2234701</v>
      </c>
      <c r="GC32" s="50">
        <f>GB32/AD32</f>
        <v>47546.829787234041</v>
      </c>
      <c r="GD32" s="74">
        <f>GB32-GA32</f>
        <v>-378191.10999999987</v>
      </c>
      <c r="GE32" s="49">
        <v>5339946</v>
      </c>
      <c r="GF32" s="66">
        <f>GG32+GH32</f>
        <v>4540907.43</v>
      </c>
      <c r="GG32" s="93">
        <v>1362272</v>
      </c>
      <c r="GH32" s="93">
        <v>3178635.43</v>
      </c>
      <c r="GI32" s="74">
        <f>GF32-GE32</f>
        <v>-799038.5700000003</v>
      </c>
      <c r="GJ32" s="50">
        <f>GF32/AD32</f>
        <v>96615.051702127646</v>
      </c>
      <c r="GK32" s="66">
        <v>0</v>
      </c>
      <c r="GL32" s="49">
        <v>1118000</v>
      </c>
      <c r="GM32" s="66">
        <f>GL32</f>
        <v>1118000</v>
      </c>
      <c r="GN32" s="129">
        <v>0</v>
      </c>
      <c r="GO32" s="76">
        <f>GM32/FR32</f>
        <v>0.1416335773321353</v>
      </c>
      <c r="GP32" s="590"/>
      <c r="GQ32" s="66">
        <v>0</v>
      </c>
      <c r="GR32" s="48">
        <f>GM32-GL32</f>
        <v>0</v>
      </c>
      <c r="GS32" s="95">
        <f>GM32/AD32</f>
        <v>23787.234042553191</v>
      </c>
      <c r="GT32" s="138">
        <f>(GB32+GM32)/AD32</f>
        <v>71334.063829787236</v>
      </c>
      <c r="GU32" s="48">
        <f>GR32/AD32</f>
        <v>0</v>
      </c>
      <c r="GV32" s="97">
        <v>5.07</v>
      </c>
      <c r="GW32" s="97">
        <v>4.96</v>
      </c>
      <c r="GX32" s="94">
        <v>0</v>
      </c>
      <c r="GY32" s="94">
        <v>0</v>
      </c>
      <c r="GZ32" s="95">
        <f>(GB32+GM32+GY32)/AD32</f>
        <v>71334.063829787236</v>
      </c>
      <c r="HA32" s="94">
        <v>0</v>
      </c>
      <c r="HB32" s="95">
        <f>(GB32+GM32+GY32+HA32)/AD32</f>
        <v>71334.063829787236</v>
      </c>
      <c r="HC32" s="99">
        <f>(GB32+GM32+GY32+HA32)/(GX32+FR32-HD32)</f>
        <v>0.42473616847497969</v>
      </c>
      <c r="HD32" s="94">
        <v>0</v>
      </c>
      <c r="HE32" s="94"/>
      <c r="HF32" s="633">
        <v>0</v>
      </c>
      <c r="HG32" s="77">
        <f>FR32+GX32</f>
        <v>7893608.4299999997</v>
      </c>
      <c r="HH32" s="491"/>
      <c r="HI32" s="491"/>
      <c r="HJ32" s="494"/>
      <c r="HK32" s="491"/>
      <c r="HL32" s="415"/>
      <c r="HM32" s="415"/>
      <c r="HN32" s="415"/>
      <c r="HO32" s="497" t="str">
        <f>IF(AND(HM32&gt;0,HN32&gt;0),HN32-HM32,"0")</f>
        <v>0</v>
      </c>
      <c r="HP32" s="415"/>
      <c r="HQ32" s="481" t="str">
        <f>IF(AND(HN32&gt;0,HP32&gt;0),HP32-HN32,"0")</f>
        <v>0</v>
      </c>
      <c r="HR32" s="497"/>
      <c r="HS32" s="506" t="str">
        <f>IF(AND(HL32&gt;0,HP32&gt;0),HP32-HL32,"0")</f>
        <v>0</v>
      </c>
      <c r="HT32" s="415"/>
      <c r="HU32" s="497" t="str">
        <f>IF(AND(HP32&gt;0,HT32&gt;0),HT32-HP32,"0")</f>
        <v>0</v>
      </c>
      <c r="HV32" s="415"/>
      <c r="HW32" s="415"/>
      <c r="HX32" s="497" t="str">
        <f>IF(AND(HV32&gt;0,HW32&gt;0),HW32-HV32,"0")</f>
        <v>0</v>
      </c>
      <c r="HY32" s="540"/>
      <c r="HZ32" s="481" t="str">
        <f>IF(AND(HW32&gt;0,HY32&gt;0),HY32-HW32,"0")</f>
        <v>0</v>
      </c>
      <c r="IA32" s="497">
        <v>0</v>
      </c>
      <c r="IB32" s="506" t="str">
        <f>IF(AND(HT32&gt;0,HY32&gt;0),HY32-HT32,"0")</f>
        <v>0</v>
      </c>
      <c r="IC32" s="490"/>
      <c r="ID32" s="491"/>
      <c r="IE32" s="415"/>
      <c r="IF32" s="415"/>
      <c r="IG32" s="494"/>
      <c r="IH32" s="491"/>
      <c r="II32" s="347"/>
      <c r="IJ32" s="497"/>
      <c r="IK32" s="347"/>
      <c r="IL32" s="347"/>
      <c r="IM32" s="497"/>
      <c r="IN32" s="347"/>
      <c r="IO32" s="481" t="str">
        <f>IF(AND(IL32&gt;0,IN32&gt;0),IN32-IL32,"0")</f>
        <v>0</v>
      </c>
      <c r="IP32" s="497"/>
      <c r="IQ32" s="506" t="str">
        <f>IF(AND(II32&gt;0,IN32&gt;0),IN32-II32,"0")</f>
        <v>0</v>
      </c>
      <c r="IR32" s="490"/>
      <c r="IS32" s="491"/>
      <c r="IT32" s="347"/>
      <c r="IU32" s="498"/>
      <c r="IV32" s="347"/>
      <c r="IW32" s="347"/>
      <c r="IX32" s="498"/>
      <c r="IY32" s="347"/>
      <c r="IZ32" s="482" t="str">
        <f>IF(AND(IW32&gt;0,IY32&gt;0),IY32-IW32,"0")</f>
        <v>0</v>
      </c>
      <c r="JA32" s="498"/>
      <c r="JB32" s="508" t="str">
        <f>IF(AND(IT32&gt;0,IY32&gt;0),IY32-IT32,"0")</f>
        <v>0</v>
      </c>
      <c r="JC32" s="490"/>
      <c r="JD32" s="491"/>
      <c r="JE32" s="347"/>
      <c r="JF32" s="487" t="str">
        <f>IF(AND(IY32&gt;0,JE32&gt;0),JE32-IY32,"0")</f>
        <v>0</v>
      </c>
      <c r="JG32" s="347"/>
      <c r="JH32" s="347"/>
      <c r="JI32" s="487" t="str">
        <f>IF(AND(JG32&gt;0,JH32&gt;0),JH32-JG32,"0")</f>
        <v>0</v>
      </c>
      <c r="JJ32" s="347"/>
      <c r="JK32" s="347"/>
      <c r="JL32" s="487" t="str">
        <f>IF(AND(JJ32&gt;0,JK32&gt;0),JK32-JJ32,"0")</f>
        <v>0</v>
      </c>
      <c r="JM32" s="509" t="str">
        <f>IF(AND(JE32&gt;0,JK32&gt;0),JK32-JE32,"0")</f>
        <v>0</v>
      </c>
      <c r="JN32" s="541"/>
      <c r="JO32" s="501" t="str">
        <f>IF(AND(JK32&gt;0,JN32&gt;0),JN32-JK32,"0")</f>
        <v>0</v>
      </c>
      <c r="JP32" s="498">
        <f>JO32-60</f>
        <v>-60</v>
      </c>
      <c r="JQ32" s="482">
        <f>291/30</f>
        <v>9.6999999999999993</v>
      </c>
      <c r="JR32" s="504">
        <f>((+HS32+HU32+IB32+IJ32+IQ32+IU32+JB32+JI32+JF32)/30)-JQ32</f>
        <v>-9.6999999999999993</v>
      </c>
      <c r="JS32" s="490"/>
      <c r="JT32" s="491"/>
      <c r="JU32" s="490"/>
      <c r="JV32" s="491"/>
      <c r="JW32" s="586"/>
      <c r="JX32" s="586"/>
      <c r="JY32" s="586"/>
      <c r="JZ32" s="586"/>
    </row>
    <row r="33" spans="1:286" ht="75" hidden="1" customHeight="1" x14ac:dyDescent="0.25">
      <c r="A33" s="52" t="s">
        <v>541</v>
      </c>
      <c r="B33" s="20" t="s">
        <v>62</v>
      </c>
      <c r="C33" s="20" t="s">
        <v>158</v>
      </c>
      <c r="D33" s="20">
        <v>2013</v>
      </c>
      <c r="E33" s="20" t="s">
        <v>63</v>
      </c>
      <c r="F33" s="20" t="s">
        <v>511</v>
      </c>
      <c r="G33" s="20" t="s">
        <v>275</v>
      </c>
      <c r="H33" s="20" t="s">
        <v>244</v>
      </c>
      <c r="I33" s="110"/>
      <c r="J33" s="110"/>
      <c r="K33" s="453"/>
      <c r="L33" s="303" t="s">
        <v>80</v>
      </c>
      <c r="M33" s="190"/>
      <c r="N33" s="191"/>
      <c r="O33" s="122"/>
      <c r="P33" s="122"/>
      <c r="Q33" s="122"/>
      <c r="R33" s="122"/>
      <c r="S33" s="122"/>
      <c r="T33" s="122"/>
      <c r="U33" s="122"/>
      <c r="V33" s="122"/>
      <c r="W33" s="122"/>
      <c r="X33" s="121"/>
      <c r="Y33" s="121"/>
      <c r="Z33" s="121"/>
      <c r="AA33" s="21"/>
      <c r="AB33" s="354"/>
      <c r="AC33" s="20" t="s">
        <v>26</v>
      </c>
      <c r="AD33" s="640">
        <f>AE33+AF33</f>
        <v>83</v>
      </c>
      <c r="AE33" s="21"/>
      <c r="AF33" s="20">
        <v>83</v>
      </c>
      <c r="AG33" s="22">
        <v>7367.96</v>
      </c>
      <c r="AH33" s="139">
        <v>7367.66</v>
      </c>
      <c r="AI33" s="22">
        <f>AH33/AD33</f>
        <v>88.766987951807224</v>
      </c>
      <c r="AJ33" s="135">
        <v>0</v>
      </c>
      <c r="AK33" s="135">
        <f>10/AF33</f>
        <v>0.12048192771084337</v>
      </c>
      <c r="AL33" s="135">
        <f>42/AF33</f>
        <v>0.50602409638554213</v>
      </c>
      <c r="AM33" s="135">
        <f>28/AF33</f>
        <v>0.33734939759036142</v>
      </c>
      <c r="AN33" s="135">
        <f>3/AF33</f>
        <v>3.614457831325301E-2</v>
      </c>
      <c r="AO33" s="22"/>
      <c r="AP33" s="133"/>
      <c r="AQ33" s="135" t="e">
        <f>AP33/O33</f>
        <v>#DIV/0!</v>
      </c>
      <c r="AR33" s="114">
        <v>3.5</v>
      </c>
      <c r="AS33" s="20">
        <v>4</v>
      </c>
      <c r="AT33" s="110" t="s">
        <v>316</v>
      </c>
      <c r="AU33" s="110" t="s">
        <v>178</v>
      </c>
      <c r="AV33" s="20" t="s">
        <v>168</v>
      </c>
      <c r="AW33" s="332">
        <v>41200</v>
      </c>
      <c r="AX33" s="332">
        <v>41170</v>
      </c>
      <c r="AY33" s="110"/>
      <c r="AZ33" s="110" t="s">
        <v>230</v>
      </c>
      <c r="BA33" s="540" t="s">
        <v>754</v>
      </c>
      <c r="BB33" s="540" t="s">
        <v>764</v>
      </c>
      <c r="BC33" s="540" t="s">
        <v>763</v>
      </c>
      <c r="BD33" s="540" t="s">
        <v>800</v>
      </c>
      <c r="BE33" s="332">
        <v>41400</v>
      </c>
      <c r="BF33" s="332">
        <v>41470</v>
      </c>
      <c r="BG33" s="332">
        <v>41501</v>
      </c>
      <c r="BH33" s="332">
        <v>41533</v>
      </c>
      <c r="BI33" s="110"/>
      <c r="BJ33" s="110"/>
      <c r="BK33" s="332">
        <v>41582</v>
      </c>
      <c r="BL33" s="110"/>
      <c r="BM33" s="110" t="s">
        <v>178</v>
      </c>
      <c r="BN33" s="194" t="s">
        <v>17</v>
      </c>
      <c r="BO33" s="194" t="s">
        <v>174</v>
      </c>
      <c r="BP33" s="196"/>
      <c r="BQ33" s="194" t="s">
        <v>174</v>
      </c>
      <c r="BR33" s="194" t="s">
        <v>174</v>
      </c>
      <c r="BS33" s="194" t="s">
        <v>368</v>
      </c>
      <c r="BT33" s="355">
        <v>415000</v>
      </c>
      <c r="BU33" s="376">
        <v>41463</v>
      </c>
      <c r="BV33" s="160"/>
      <c r="BW33" s="160">
        <v>42116</v>
      </c>
      <c r="BX33" s="160" t="s">
        <v>168</v>
      </c>
      <c r="BY33" s="160">
        <v>41747</v>
      </c>
      <c r="BZ33" s="376">
        <v>42160</v>
      </c>
      <c r="CA33" s="160"/>
      <c r="CB33" s="301">
        <v>42163</v>
      </c>
      <c r="CC33" s="372">
        <v>42171</v>
      </c>
      <c r="CD33" s="302">
        <v>42263</v>
      </c>
      <c r="CE33" s="302">
        <v>42192</v>
      </c>
      <c r="CF33" s="570">
        <v>42255</v>
      </c>
      <c r="CG33" s="569">
        <f>DATE(YEAR(CF33),MONTH(CF33)+24,DAY(CF33))</f>
        <v>42986</v>
      </c>
      <c r="CH33" s="569">
        <f>DATE(YEAR(CF33),MONTH(CF33)+36,DAY(CF33))</f>
        <v>43351</v>
      </c>
      <c r="CI33" s="569" t="str">
        <f>IF(EV33&gt;CG33,"oui","non")</f>
        <v>oui</v>
      </c>
      <c r="CJ33" s="302" t="s">
        <v>178</v>
      </c>
      <c r="CK33" s="301" t="s">
        <v>588</v>
      </c>
      <c r="CL33" s="82" t="s">
        <v>230</v>
      </c>
      <c r="CM33" s="370" t="s">
        <v>230</v>
      </c>
      <c r="CN33" s="82" t="s">
        <v>230</v>
      </c>
      <c r="CO33" s="161" t="s">
        <v>230</v>
      </c>
      <c r="CP33" s="81" t="s">
        <v>230</v>
      </c>
      <c r="CQ33" s="365" t="s">
        <v>230</v>
      </c>
      <c r="CR33" s="81" t="s">
        <v>230</v>
      </c>
      <c r="CS33" s="162" t="s">
        <v>230</v>
      </c>
      <c r="CT33" s="80">
        <v>42223</v>
      </c>
      <c r="CU33" s="366">
        <v>42359</v>
      </c>
      <c r="CV33" s="80" t="s">
        <v>178</v>
      </c>
      <c r="CW33" s="166">
        <v>42398</v>
      </c>
      <c r="CX33" s="80" t="s">
        <v>230</v>
      </c>
      <c r="CY33" s="366" t="s">
        <v>230</v>
      </c>
      <c r="CZ33" s="80" t="s">
        <v>230</v>
      </c>
      <c r="DA33" s="162" t="s">
        <v>230</v>
      </c>
      <c r="DB33" s="296"/>
      <c r="DC33" s="300"/>
      <c r="DD33" s="300">
        <f>DC33*3/5</f>
        <v>0</v>
      </c>
      <c r="DE33" s="296" t="s">
        <v>189</v>
      </c>
      <c r="DF33" s="296"/>
      <c r="DG33" s="296"/>
      <c r="DH33" s="299"/>
      <c r="DI33" s="296"/>
      <c r="DJ33" s="296"/>
      <c r="DK33" s="297" t="s">
        <v>178</v>
      </c>
      <c r="DL33" s="298"/>
      <c r="DM33" s="298"/>
      <c r="DN33" s="297"/>
      <c r="DO33" s="292"/>
      <c r="DP33" s="293"/>
      <c r="DQ33" s="304">
        <v>42360</v>
      </c>
      <c r="DR33" s="443"/>
      <c r="DS33" s="443"/>
      <c r="DT33" s="297">
        <v>18979814</v>
      </c>
      <c r="DU33" s="304">
        <f>DATE(YEAR(DQ33),MONTH(DQ33)+18,DAY(DQ33))</f>
        <v>42908</v>
      </c>
      <c r="DV33" s="443">
        <v>42360</v>
      </c>
      <c r="DW33" s="443"/>
      <c r="DX33" s="415">
        <v>42412</v>
      </c>
      <c r="DY33" s="415">
        <v>42310</v>
      </c>
      <c r="DZ33" s="415">
        <v>42622</v>
      </c>
      <c r="EA33" s="413">
        <v>42139</v>
      </c>
      <c r="EB33" s="413"/>
      <c r="EC33" s="429">
        <v>24</v>
      </c>
      <c r="ED33" s="429">
        <f>EC33+2</f>
        <v>26</v>
      </c>
      <c r="EE33" s="422">
        <f>DATEDIF(EA33,EN33,"M")</f>
        <v>28</v>
      </c>
      <c r="EF33" s="422">
        <f>DATEDIF(EA33,EV33,"M")</f>
        <v>32</v>
      </c>
      <c r="EG33" s="422">
        <f>EE33-EC33</f>
        <v>4</v>
      </c>
      <c r="EH33" s="422"/>
      <c r="EI33" s="410">
        <f>457276.500186631/12</f>
        <v>38106.375015552585</v>
      </c>
      <c r="EJ33" s="410">
        <f>EI33*(EE33-EC33)</f>
        <v>152425.50006221034</v>
      </c>
      <c r="EK33" s="221">
        <v>42712</v>
      </c>
      <c r="EL33" s="110"/>
      <c r="EM33" s="110"/>
      <c r="EN33" s="227">
        <f>DATE(YEAR(EA33),MONTH(EA33)+EC33+4,DAY(EA33))</f>
        <v>42993</v>
      </c>
      <c r="EO33" s="223">
        <f>DATE(YEAR(DV33)+2,MONTH(DV33),DAY(DV33))</f>
        <v>43091</v>
      </c>
      <c r="EP33" s="223"/>
      <c r="EQ33" s="110"/>
      <c r="ER33" s="110"/>
      <c r="ES33" s="110"/>
      <c r="ET33" s="413"/>
      <c r="EU33" s="227">
        <f>DATE(YEAR(EN33),MONTH(EN33)+1,DAY(EN33))</f>
        <v>43023</v>
      </c>
      <c r="EV33" s="206">
        <f>DATE(YEAR(EU33),MONTH(EU33)+3,DAY(EU33))</f>
        <v>43115</v>
      </c>
      <c r="EW33" s="211"/>
      <c r="EX33" s="331"/>
      <c r="EY33" s="212" t="s">
        <v>892</v>
      </c>
      <c r="EZ33" s="212"/>
      <c r="FA33" s="212"/>
      <c r="FB33" s="212"/>
      <c r="FC33" s="212"/>
      <c r="FD33" s="110"/>
      <c r="FE33" s="110"/>
      <c r="FF33" s="110"/>
      <c r="FG33" s="110"/>
      <c r="FH33" s="110"/>
      <c r="FI33" s="110"/>
      <c r="FJ33" s="110"/>
      <c r="FK33" s="110"/>
      <c r="FL33" s="110"/>
      <c r="FM33" s="110"/>
      <c r="FN33" s="110"/>
      <c r="FO33" s="110"/>
      <c r="FP33" s="195" t="s">
        <v>168</v>
      </c>
      <c r="FQ33" s="23">
        <f>+GA33+GE33+GL33+HF33</f>
        <v>14323814</v>
      </c>
      <c r="FR33" s="24">
        <f>GB33+GF33+GM33+HF33</f>
        <v>14364754</v>
      </c>
      <c r="FS33" s="25">
        <f>FR33-FQ33</f>
        <v>40940</v>
      </c>
      <c r="FT33" s="25">
        <f>FR33/AG33</f>
        <v>1949.6243193502678</v>
      </c>
      <c r="FU33" s="25">
        <f>FR33/AD33</f>
        <v>173069.32530120481</v>
      </c>
      <c r="FV33" s="23">
        <v>13043765</v>
      </c>
      <c r="FW33" s="24">
        <v>12989943</v>
      </c>
      <c r="FX33" s="25">
        <f>FW33-FV33</f>
        <v>-53822</v>
      </c>
      <c r="FY33" s="231">
        <f>FV33*1.021/FQ33</f>
        <v>0.92975823792461976</v>
      </c>
      <c r="FZ33" s="232"/>
      <c r="GA33" s="23">
        <v>4234760</v>
      </c>
      <c r="GB33" s="24">
        <v>4422509</v>
      </c>
      <c r="GC33" s="50">
        <f>GB33/AD33</f>
        <v>53283.240963855424</v>
      </c>
      <c r="GD33" s="73">
        <f>GB33-GA33</f>
        <v>187749</v>
      </c>
      <c r="GE33" s="23">
        <v>8429054</v>
      </c>
      <c r="GF33" s="24">
        <f>+GG33+GH33</f>
        <v>8282245</v>
      </c>
      <c r="GG33" s="26">
        <v>1278025</v>
      </c>
      <c r="GH33" s="26">
        <v>7004220</v>
      </c>
      <c r="GI33" s="73">
        <f>GF33-GE33</f>
        <v>-146809</v>
      </c>
      <c r="GJ33" s="50">
        <f>GF33/AD33</f>
        <v>99786.084337349399</v>
      </c>
      <c r="GK33" s="24"/>
      <c r="GL33" s="23">
        <v>1660000</v>
      </c>
      <c r="GM33" s="24">
        <v>1660000</v>
      </c>
      <c r="GN33" s="124"/>
      <c r="GO33" s="76">
        <f>GM33/FR33</f>
        <v>0.11556062846603568</v>
      </c>
      <c r="GP33" s="590"/>
      <c r="GQ33" s="24">
        <v>0</v>
      </c>
      <c r="GR33" s="51">
        <f>GM33-GL33</f>
        <v>0</v>
      </c>
      <c r="GS33" s="50">
        <f>GM33/AD33</f>
        <v>20000</v>
      </c>
      <c r="GT33" s="98"/>
      <c r="GU33" s="51">
        <f>GR33/AD33</f>
        <v>0</v>
      </c>
      <c r="GV33" s="97"/>
      <c r="GW33" s="97"/>
      <c r="GX33" s="75">
        <v>2467086.73961312</v>
      </c>
      <c r="GY33" s="75">
        <v>1660000</v>
      </c>
      <c r="GZ33" s="50">
        <f>(GB33+GM33+GY33)/AD33</f>
        <v>93283.240963855424</v>
      </c>
      <c r="HA33" s="75">
        <v>0</v>
      </c>
      <c r="HB33" s="50">
        <f>(GB33+GM33+GY33+HA33)/AD33</f>
        <v>93283.240963855424</v>
      </c>
      <c r="HC33" s="99">
        <f>(GB33+GM33+GY33+HA33)/(GX33+FR33-HD33)</f>
        <v>0.48204765382887399</v>
      </c>
      <c r="HD33" s="75">
        <v>770132.02990000008</v>
      </c>
      <c r="HE33" s="75"/>
      <c r="HF33" s="24">
        <v>0</v>
      </c>
      <c r="HG33" s="77">
        <f>FR33+GX33</f>
        <v>16831840.73961312</v>
      </c>
      <c r="HH33" s="491">
        <v>965006</v>
      </c>
      <c r="HI33" s="491"/>
      <c r="HJ33" s="494"/>
      <c r="HK33" s="491"/>
      <c r="HL33" s="415">
        <v>41101</v>
      </c>
      <c r="HM33" s="415">
        <f>DATE(YEAR(HL33),MONTH(HL33),DAY(HL33)+21)</f>
        <v>41122</v>
      </c>
      <c r="HN33" s="415">
        <v>41122</v>
      </c>
      <c r="HO33" s="497">
        <f>IF(AND(HM33&gt;0,HN33&gt;0),HN33-HM33,"0")</f>
        <v>0</v>
      </c>
      <c r="HP33" s="415">
        <v>41134</v>
      </c>
      <c r="HQ33" s="481">
        <f>IF(AND(HN33&gt;0,HP33&gt;0),HP33-HN33,"0")</f>
        <v>12</v>
      </c>
      <c r="HR33" s="497">
        <f>+HQ33-30</f>
        <v>-18</v>
      </c>
      <c r="HS33" s="506">
        <f>IF(AND(HL33&gt;0,HP33&gt;0),HP33-HL33,"0")</f>
        <v>33</v>
      </c>
      <c r="HT33" s="415">
        <v>41184</v>
      </c>
      <c r="HU33" s="497">
        <f>IF(AND(HP33&gt;0,HT33&gt;0),HT33-HP33,"0")</f>
        <v>50</v>
      </c>
      <c r="HV33" s="415">
        <f>DATE(YEAR(HT33),MONTH(HT33),DAY(HT33)+21)</f>
        <v>41205</v>
      </c>
      <c r="HW33" s="415">
        <v>41261</v>
      </c>
      <c r="HX33" s="497">
        <f>IF(AND(HV33&gt;0,HW33&gt;0),HW33-HV33,"0")</f>
        <v>56</v>
      </c>
      <c r="HY33" s="415">
        <v>41401</v>
      </c>
      <c r="HZ33" s="481">
        <f>IF(AND(HW33&gt;0,HY33&gt;0),HY33-HW33,"0")</f>
        <v>140</v>
      </c>
      <c r="IA33" s="497">
        <f>+HZ33-30</f>
        <v>110</v>
      </c>
      <c r="IB33" s="506">
        <f>IF(AND(HT33&gt;0,HY33&gt;0),HY33-HT33,"0")</f>
        <v>217</v>
      </c>
      <c r="IC33" s="490"/>
      <c r="ID33" s="491"/>
      <c r="IE33" s="415">
        <v>41261</v>
      </c>
      <c r="IF33" s="415">
        <v>41262</v>
      </c>
      <c r="IG33" s="494"/>
      <c r="IH33" s="491"/>
      <c r="II33" s="347">
        <v>41407</v>
      </c>
      <c r="IJ33" s="497">
        <f>IF(AND(HY33&gt;0,II33&gt;0),II33-HY33,"0")</f>
        <v>6</v>
      </c>
      <c r="IK33" s="347">
        <f>DATE(YEAR(II33),MONTH(II33),DAY(II33)+30)</f>
        <v>41437</v>
      </c>
      <c r="IL33" s="347">
        <v>41439</v>
      </c>
      <c r="IM33" s="497">
        <f>IF(AND(IK33&gt;0,IL33&gt;0),IL33-IK33,"0")</f>
        <v>2</v>
      </c>
      <c r="IN33" s="347">
        <v>41463</v>
      </c>
      <c r="IO33" s="481">
        <f>IF(AND(IL33&gt;0,IN33&gt;0),IN33-IL33,"0")</f>
        <v>24</v>
      </c>
      <c r="IP33" s="497">
        <f>+IO33-30</f>
        <v>-6</v>
      </c>
      <c r="IQ33" s="506">
        <f>IF(AND(II33&gt;0,IN33&gt;0),IN33-II33,"0")</f>
        <v>56</v>
      </c>
      <c r="IR33" s="490"/>
      <c r="IS33" s="491"/>
      <c r="IT33" s="347">
        <v>41463</v>
      </c>
      <c r="IU33" s="498">
        <f>IF(AND(IN33&gt;0,IT33&gt;0),IT33-IN33,"0")</f>
        <v>0</v>
      </c>
      <c r="IV33" s="347">
        <f>DATE(YEAR(IT33),MONTH(IT33),DAY(IT33)+30)</f>
        <v>41493</v>
      </c>
      <c r="IW33" s="347">
        <v>41508</v>
      </c>
      <c r="IX33" s="498">
        <f>IF(AND(IV33&gt;0,IW33&gt;0),IW33-IV33,"0")</f>
        <v>15</v>
      </c>
      <c r="IY33" s="347">
        <v>41536</v>
      </c>
      <c r="IZ33" s="482">
        <f>IF(AND(IW33&gt;0,IY33&gt;0),IY33-IW33,"0")</f>
        <v>28</v>
      </c>
      <c r="JA33" s="498">
        <f>IZ33-30</f>
        <v>-2</v>
      </c>
      <c r="JB33" s="508">
        <f>IF(AND(IT33&gt;0,IY33&gt;0),IY33-IT33,"0")</f>
        <v>73</v>
      </c>
      <c r="JC33" s="490"/>
      <c r="JD33" s="491"/>
      <c r="JE33" s="347">
        <f>IY33</f>
        <v>41536</v>
      </c>
      <c r="JF33" s="487">
        <f>IF(AND(IY33&gt;0,JE33&gt;0),JE33-IY33,"0")</f>
        <v>0</v>
      </c>
      <c r="JG33" s="347">
        <f>JE33</f>
        <v>41536</v>
      </c>
      <c r="JH33" s="347">
        <v>41536</v>
      </c>
      <c r="JI33" s="487">
        <f>IF(AND(JG33&gt;0,JH33&gt;0),JH33-JG33,"0")</f>
        <v>0</v>
      </c>
      <c r="JJ33" s="347">
        <f>DATE(YEAR(JH33),MONTH(JH33),DAY(JH33)+15)</f>
        <v>41551</v>
      </c>
      <c r="JK33" s="347">
        <v>41536</v>
      </c>
      <c r="JL33" s="487">
        <f>IF(AND(JJ33&gt;0,JK33&gt;0),JK33-JJ33,"0")</f>
        <v>-15</v>
      </c>
      <c r="JM33" s="509">
        <f>IF(AND(JE33&gt;0,JK33&gt;0),JK33-JE33,"0")</f>
        <v>0</v>
      </c>
      <c r="JN33" s="541">
        <v>41593</v>
      </c>
      <c r="JO33" s="501">
        <f>IF(AND(JK33&gt;0,JN33&gt;0),JN33-JK33,"0")</f>
        <v>57</v>
      </c>
      <c r="JP33" s="498">
        <f>JO33-60</f>
        <v>-3</v>
      </c>
      <c r="JQ33" s="482">
        <f>291/30</f>
        <v>9.6999999999999993</v>
      </c>
      <c r="JR33" s="504">
        <f>((+HS33+HU33+IB33+IJ33+IQ33+IU33+JB33+JI33+JF33)/30)-JQ33</f>
        <v>4.8000000000000007</v>
      </c>
      <c r="JS33" s="490"/>
      <c r="JT33" s="491"/>
      <c r="JU33" s="490"/>
      <c r="JV33" s="491"/>
      <c r="JW33" s="586"/>
      <c r="JX33" s="586"/>
      <c r="JY33" s="586"/>
      <c r="JZ33" s="586"/>
    </row>
    <row r="34" spans="1:286" ht="66.75" hidden="1" customHeight="1" x14ac:dyDescent="0.25">
      <c r="A34" s="52" t="s">
        <v>542</v>
      </c>
      <c r="B34" s="20" t="s">
        <v>62</v>
      </c>
      <c r="C34" s="20" t="s">
        <v>158</v>
      </c>
      <c r="D34" s="20">
        <v>2013</v>
      </c>
      <c r="E34" s="20" t="s">
        <v>63</v>
      </c>
      <c r="F34" s="20" t="s">
        <v>511</v>
      </c>
      <c r="G34" s="20" t="s">
        <v>275</v>
      </c>
      <c r="H34" s="20" t="s">
        <v>244</v>
      </c>
      <c r="I34" s="110"/>
      <c r="J34" s="110"/>
      <c r="K34" s="453"/>
      <c r="L34" s="303" t="s">
        <v>80</v>
      </c>
      <c r="M34" s="190"/>
      <c r="N34" s="191"/>
      <c r="O34" s="379">
        <v>20161</v>
      </c>
      <c r="P34" s="379">
        <v>1550000</v>
      </c>
      <c r="Q34" s="379">
        <v>1105335</v>
      </c>
      <c r="R34" s="379">
        <f>P34/(110)</f>
        <v>14090.90909090909</v>
      </c>
      <c r="S34" s="379">
        <f>P34/O34</f>
        <v>76.88110708794207</v>
      </c>
      <c r="T34" s="379">
        <f>Q34/O34</f>
        <v>54.825405485838999</v>
      </c>
      <c r="U34" s="379">
        <f>Q34/(AH34+AH142)</f>
        <v>392.66733926833251</v>
      </c>
      <c r="V34" s="379">
        <f>Q34/(110)</f>
        <v>10048.5</v>
      </c>
      <c r="W34" s="379">
        <f>O34/(AD34+AD142)</f>
        <v>746.7037037037037</v>
      </c>
      <c r="X34" s="380"/>
      <c r="Y34" s="381">
        <f>(AH34+AH142)/O34</f>
        <v>0.13962303457169783</v>
      </c>
      <c r="Z34" s="380" t="s">
        <v>311</v>
      </c>
      <c r="AA34" s="382">
        <v>460</v>
      </c>
      <c r="AB34" s="383"/>
      <c r="AC34" s="20" t="s">
        <v>25</v>
      </c>
      <c r="AD34" s="640">
        <f>AE34+AF34</f>
        <v>27</v>
      </c>
      <c r="AE34" s="20">
        <v>27</v>
      </c>
      <c r="AF34" s="21"/>
      <c r="AG34" s="22">
        <v>2870.27</v>
      </c>
      <c r="AH34" s="139">
        <v>2814.94</v>
      </c>
      <c r="AI34" s="22">
        <f>AH34/AD34</f>
        <v>104.25703703703704</v>
      </c>
      <c r="AJ34" s="135">
        <v>0</v>
      </c>
      <c r="AK34" s="135">
        <v>0</v>
      </c>
      <c r="AL34" s="135">
        <v>0</v>
      </c>
      <c r="AM34" s="135">
        <f>19/AE34</f>
        <v>0.70370370370370372</v>
      </c>
      <c r="AN34" s="135">
        <f>8/AE34</f>
        <v>0.29629629629629628</v>
      </c>
      <c r="AO34" s="22">
        <v>12480</v>
      </c>
      <c r="AP34" s="133"/>
      <c r="AQ34" s="135">
        <f>AP34/O34</f>
        <v>0</v>
      </c>
      <c r="AR34" s="114">
        <v>3.5</v>
      </c>
      <c r="AS34" s="20"/>
      <c r="AT34" s="110" t="s">
        <v>316</v>
      </c>
      <c r="AU34" s="110" t="s">
        <v>178</v>
      </c>
      <c r="AV34" s="20" t="s">
        <v>168</v>
      </c>
      <c r="AW34" s="332">
        <v>41200</v>
      </c>
      <c r="AX34" s="332">
        <v>41170</v>
      </c>
      <c r="AY34" s="110"/>
      <c r="AZ34" s="110" t="s">
        <v>230</v>
      </c>
      <c r="BA34" s="540" t="s">
        <v>754</v>
      </c>
      <c r="BB34" s="540" t="s">
        <v>764</v>
      </c>
      <c r="BC34" s="540" t="s">
        <v>763</v>
      </c>
      <c r="BD34" s="540" t="s">
        <v>800</v>
      </c>
      <c r="BE34" s="332">
        <v>41400</v>
      </c>
      <c r="BF34" s="332">
        <v>41470</v>
      </c>
      <c r="BG34" s="332">
        <v>41501</v>
      </c>
      <c r="BH34" s="332">
        <v>41533</v>
      </c>
      <c r="BI34" s="110"/>
      <c r="BJ34" s="110"/>
      <c r="BK34" s="332">
        <v>41582</v>
      </c>
      <c r="BL34" s="110"/>
      <c r="BM34" s="110" t="s">
        <v>178</v>
      </c>
      <c r="BN34" s="194" t="s">
        <v>17</v>
      </c>
      <c r="BO34" s="194" t="s">
        <v>174</v>
      </c>
      <c r="BP34" s="196"/>
      <c r="BQ34" s="194" t="s">
        <v>174</v>
      </c>
      <c r="BR34" s="194" t="s">
        <v>174</v>
      </c>
      <c r="BS34" s="194" t="s">
        <v>368</v>
      </c>
      <c r="BT34" s="55"/>
      <c r="BU34" s="376">
        <v>41493</v>
      </c>
      <c r="BV34" s="160"/>
      <c r="BW34" s="160">
        <v>42116</v>
      </c>
      <c r="BX34" s="160" t="s">
        <v>168</v>
      </c>
      <c r="BY34" s="160">
        <v>41747</v>
      </c>
      <c r="BZ34" s="376">
        <v>42160</v>
      </c>
      <c r="CA34" s="160"/>
      <c r="CB34" s="301">
        <v>42163</v>
      </c>
      <c r="CC34" s="372">
        <v>42171</v>
      </c>
      <c r="CD34" s="302">
        <v>42263</v>
      </c>
      <c r="CE34" s="302">
        <v>42192</v>
      </c>
      <c r="CF34" s="570">
        <v>42255</v>
      </c>
      <c r="CG34" s="569">
        <f>DATE(YEAR(CF34),MONTH(CF34)+24,DAY(CF34))</f>
        <v>42986</v>
      </c>
      <c r="CH34" s="569">
        <f>DATE(YEAR(CF34),MONTH(CF34)+36,DAY(CF34))</f>
        <v>43351</v>
      </c>
      <c r="CI34" s="569" t="str">
        <f>IF(EV34&gt;CG34,"oui","non")</f>
        <v>oui</v>
      </c>
      <c r="CJ34" s="302" t="s">
        <v>178</v>
      </c>
      <c r="CK34" s="301" t="s">
        <v>516</v>
      </c>
      <c r="CL34" s="82" t="s">
        <v>230</v>
      </c>
      <c r="CM34" s="370" t="s">
        <v>230</v>
      </c>
      <c r="CN34" s="82" t="s">
        <v>230</v>
      </c>
      <c r="CO34" s="161" t="s">
        <v>230</v>
      </c>
      <c r="CP34" s="81">
        <v>42223</v>
      </c>
      <c r="CQ34" s="365">
        <v>42278</v>
      </c>
      <c r="CR34" s="81">
        <v>42306</v>
      </c>
      <c r="CS34" s="161"/>
      <c r="CT34" s="81" t="s">
        <v>230</v>
      </c>
      <c r="CU34" s="365" t="s">
        <v>230</v>
      </c>
      <c r="CV34" s="81" t="s">
        <v>230</v>
      </c>
      <c r="CW34" s="162" t="s">
        <v>230</v>
      </c>
      <c r="CX34" s="80" t="s">
        <v>230</v>
      </c>
      <c r="CY34" s="366" t="s">
        <v>230</v>
      </c>
      <c r="CZ34" s="80" t="s">
        <v>230</v>
      </c>
      <c r="DA34" s="162" t="s">
        <v>230</v>
      </c>
      <c r="DB34" s="296" t="s">
        <v>202</v>
      </c>
      <c r="DC34" s="300">
        <v>474895</v>
      </c>
      <c r="DD34" s="300">
        <f>DC34*3/5</f>
        <v>284937</v>
      </c>
      <c r="DE34" s="296" t="s">
        <v>189</v>
      </c>
      <c r="DF34" s="296"/>
      <c r="DG34" s="296"/>
      <c r="DH34" s="299"/>
      <c r="DI34" s="296"/>
      <c r="DJ34" s="296"/>
      <c r="DK34" s="297" t="s">
        <v>178</v>
      </c>
      <c r="DL34" s="298"/>
      <c r="DM34" s="298"/>
      <c r="DN34" s="297"/>
      <c r="DO34" s="292"/>
      <c r="DP34" s="293"/>
      <c r="DQ34" s="304">
        <v>42360</v>
      </c>
      <c r="DR34" s="443"/>
      <c r="DS34" s="443"/>
      <c r="DT34" s="297">
        <v>18979814</v>
      </c>
      <c r="DU34" s="304">
        <f>DATE(YEAR(DQ34),MONTH(DQ34)+18,DAY(DQ34))</f>
        <v>42908</v>
      </c>
      <c r="DV34" s="443">
        <v>42360</v>
      </c>
      <c r="DW34" s="443"/>
      <c r="DX34" s="415">
        <v>42412</v>
      </c>
      <c r="DY34" s="415">
        <v>42310</v>
      </c>
      <c r="DZ34" s="415">
        <v>42622</v>
      </c>
      <c r="EA34" s="413">
        <v>42139</v>
      </c>
      <c r="EB34" s="413"/>
      <c r="EC34" s="421">
        <v>24</v>
      </c>
      <c r="ED34" s="421">
        <f>EC34+2</f>
        <v>26</v>
      </c>
      <c r="EE34" s="422">
        <f>DATEDIF(EA34,EN34,"M")</f>
        <v>28</v>
      </c>
      <c r="EF34" s="422">
        <f>DATEDIF(EA34,EV34,"M")</f>
        <v>32</v>
      </c>
      <c r="EG34" s="422">
        <f>EE34-EC34</f>
        <v>4</v>
      </c>
      <c r="EH34" s="422"/>
      <c r="EI34" s="410">
        <f>209989.369681134/12</f>
        <v>17499.114140094502</v>
      </c>
      <c r="EJ34" s="410">
        <f>EI34*(EE34-EC34)</f>
        <v>69996.456560378007</v>
      </c>
      <c r="EK34" s="221">
        <v>42712</v>
      </c>
      <c r="EL34" s="223"/>
      <c r="EM34" s="223"/>
      <c r="EN34" s="227">
        <f>DATE(YEAR(EA34),MONTH(EA34)+EC34+4,DAY(EA34))</f>
        <v>42993</v>
      </c>
      <c r="EO34" s="544">
        <f>DATE(YEAR(DV34)+2,MONTH(DV34),DAY(DV34))</f>
        <v>43091</v>
      </c>
      <c r="EP34" s="223"/>
      <c r="EQ34" s="223"/>
      <c r="ER34" s="223"/>
      <c r="ES34" s="223"/>
      <c r="ET34" s="413"/>
      <c r="EU34" s="227">
        <f>DATE(YEAR(EN34),MONTH(EN34)+1,DAY(EN34))</f>
        <v>43023</v>
      </c>
      <c r="EV34" s="206">
        <f>DATE(YEAR(EU34),MONTH(EU34)+3,DAY(EU34))</f>
        <v>43115</v>
      </c>
      <c r="EW34" s="211" t="s">
        <v>506</v>
      </c>
      <c r="EX34" s="331"/>
      <c r="EY34" s="212" t="s">
        <v>892</v>
      </c>
      <c r="EZ34" s="212"/>
      <c r="FA34" s="212"/>
      <c r="FB34" s="212"/>
      <c r="FC34" s="212"/>
      <c r="FD34" s="110"/>
      <c r="FE34" s="110"/>
      <c r="FF34" s="110"/>
      <c r="FG34" s="110"/>
      <c r="FH34" s="110"/>
      <c r="FI34" s="110"/>
      <c r="FJ34" s="110"/>
      <c r="FK34" s="110"/>
      <c r="FL34" s="110"/>
      <c r="FM34" s="110"/>
      <c r="FN34" s="110"/>
      <c r="FO34" s="110"/>
      <c r="FP34" s="195" t="s">
        <v>168</v>
      </c>
      <c r="FQ34" s="23">
        <f>+GA34+GE34+GL34+HF34</f>
        <v>5546805</v>
      </c>
      <c r="FR34" s="24">
        <f>GB34+GF34+GM34+HF34</f>
        <v>5488129.9500000002</v>
      </c>
      <c r="FS34" s="25">
        <f>FR34-FQ34</f>
        <v>-58675.049999999814</v>
      </c>
      <c r="FT34" s="25">
        <f>FR34/AG34</f>
        <v>1912.0605204388437</v>
      </c>
      <c r="FU34" s="25">
        <f>FR34/AD34</f>
        <v>203264.07222222222</v>
      </c>
      <c r="FV34" s="23">
        <v>5057320</v>
      </c>
      <c r="FW34" s="24">
        <v>4965430</v>
      </c>
      <c r="FX34" s="25">
        <f>FW34-FV34</f>
        <v>-91890</v>
      </c>
      <c r="FY34" s="231">
        <f>FV34*1.021/FQ34</f>
        <v>0.93090053102641968</v>
      </c>
      <c r="FZ34" s="232"/>
      <c r="GA34" s="23">
        <v>1882322</v>
      </c>
      <c r="GB34" s="24">
        <v>1916369</v>
      </c>
      <c r="GC34" s="50">
        <f>GB34/AD34</f>
        <v>70976.629629629635</v>
      </c>
      <c r="GD34" s="73">
        <f>GB34-GA34</f>
        <v>34047</v>
      </c>
      <c r="GE34" s="23">
        <v>3664482</v>
      </c>
      <c r="GF34" s="24">
        <f>+GG34+GH34</f>
        <v>3571759.95</v>
      </c>
      <c r="GG34" s="26">
        <v>595108</v>
      </c>
      <c r="GH34" s="26">
        <v>2976651.95</v>
      </c>
      <c r="GI34" s="73">
        <f>GF34-GE34</f>
        <v>-92722.049999999814</v>
      </c>
      <c r="GJ34" s="50">
        <f>GF34/AD34</f>
        <v>132287.40555555557</v>
      </c>
      <c r="GK34" s="24"/>
      <c r="GL34" s="23">
        <v>1</v>
      </c>
      <c r="GM34" s="24">
        <v>1</v>
      </c>
      <c r="GN34" s="124"/>
      <c r="GO34" s="76">
        <f>GM34/FR34</f>
        <v>1.8221142886749611E-7</v>
      </c>
      <c r="GP34" s="590"/>
      <c r="GQ34" s="24">
        <v>0</v>
      </c>
      <c r="GR34" s="51">
        <f>GM34-GL34</f>
        <v>0</v>
      </c>
      <c r="GS34" s="50">
        <f>GM34/AD34</f>
        <v>3.7037037037037035E-2</v>
      </c>
      <c r="GT34" s="98"/>
      <c r="GU34" s="51">
        <f>GR34/AD34</f>
        <v>0</v>
      </c>
      <c r="GV34" s="97"/>
      <c r="GW34" s="97"/>
      <c r="GX34" s="75">
        <v>1015690.2065916295</v>
      </c>
      <c r="GY34" s="75">
        <v>540000</v>
      </c>
      <c r="GZ34" s="50">
        <f>(GB34+GM34+GY34)/AD34</f>
        <v>90976.666666666672</v>
      </c>
      <c r="HA34" s="75">
        <v>0</v>
      </c>
      <c r="HB34" s="50">
        <f>(GB34+GM34+GY34+HA34)/AD34</f>
        <v>90976.666666666672</v>
      </c>
      <c r="HC34" s="99">
        <f>(GB34+GM34+GY34+HA34)/(GX34+FR34-HD34)</f>
        <v>0.39970846321114534</v>
      </c>
      <c r="HD34" s="75">
        <v>358416.12820000004</v>
      </c>
      <c r="HE34" s="75"/>
      <c r="HF34" s="24">
        <v>0</v>
      </c>
      <c r="HG34" s="77">
        <f>FR34+GX34</f>
        <v>6503820.1565916296</v>
      </c>
      <c r="HH34" s="491">
        <v>965006</v>
      </c>
      <c r="HI34" s="491"/>
      <c r="HJ34" s="494">
        <v>41090</v>
      </c>
      <c r="HK34" s="491">
        <v>96501</v>
      </c>
      <c r="HL34" s="415">
        <v>41101</v>
      </c>
      <c r="HM34" s="415">
        <f>DATE(YEAR(HL34),MONTH(HL34),DAY(HL34)+21)</f>
        <v>41122</v>
      </c>
      <c r="HN34" s="415">
        <v>41122</v>
      </c>
      <c r="HO34" s="497">
        <f>IF(AND(HM34&gt;0,HN34&gt;0),HN34-HM34,"0")</f>
        <v>0</v>
      </c>
      <c r="HP34" s="415">
        <v>41134</v>
      </c>
      <c r="HQ34" s="481">
        <f>IF(AND(HN34&gt;0,HP34&gt;0),HP34-HN34,"0")</f>
        <v>12</v>
      </c>
      <c r="HR34" s="497">
        <f>+HQ34-30</f>
        <v>-18</v>
      </c>
      <c r="HS34" s="506">
        <f>IF(AND(HL34&gt;0,HP34&gt;0),HP34-HL34,"0")</f>
        <v>33</v>
      </c>
      <c r="HT34" s="415">
        <v>41184</v>
      </c>
      <c r="HU34" s="497">
        <f>IF(AND(HP34&gt;0,HT34&gt;0),HT34-HP34,"0")</f>
        <v>50</v>
      </c>
      <c r="HV34" s="415">
        <f>DATE(YEAR(HT34),MONTH(HT34),DAY(HT34)+21)</f>
        <v>41205</v>
      </c>
      <c r="HW34" s="415">
        <v>41261</v>
      </c>
      <c r="HX34" s="497">
        <f>IF(AND(HV34&gt;0,HW34&gt;0),HW34-HV34,"0")</f>
        <v>56</v>
      </c>
      <c r="HY34" s="415">
        <v>41401</v>
      </c>
      <c r="HZ34" s="481">
        <f>IF(AND(HW34&gt;0,HY34&gt;0),HY34-HW34,"0")</f>
        <v>140</v>
      </c>
      <c r="IA34" s="497">
        <f>+HZ34-30</f>
        <v>110</v>
      </c>
      <c r="IB34" s="506">
        <f>IF(AND(HT34&gt;0,HY34&gt;0),HY34-HT34,"0")</f>
        <v>217</v>
      </c>
      <c r="IC34" s="490">
        <v>41401</v>
      </c>
      <c r="ID34" s="491">
        <v>48250</v>
      </c>
      <c r="IE34" s="415">
        <v>41261</v>
      </c>
      <c r="IF34" s="415">
        <v>41262</v>
      </c>
      <c r="IG34" s="494">
        <v>41262</v>
      </c>
      <c r="IH34" s="491">
        <v>96501</v>
      </c>
      <c r="II34" s="347">
        <v>41407</v>
      </c>
      <c r="IJ34" s="497">
        <f>IF(AND(HY34&gt;0,II34&gt;0),II34-HY34,"0")</f>
        <v>6</v>
      </c>
      <c r="IK34" s="347">
        <f>DATE(YEAR(II34),MONTH(II34),DAY(II34)+30)</f>
        <v>41437</v>
      </c>
      <c r="IL34" s="347">
        <v>41439</v>
      </c>
      <c r="IM34" s="497">
        <f>IF(AND(IK34&gt;0,IL34&gt;0),IL34-IK34,"0")</f>
        <v>2</v>
      </c>
      <c r="IN34" s="347">
        <v>41463</v>
      </c>
      <c r="IO34" s="481">
        <f>IF(AND(IL34&gt;0,IN34&gt;0),IN34-IL34,"0")</f>
        <v>24</v>
      </c>
      <c r="IP34" s="497">
        <f>+IO34-30</f>
        <v>-6</v>
      </c>
      <c r="IQ34" s="506">
        <f>IF(AND(II34&gt;0,IN34&gt;0),IN34-II34,"0")</f>
        <v>56</v>
      </c>
      <c r="IR34" s="490">
        <v>41485</v>
      </c>
      <c r="IS34" s="491">
        <v>96501</v>
      </c>
      <c r="IT34" s="347">
        <v>41463</v>
      </c>
      <c r="IU34" s="498">
        <f>IF(AND(IN34&gt;0,IT34&gt;0),IT34-IN34,"0")</f>
        <v>0</v>
      </c>
      <c r="IV34" s="347">
        <f>DATE(YEAR(IT34),MONTH(IT34),DAY(IT34)+30)</f>
        <v>41493</v>
      </c>
      <c r="IW34" s="347">
        <v>41508</v>
      </c>
      <c r="IX34" s="498">
        <f>IF(AND(IV34&gt;0,IW34&gt;0),IW34-IV34,"0")</f>
        <v>15</v>
      </c>
      <c r="IY34" s="347">
        <v>41536</v>
      </c>
      <c r="IZ34" s="482">
        <f>IF(AND(IW34&gt;0,IY34&gt;0),IY34-IW34,"0")</f>
        <v>28</v>
      </c>
      <c r="JA34" s="498">
        <f>IZ34-30</f>
        <v>-2</v>
      </c>
      <c r="JB34" s="508">
        <f>IF(AND(IT34&gt;0,IY34&gt;0),IY34-IT34,"0")</f>
        <v>73</v>
      </c>
      <c r="JC34" s="490">
        <v>41570</v>
      </c>
      <c r="JD34" s="491">
        <v>144751</v>
      </c>
      <c r="JE34" s="347">
        <f>IY34</f>
        <v>41536</v>
      </c>
      <c r="JF34" s="487">
        <f>IF(AND(IY34&gt;0,JE34&gt;0),JE34-IY34,"0")</f>
        <v>0</v>
      </c>
      <c r="JG34" s="347">
        <f>JE34</f>
        <v>41536</v>
      </c>
      <c r="JH34" s="347">
        <v>41536</v>
      </c>
      <c r="JI34" s="487">
        <f>IF(AND(JG34&gt;0,JH34&gt;0),JH34-JG34,"0")</f>
        <v>0</v>
      </c>
      <c r="JJ34" s="347">
        <f>DATE(YEAR(JH34),MONTH(JH34),DAY(JH34)+15)</f>
        <v>41551</v>
      </c>
      <c r="JK34" s="347">
        <v>41536</v>
      </c>
      <c r="JL34" s="487">
        <f>IF(AND(JJ34&gt;0,JK34&gt;0),JK34-JJ34,"0")</f>
        <v>-15</v>
      </c>
      <c r="JM34" s="509">
        <f>IF(AND(JE34&gt;0,JK34&gt;0),JK34-JE34,"0")</f>
        <v>0</v>
      </c>
      <c r="JN34" s="541">
        <v>41593</v>
      </c>
      <c r="JO34" s="501">
        <f>IF(AND(JK34&gt;0,JN34&gt;0),JN34-JK34,"0")</f>
        <v>57</v>
      </c>
      <c r="JP34" s="498">
        <f>JO34-60</f>
        <v>-3</v>
      </c>
      <c r="JQ34" s="482">
        <f>291/30</f>
        <v>9.6999999999999993</v>
      </c>
      <c r="JR34" s="504">
        <f>((+HS34+HU34+IB34+IJ34+IQ34+IU34+JB34+JI34+JF34)/30)-JQ34</f>
        <v>4.8000000000000007</v>
      </c>
      <c r="JS34" s="490"/>
      <c r="JT34" s="491"/>
      <c r="JU34" s="490"/>
      <c r="JV34" s="491"/>
      <c r="JW34" s="586"/>
      <c r="JX34" s="586"/>
      <c r="JY34" s="586"/>
      <c r="JZ34" s="586"/>
    </row>
    <row r="35" spans="1:286" ht="108.75" hidden="1" customHeight="1" x14ac:dyDescent="0.25">
      <c r="A35" s="52" t="s">
        <v>69</v>
      </c>
      <c r="B35" s="20" t="s">
        <v>38</v>
      </c>
      <c r="C35" s="20" t="s">
        <v>157</v>
      </c>
      <c r="D35" s="20">
        <v>2013</v>
      </c>
      <c r="E35" s="20" t="s">
        <v>70</v>
      </c>
      <c r="F35" s="20" t="s">
        <v>40</v>
      </c>
      <c r="G35" s="20" t="s">
        <v>273</v>
      </c>
      <c r="H35" s="20" t="s">
        <v>244</v>
      </c>
      <c r="I35" s="110"/>
      <c r="J35" s="110"/>
      <c r="K35" s="453"/>
      <c r="L35" s="303" t="s">
        <v>85</v>
      </c>
      <c r="M35" s="190" t="s">
        <v>86</v>
      </c>
      <c r="N35" s="191"/>
      <c r="O35" s="379">
        <f>4015+535</f>
        <v>4550</v>
      </c>
      <c r="P35" s="379">
        <v>298500</v>
      </c>
      <c r="Q35" s="379">
        <v>122015</v>
      </c>
      <c r="R35" s="379">
        <f>P35/15</f>
        <v>19900</v>
      </c>
      <c r="S35" s="379">
        <f>P35/O35</f>
        <v>65.604395604395606</v>
      </c>
      <c r="T35" s="387">
        <f>Q35/O35</f>
        <v>26.816483516483515</v>
      </c>
      <c r="U35" s="387">
        <f>Q35/AH35</f>
        <v>103.92126802429075</v>
      </c>
      <c r="V35" s="387">
        <f>Q35/AD35</f>
        <v>8134.333333333333</v>
      </c>
      <c r="W35" s="379">
        <f>O35/AD35</f>
        <v>303.33333333333331</v>
      </c>
      <c r="X35" s="380"/>
      <c r="Y35" s="381">
        <f>AH35/O35</f>
        <v>0.25804615384615381</v>
      </c>
      <c r="Z35" s="380" t="s">
        <v>308</v>
      </c>
      <c r="AA35" s="382"/>
      <c r="AB35" s="383"/>
      <c r="AC35" s="20" t="s">
        <v>26</v>
      </c>
      <c r="AD35" s="640">
        <f>AE35+AF35</f>
        <v>15</v>
      </c>
      <c r="AE35" s="21"/>
      <c r="AF35" s="20">
        <v>15</v>
      </c>
      <c r="AG35" s="22">
        <v>1160.5899999999999</v>
      </c>
      <c r="AH35" s="139">
        <v>1174.1099999999999</v>
      </c>
      <c r="AI35" s="22">
        <f>AH35/AD35</f>
        <v>78.273999999999987</v>
      </c>
      <c r="AJ35" s="116"/>
      <c r="AK35" s="116"/>
      <c r="AL35" s="116"/>
      <c r="AM35" s="116"/>
      <c r="AN35" s="116"/>
      <c r="AO35" s="22"/>
      <c r="AP35" s="133"/>
      <c r="AQ35" s="135">
        <f>AP35/O35</f>
        <v>0</v>
      </c>
      <c r="AR35" s="114">
        <v>1.5</v>
      </c>
      <c r="AS35" s="20"/>
      <c r="AT35" s="110"/>
      <c r="AU35" s="110" t="s">
        <v>178</v>
      </c>
      <c r="AV35" s="20"/>
      <c r="AW35" s="332">
        <v>40855</v>
      </c>
      <c r="AX35" s="110"/>
      <c r="AY35" s="332">
        <v>40963</v>
      </c>
      <c r="AZ35" s="332" t="s">
        <v>230</v>
      </c>
      <c r="BA35" s="332"/>
      <c r="BB35" s="332"/>
      <c r="BC35" s="332"/>
      <c r="BD35" s="332"/>
      <c r="BE35" s="332">
        <v>41635</v>
      </c>
      <c r="BF35" s="332">
        <v>42194</v>
      </c>
      <c r="BG35" s="332">
        <v>42241</v>
      </c>
      <c r="BH35" s="332">
        <v>42256</v>
      </c>
      <c r="BI35" s="332"/>
      <c r="BJ35" s="332"/>
      <c r="BK35" s="332"/>
      <c r="BL35" s="332" t="s">
        <v>178</v>
      </c>
      <c r="BM35" s="332" t="s">
        <v>178</v>
      </c>
      <c r="BN35" s="194" t="s">
        <v>17</v>
      </c>
      <c r="BO35" s="194" t="s">
        <v>174</v>
      </c>
      <c r="BP35" s="196"/>
      <c r="BQ35" s="194" t="s">
        <v>174</v>
      </c>
      <c r="BR35" s="194" t="s">
        <v>174</v>
      </c>
      <c r="BS35" s="194" t="s">
        <v>197</v>
      </c>
      <c r="BT35" s="55"/>
      <c r="BU35" s="376">
        <v>41596</v>
      </c>
      <c r="BV35" s="341"/>
      <c r="BW35" s="160">
        <v>42298</v>
      </c>
      <c r="BX35" s="160" t="s">
        <v>168</v>
      </c>
      <c r="BY35" s="341" t="s">
        <v>509</v>
      </c>
      <c r="BZ35" s="377" t="s">
        <v>514</v>
      </c>
      <c r="CA35" s="341">
        <v>42291</v>
      </c>
      <c r="CB35" s="301">
        <v>41550</v>
      </c>
      <c r="CC35" s="372" t="s">
        <v>178</v>
      </c>
      <c r="CD35" s="302">
        <f>DATE(YEAR(CB35),MONTH(CB35)+3,DAY(CB35))</f>
        <v>41642</v>
      </c>
      <c r="CE35" s="302" t="s">
        <v>178</v>
      </c>
      <c r="CF35" s="570">
        <v>41818</v>
      </c>
      <c r="CG35" s="569">
        <f>DATE(YEAR(CF35),MONTH(CF35)+24,DAY(CF35))</f>
        <v>42549</v>
      </c>
      <c r="CH35" s="569">
        <f>DATE(YEAR(CF35),MONTH(CF35)+36,DAY(CF35))</f>
        <v>42914</v>
      </c>
      <c r="CI35" s="569" t="str">
        <f>IF(EV35&gt;CG35,"oui","non")</f>
        <v>oui</v>
      </c>
      <c r="CJ35" s="302"/>
      <c r="CK35" s="305" t="s">
        <v>507</v>
      </c>
      <c r="CL35" s="82">
        <v>41773</v>
      </c>
      <c r="CM35" s="370">
        <v>41842</v>
      </c>
      <c r="CN35" s="80">
        <v>41870</v>
      </c>
      <c r="CO35" s="166"/>
      <c r="CP35" s="81">
        <v>41773</v>
      </c>
      <c r="CQ35" s="365">
        <v>41813</v>
      </c>
      <c r="CR35" s="80">
        <v>41893</v>
      </c>
      <c r="CS35" s="166"/>
      <c r="CT35" s="80">
        <v>41773</v>
      </c>
      <c r="CU35" s="366">
        <v>41794</v>
      </c>
      <c r="CV35" s="80">
        <v>41822</v>
      </c>
      <c r="CW35" s="166"/>
      <c r="CX35" s="80">
        <v>41773</v>
      </c>
      <c r="CY35" s="366">
        <v>41814</v>
      </c>
      <c r="CZ35" s="80">
        <v>41829</v>
      </c>
      <c r="DA35" s="166"/>
      <c r="DB35" s="296" t="s">
        <v>88</v>
      </c>
      <c r="DC35" s="300">
        <v>56629</v>
      </c>
      <c r="DD35" s="300">
        <f>DC35*3/5</f>
        <v>33977.4</v>
      </c>
      <c r="DE35" s="296" t="s">
        <v>196</v>
      </c>
      <c r="DF35" s="296" t="s">
        <v>198</v>
      </c>
      <c r="DG35" s="296" t="s">
        <v>178</v>
      </c>
      <c r="DH35" s="299"/>
      <c r="DI35" s="296" t="s">
        <v>178</v>
      </c>
      <c r="DJ35" s="296" t="s">
        <v>178</v>
      </c>
      <c r="DK35" s="297"/>
      <c r="DL35" s="298"/>
      <c r="DM35" s="298"/>
      <c r="DN35" s="297"/>
      <c r="DO35" s="292" t="s">
        <v>178</v>
      </c>
      <c r="DP35" s="293"/>
      <c r="DQ35" s="304">
        <v>42340</v>
      </c>
      <c r="DR35" s="443"/>
      <c r="DS35" s="443"/>
      <c r="DT35" s="297"/>
      <c r="DU35" s="304">
        <f>DATE(YEAR(DQ35),MONTH(DQ35)+18,DAY(DQ35))</f>
        <v>42888</v>
      </c>
      <c r="DV35" s="443">
        <v>42535</v>
      </c>
      <c r="DW35" s="443"/>
      <c r="DX35" s="415" t="s">
        <v>178</v>
      </c>
      <c r="DY35" s="415">
        <v>42474</v>
      </c>
      <c r="DZ35" s="221">
        <v>42641</v>
      </c>
      <c r="EA35" s="413">
        <v>42341</v>
      </c>
      <c r="EB35" s="428" t="s">
        <v>230</v>
      </c>
      <c r="EC35" s="428">
        <v>13</v>
      </c>
      <c r="ED35" s="428">
        <f>EC35+2</f>
        <v>15</v>
      </c>
      <c r="EE35" s="422">
        <f>DATEDIF(EA35,EN35,"M")</f>
        <v>14</v>
      </c>
      <c r="EF35" s="422">
        <f>DATEDIF(EA35,EV35,"M")</f>
        <v>15</v>
      </c>
      <c r="EG35" s="422">
        <f>EE35-EC35</f>
        <v>1</v>
      </c>
      <c r="EH35" s="422"/>
      <c r="EI35" s="410">
        <f>56856.5334543356/12</f>
        <v>4738.044454527967</v>
      </c>
      <c r="EJ35" s="410">
        <f>EI35*(EE35-EC35)</f>
        <v>4738.044454527967</v>
      </c>
      <c r="EK35" s="545" t="s">
        <v>813</v>
      </c>
      <c r="EL35" s="223"/>
      <c r="EM35" s="223"/>
      <c r="EN35" s="227">
        <v>42795</v>
      </c>
      <c r="EO35" s="223">
        <f>DATE(YEAR(DV35)+2,MONTH(DV35),DAY(DV35))</f>
        <v>43265</v>
      </c>
      <c r="EP35" s="223"/>
      <c r="EQ35" s="226"/>
      <c r="ER35" s="226"/>
      <c r="ES35" s="226"/>
      <c r="ET35" s="226"/>
      <c r="EU35" s="227">
        <f>DATE(YEAR(EN35),MONTH(EN35)+1,DAY(EN35))</f>
        <v>42826</v>
      </c>
      <c r="EV35" s="230">
        <f>DATE(YEAR(EU35),MONTH(EU35),DAY(EU35))</f>
        <v>42826</v>
      </c>
      <c r="EW35" s="206">
        <v>42765</v>
      </c>
      <c r="EX35" s="579" t="s">
        <v>973</v>
      </c>
      <c r="EY35" s="330" t="s">
        <v>907</v>
      </c>
      <c r="EZ35" s="212"/>
      <c r="FA35" s="212"/>
      <c r="FB35" s="212"/>
      <c r="FC35" s="212"/>
      <c r="FD35" s="110"/>
      <c r="FE35" s="110"/>
      <c r="FF35" s="110"/>
      <c r="FG35" s="110"/>
      <c r="FH35" s="110"/>
      <c r="FI35" s="110"/>
      <c r="FJ35" s="110"/>
      <c r="FK35" s="110"/>
      <c r="FL35" s="110"/>
      <c r="FM35" s="110"/>
      <c r="FN35" s="110"/>
      <c r="FO35" s="110"/>
      <c r="FP35" s="195"/>
      <c r="FQ35" s="23">
        <f>+GA35+GE35+GL35+HF35</f>
        <v>2776975.73</v>
      </c>
      <c r="FR35" s="24">
        <f>GB35+GF35+GM35+HF35</f>
        <v>2890980.73</v>
      </c>
      <c r="FS35" s="25">
        <f>FR35-FQ35</f>
        <v>114005</v>
      </c>
      <c r="FT35" s="25">
        <f>FR35/AG35</f>
        <v>2490.9578145598362</v>
      </c>
      <c r="FU35" s="25">
        <f>FR35/AD35</f>
        <v>192732.04866666667</v>
      </c>
      <c r="FV35" s="23">
        <v>2132208</v>
      </c>
      <c r="FW35" s="24">
        <v>2403709.4727445007</v>
      </c>
      <c r="FX35" s="25">
        <f>FW35-FV35</f>
        <v>271501.47274450073</v>
      </c>
      <c r="FY35" s="231">
        <f>FV35*1.021/FQ35</f>
        <v>0.7839407253299977</v>
      </c>
      <c r="FZ35" s="232"/>
      <c r="GA35" s="23">
        <v>646677</v>
      </c>
      <c r="GB35" s="24">
        <v>775066</v>
      </c>
      <c r="GC35" s="50">
        <f>GB35/AD35</f>
        <v>51671.066666666666</v>
      </c>
      <c r="GD35" s="73">
        <f>GB35-GA35</f>
        <v>128389</v>
      </c>
      <c r="GE35" s="23">
        <v>1328613</v>
      </c>
      <c r="GF35" s="24">
        <f>+GG35+GH35</f>
        <v>1314229</v>
      </c>
      <c r="GG35" s="26">
        <v>212380</v>
      </c>
      <c r="GH35" s="26">
        <v>1101849</v>
      </c>
      <c r="GI35" s="73">
        <f>GF35-GE35</f>
        <v>-14384</v>
      </c>
      <c r="GJ35" s="50">
        <f>GF35/AD35</f>
        <v>87615.266666666663</v>
      </c>
      <c r="GK35" s="24"/>
      <c r="GL35" s="23">
        <v>393831</v>
      </c>
      <c r="GM35" s="24">
        <v>393831</v>
      </c>
      <c r="GN35" s="124"/>
      <c r="GO35" s="76">
        <f>GM35/FR35</f>
        <v>0.13622747322843623</v>
      </c>
      <c r="GP35" s="590"/>
      <c r="GQ35" s="24">
        <v>0</v>
      </c>
      <c r="GR35" s="51">
        <f>GM35-GL35</f>
        <v>0</v>
      </c>
      <c r="GS35" s="50">
        <f>GM35/AD35</f>
        <v>26255.4</v>
      </c>
      <c r="GT35" s="98"/>
      <c r="GU35" s="51">
        <f>GR35/AD35</f>
        <v>0</v>
      </c>
      <c r="GV35" s="97"/>
      <c r="GW35" s="97"/>
      <c r="GX35" s="75">
        <v>753806.75427749997</v>
      </c>
      <c r="GY35" s="75">
        <v>300000</v>
      </c>
      <c r="GZ35" s="50">
        <f>(GB35+GM35+GY35)/AD35</f>
        <v>97926.46666666666</v>
      </c>
      <c r="HA35" s="75">
        <v>162750</v>
      </c>
      <c r="HB35" s="50">
        <f>(GB35+GM35+GY35+HA35)/AD35</f>
        <v>108776.46666666666</v>
      </c>
      <c r="HC35" s="99">
        <f>(GB35+GM35+GY35+HA35)/(GX35+FR35-HD35)</f>
        <v>0.46350836328893125</v>
      </c>
      <c r="HD35" s="75">
        <v>124577</v>
      </c>
      <c r="HE35" s="632"/>
      <c r="HF35" s="631">
        <v>407854.73</v>
      </c>
      <c r="HG35" s="77">
        <f>FR35+GX35</f>
        <v>3644787.4842774998</v>
      </c>
      <c r="HH35" s="491">
        <v>142778</v>
      </c>
      <c r="HI35" s="491"/>
      <c r="HJ35" s="494">
        <v>40814</v>
      </c>
      <c r="HK35" s="491">
        <v>10799</v>
      </c>
      <c r="HL35" s="415"/>
      <c r="HM35" s="415"/>
      <c r="HN35" s="415"/>
      <c r="HO35" s="497" t="str">
        <f>IF(AND(HM35&gt;0,HN35&gt;0),HN35-HM35,"0")</f>
        <v>0</v>
      </c>
      <c r="HP35" s="415"/>
      <c r="HQ35" s="481" t="str">
        <f>IF(AND(HN35&gt;0,HP35&gt;0),HP35-HN35,"0")</f>
        <v>0</v>
      </c>
      <c r="HR35" s="497">
        <f>+HQ35-30</f>
        <v>-30</v>
      </c>
      <c r="HS35" s="506" t="str">
        <f>IF(AND(HL35&gt;0,HP35&gt;0),HP35-HL35,"0")</f>
        <v>0</v>
      </c>
      <c r="HT35" s="415"/>
      <c r="HU35" s="497" t="str">
        <f>IF(AND(HP35&gt;0,HT35&gt;0),HT35-HP35,"0")</f>
        <v>0</v>
      </c>
      <c r="HV35" s="415"/>
      <c r="HW35" s="415"/>
      <c r="HX35" s="497" t="str">
        <f>IF(AND(HV35&gt;0,HW35&gt;0),HW35-HV35,"0")</f>
        <v>0</v>
      </c>
      <c r="HY35" s="540"/>
      <c r="HZ35" s="481" t="str">
        <f>IF(AND(HW35&gt;0,HY35&gt;0),HY35-HW35,"0")</f>
        <v>0</v>
      </c>
      <c r="IA35" s="497">
        <f>+HZ35-30</f>
        <v>-30</v>
      </c>
      <c r="IB35" s="506" t="str">
        <f>IF(AND(HT35&gt;0,HY35&gt;0),HY35-HT35,"0")</f>
        <v>0</v>
      </c>
      <c r="IC35" s="490"/>
      <c r="ID35" s="491"/>
      <c r="IE35" s="415">
        <v>40892</v>
      </c>
      <c r="IF35" s="415">
        <v>40932</v>
      </c>
      <c r="IG35" s="494"/>
      <c r="IH35" s="491"/>
      <c r="II35" s="347">
        <v>40955</v>
      </c>
      <c r="IJ35" s="497" t="str">
        <f>IF(AND(HY35&gt;0,II35&gt;0),II35-HY35,"0")</f>
        <v>0</v>
      </c>
      <c r="IK35" s="347">
        <f>DATE(YEAR(II35),MONTH(II35),DAY(II35)+30)</f>
        <v>40985</v>
      </c>
      <c r="IL35" s="347">
        <v>41039</v>
      </c>
      <c r="IM35" s="497">
        <f>IF(AND(IK35&gt;0,IL35&gt;0),IL35-IK35,"0")</f>
        <v>54</v>
      </c>
      <c r="IN35" s="347">
        <v>41050</v>
      </c>
      <c r="IO35" s="481">
        <f>IF(AND(IL35&gt;0,IN35&gt;0),IN35-IL35,"0")</f>
        <v>11</v>
      </c>
      <c r="IP35" s="497">
        <f>+IO35-30</f>
        <v>-19</v>
      </c>
      <c r="IQ35" s="506">
        <f>IF(AND(II35&gt;0,IN35&gt;0),IN35-II35,"0")</f>
        <v>95</v>
      </c>
      <c r="IR35" s="490">
        <v>41050</v>
      </c>
      <c r="IS35" s="491">
        <v>29206</v>
      </c>
      <c r="IT35" s="347">
        <v>41438</v>
      </c>
      <c r="IU35" s="498">
        <f>IF(AND(IN35&gt;0,IT35&gt;0),IT35-IN35,"0")</f>
        <v>388</v>
      </c>
      <c r="IV35" s="347">
        <f>DATE(YEAR(IT35),MONTH(IT35),DAY(IT35)+30)</f>
        <v>41468</v>
      </c>
      <c r="IW35" s="347">
        <v>41536</v>
      </c>
      <c r="IX35" s="498">
        <f>IF(AND(IV35&gt;0,IW35&gt;0),IW35-IV35,"0")</f>
        <v>68</v>
      </c>
      <c r="IY35" s="347">
        <v>41627</v>
      </c>
      <c r="IZ35" s="482">
        <f>IF(AND(IW35&gt;0,IY35&gt;0),IY35-IW35,"0")</f>
        <v>91</v>
      </c>
      <c r="JA35" s="498">
        <f>IZ35-30</f>
        <v>61</v>
      </c>
      <c r="JB35" s="508">
        <f>IF(AND(IT35&gt;0,IY35&gt;0),IY35-IT35,"0")</f>
        <v>189</v>
      </c>
      <c r="JC35" s="490">
        <v>41627</v>
      </c>
      <c r="JD35" s="491">
        <v>17151</v>
      </c>
      <c r="JE35" s="347">
        <v>41519</v>
      </c>
      <c r="JF35" s="487">
        <f>IF(AND(IY35&gt;0,JE35&gt;0),JE35-IY35,"0")</f>
        <v>-108</v>
      </c>
      <c r="JG35" s="347">
        <f>DATE(YEAR(JE35),MONTH(JE35),DAY(JE35)+15)</f>
        <v>41534</v>
      </c>
      <c r="JH35" s="347">
        <v>41536</v>
      </c>
      <c r="JI35" s="487">
        <f>IF(AND(JG35&gt;0,JH35&gt;0),JH35-JG35,"0")</f>
        <v>2</v>
      </c>
      <c r="JJ35" s="347">
        <f>DATE(YEAR(JH35),MONTH(JH35),DAY(JH35)+15)</f>
        <v>41551</v>
      </c>
      <c r="JK35" s="347">
        <v>41695</v>
      </c>
      <c r="JL35" s="487">
        <f>IF(AND(JJ35&gt;0,JK35&gt;0),JK35-JJ35,"0")</f>
        <v>144</v>
      </c>
      <c r="JM35" s="509">
        <f>IF(AND(JE35&gt;0,JK35&gt;0),JK35-JE35,"0")</f>
        <v>176</v>
      </c>
      <c r="JN35" s="541">
        <v>41731</v>
      </c>
      <c r="JO35" s="501">
        <f>IF(AND(JK35&gt;0,JN35&gt;0),JN35-JK35,"0")</f>
        <v>36</v>
      </c>
      <c r="JP35" s="498">
        <f>JO35-60</f>
        <v>-24</v>
      </c>
      <c r="JQ35" s="482">
        <f>291/30</f>
        <v>9.6999999999999993</v>
      </c>
      <c r="JR35" s="504">
        <f>((+HS35+HU35+IB35+IJ35+IQ35+IU35+JB35+JI35+JF35)/30)-JQ35</f>
        <v>9.1666666666666679</v>
      </c>
      <c r="JS35" s="490"/>
      <c r="JT35" s="491"/>
      <c r="JU35" s="490"/>
      <c r="JV35" s="491"/>
      <c r="JW35" s="586"/>
      <c r="JX35" s="586"/>
      <c r="JY35" s="586"/>
      <c r="JZ35" s="586"/>
    </row>
    <row r="36" spans="1:286" ht="131.25" hidden="1" customHeight="1" x14ac:dyDescent="0.25">
      <c r="A36" s="143" t="s">
        <v>358</v>
      </c>
      <c r="B36" s="20" t="s">
        <v>46</v>
      </c>
      <c r="C36" s="20" t="s">
        <v>157</v>
      </c>
      <c r="D36" s="20">
        <v>2014</v>
      </c>
      <c r="E36" s="20" t="s">
        <v>529</v>
      </c>
      <c r="F36" s="20" t="s">
        <v>74</v>
      </c>
      <c r="G36" s="20" t="s">
        <v>273</v>
      </c>
      <c r="H36" s="20" t="s">
        <v>244</v>
      </c>
      <c r="I36" s="110"/>
      <c r="J36" s="110"/>
      <c r="K36" s="453"/>
      <c r="L36" s="303"/>
      <c r="M36" s="190"/>
      <c r="N36" s="191"/>
      <c r="O36" s="387">
        <v>3512</v>
      </c>
      <c r="P36" s="387">
        <f>Q36</f>
        <v>977347</v>
      </c>
      <c r="Q36" s="387">
        <v>977347</v>
      </c>
      <c r="R36" s="379">
        <f>P36/AD36</f>
        <v>19546.939999999999</v>
      </c>
      <c r="S36" s="387">
        <f>P36/O36</f>
        <v>278.28787015945329</v>
      </c>
      <c r="T36" s="387">
        <f>Q36/O36</f>
        <v>278.28787015945329</v>
      </c>
      <c r="U36" s="387">
        <f>Q36/AH36</f>
        <v>219.24031153821994</v>
      </c>
      <c r="V36" s="387">
        <f>Q36/AD36</f>
        <v>19546.939999999999</v>
      </c>
      <c r="W36" s="379">
        <f>O36/AD36</f>
        <v>70.239999999999995</v>
      </c>
      <c r="X36" s="391"/>
      <c r="Y36" s="392">
        <f>AH36/O36</f>
        <v>1.2693280182232347</v>
      </c>
      <c r="Z36" s="391" t="s">
        <v>309</v>
      </c>
      <c r="AA36" s="382"/>
      <c r="AB36" s="383"/>
      <c r="AC36" s="20" t="s">
        <v>26</v>
      </c>
      <c r="AD36" s="640">
        <f>AE36+AF36</f>
        <v>50</v>
      </c>
      <c r="AE36" s="21"/>
      <c r="AF36" s="20">
        <v>50</v>
      </c>
      <c r="AG36" s="22">
        <v>4457.7700000000004</v>
      </c>
      <c r="AH36" s="139">
        <v>4457.88</v>
      </c>
      <c r="AI36" s="22">
        <f>AH36/AD36</f>
        <v>89.157600000000002</v>
      </c>
      <c r="AJ36" s="116"/>
      <c r="AK36" s="116"/>
      <c r="AL36" s="116"/>
      <c r="AM36" s="116"/>
      <c r="AN36" s="116"/>
      <c r="AO36" s="22"/>
      <c r="AP36" s="133">
        <v>0</v>
      </c>
      <c r="AQ36" s="135">
        <f>AP36/O36</f>
        <v>0</v>
      </c>
      <c r="AR36" s="114">
        <v>4</v>
      </c>
      <c r="AS36" s="20">
        <v>1</v>
      </c>
      <c r="AT36" s="110" t="s">
        <v>316</v>
      </c>
      <c r="AU36" s="110" t="s">
        <v>178</v>
      </c>
      <c r="AV36" s="20" t="s">
        <v>168</v>
      </c>
      <c r="AW36" s="332">
        <v>41604</v>
      </c>
      <c r="AX36" s="338">
        <v>41591</v>
      </c>
      <c r="AY36" s="110"/>
      <c r="AZ36" s="110"/>
      <c r="BA36" s="540"/>
      <c r="BB36" s="540"/>
      <c r="BC36" s="540"/>
      <c r="BD36" s="540"/>
      <c r="BE36" s="110"/>
      <c r="BF36" s="110"/>
      <c r="BG36" s="110"/>
      <c r="BH36" s="110"/>
      <c r="BI36" s="110"/>
      <c r="BJ36" s="110"/>
      <c r="BK36" s="110"/>
      <c r="BL36" s="110"/>
      <c r="BM36" s="110"/>
      <c r="BN36" s="194" t="s">
        <v>18</v>
      </c>
      <c r="BO36" s="194" t="s">
        <v>513</v>
      </c>
      <c r="BP36" s="196"/>
      <c r="BQ36" s="194" t="s">
        <v>174</v>
      </c>
      <c r="BR36" s="194" t="s">
        <v>174</v>
      </c>
      <c r="BS36" s="194" t="s">
        <v>375</v>
      </c>
      <c r="BT36" s="68" t="s">
        <v>230</v>
      </c>
      <c r="BU36" s="376">
        <v>41848</v>
      </c>
      <c r="BV36" s="160"/>
      <c r="BW36" s="160">
        <v>42269</v>
      </c>
      <c r="BX36" s="160" t="s">
        <v>168</v>
      </c>
      <c r="BY36" s="160">
        <v>41962</v>
      </c>
      <c r="BZ36" s="376">
        <v>42195</v>
      </c>
      <c r="CA36" s="160"/>
      <c r="CB36" s="301">
        <v>42228</v>
      </c>
      <c r="CC36" s="372">
        <v>42250</v>
      </c>
      <c r="CD36" s="302">
        <v>42328</v>
      </c>
      <c r="CE36" s="302">
        <v>42264</v>
      </c>
      <c r="CF36" s="570">
        <v>42325</v>
      </c>
      <c r="CG36" s="569">
        <f>DATE(YEAR(CF36),MONTH(CF36)+24,DAY(CF36))</f>
        <v>43056</v>
      </c>
      <c r="CH36" s="569">
        <f>DATE(YEAR(CF36),MONTH(CF36)+36,DAY(CF36))</f>
        <v>43421</v>
      </c>
      <c r="CI36" s="569" t="str">
        <f>IF(EV36&gt;CG36,"oui","non")</f>
        <v>oui</v>
      </c>
      <c r="CJ36" s="302" t="s">
        <v>178</v>
      </c>
      <c r="CK36" s="71" t="s">
        <v>585</v>
      </c>
      <c r="CL36" s="82">
        <v>42262</v>
      </c>
      <c r="CM36" s="370">
        <v>42354</v>
      </c>
      <c r="CN36" s="555" t="s">
        <v>586</v>
      </c>
      <c r="CO36" s="161"/>
      <c r="CP36" s="81">
        <v>42262</v>
      </c>
      <c r="CQ36" s="365">
        <v>42359</v>
      </c>
      <c r="CR36" s="81">
        <v>42394</v>
      </c>
      <c r="CS36" s="162">
        <v>42401</v>
      </c>
      <c r="CT36" s="81">
        <v>42262</v>
      </c>
      <c r="CU36" s="365">
        <v>42335</v>
      </c>
      <c r="CV36" s="81">
        <v>42410</v>
      </c>
      <c r="CW36" s="162">
        <v>42410</v>
      </c>
      <c r="CX36" s="82">
        <v>42262</v>
      </c>
      <c r="CY36" s="365">
        <v>42311</v>
      </c>
      <c r="CZ36" s="81">
        <v>42354</v>
      </c>
      <c r="DA36" s="162">
        <v>42360</v>
      </c>
      <c r="DB36" s="296" t="s">
        <v>88</v>
      </c>
      <c r="DC36" s="300"/>
      <c r="DD36" s="296">
        <f>DC36*3/5</f>
        <v>0</v>
      </c>
      <c r="DE36" s="296"/>
      <c r="DF36" s="296"/>
      <c r="DG36" s="296"/>
      <c r="DH36" s="299" t="s">
        <v>794</v>
      </c>
      <c r="DI36" s="296"/>
      <c r="DJ36" s="296"/>
      <c r="DK36" s="292"/>
      <c r="DL36" s="293"/>
      <c r="DM36" s="293"/>
      <c r="DN36" s="292"/>
      <c r="DO36" s="292"/>
      <c r="DP36" s="293"/>
      <c r="DQ36" s="304">
        <v>42333</v>
      </c>
      <c r="DR36" s="443" t="s">
        <v>178</v>
      </c>
      <c r="DS36" s="443" t="s">
        <v>608</v>
      </c>
      <c r="DT36" s="297"/>
      <c r="DU36" s="304">
        <f>DATE(YEAR(DQ36),MONTH(DQ36)+18,DAY(DQ36))</f>
        <v>42880</v>
      </c>
      <c r="DV36" s="443"/>
      <c r="DW36" s="443"/>
      <c r="DX36" s="110"/>
      <c r="DY36" s="110"/>
      <c r="DZ36" s="110"/>
      <c r="EA36" s="413">
        <v>42348</v>
      </c>
      <c r="EB36" s="228"/>
      <c r="EC36" s="428">
        <v>24</v>
      </c>
      <c r="ED36" s="428">
        <f>EC36</f>
        <v>24</v>
      </c>
      <c r="EE36" s="422">
        <f>DATEDIF(EA36,EN36,"M")</f>
        <v>24</v>
      </c>
      <c r="EF36" s="422">
        <f>DATEDIF(EA36,EV36,"M")</f>
        <v>25</v>
      </c>
      <c r="EG36" s="422">
        <f>EE36-EC36</f>
        <v>0</v>
      </c>
      <c r="EH36" s="422"/>
      <c r="EI36" s="411">
        <f>279622.113674809/12</f>
        <v>23301.842806234083</v>
      </c>
      <c r="EJ36" s="411"/>
      <c r="EK36" s="224"/>
      <c r="EL36" s="223"/>
      <c r="EM36" s="223"/>
      <c r="EN36" s="210">
        <f>DATE(YEAR(EA36),MONTH(EA36)+EC36,DAY(EA36))</f>
        <v>43079</v>
      </c>
      <c r="EO36" s="210">
        <f>DATE(YEAR(DV36)+2,MONTH(DV36),DAY(DV36))</f>
        <v>731</v>
      </c>
      <c r="EP36" s="223"/>
      <c r="EQ36" s="340"/>
      <c r="ER36" s="340"/>
      <c r="ES36" s="226"/>
      <c r="ET36" s="226"/>
      <c r="EU36" s="210">
        <f>DATE(YEAR(EN36),MONTH(EN36)+1,DAY(EN36))</f>
        <v>43110</v>
      </c>
      <c r="EV36" s="206">
        <f>EU36</f>
        <v>43110</v>
      </c>
      <c r="EW36" s="484"/>
      <c r="EX36" s="207" t="s">
        <v>748</v>
      </c>
      <c r="EY36" s="212"/>
      <c r="EZ36" s="212"/>
      <c r="FA36" s="212"/>
      <c r="FB36" s="212"/>
      <c r="FC36" s="212"/>
      <c r="FD36" s="110"/>
      <c r="FE36" s="110"/>
      <c r="FF36" s="110"/>
      <c r="FG36" s="110"/>
      <c r="FH36" s="110"/>
      <c r="FI36" s="110"/>
      <c r="FJ36" s="110"/>
      <c r="FK36" s="110"/>
      <c r="FL36" s="110"/>
      <c r="FM36" s="110"/>
      <c r="FN36" s="110"/>
      <c r="FO36" s="110"/>
      <c r="FP36" s="195"/>
      <c r="FQ36" s="23">
        <f>+GA36+GE36+GL36+HF36</f>
        <v>8981140.3249999993</v>
      </c>
      <c r="FR36" s="24">
        <f>GB36+GF36+GK36+GM36+GQ36+HF36</f>
        <v>8889946.3649999984</v>
      </c>
      <c r="FS36" s="25">
        <f>FR36-FQ36</f>
        <v>-91193.960000000894</v>
      </c>
      <c r="FT36" s="50">
        <f>FR36/AG36</f>
        <v>1994.2586461392125</v>
      </c>
      <c r="FU36" s="50">
        <f>FR36/AD36</f>
        <v>177798.92729999998</v>
      </c>
      <c r="FV36" s="23">
        <v>8046979</v>
      </c>
      <c r="FW36" s="24">
        <v>7435240.3190134894</v>
      </c>
      <c r="FX36" s="25">
        <f>FW36-FV36</f>
        <v>-611738.68098651059</v>
      </c>
      <c r="FY36" s="231">
        <f>FW36*1.021/FR36</f>
        <v>0.85392870260728215</v>
      </c>
      <c r="FZ36" s="232"/>
      <c r="GA36" s="23">
        <v>2663620</v>
      </c>
      <c r="GB36" s="24">
        <v>2572426.04</v>
      </c>
      <c r="GC36" s="50">
        <f>GB36/AD36</f>
        <v>51448.520799999998</v>
      </c>
      <c r="GD36" s="73">
        <f>GB36-GA36</f>
        <v>-91193.959999999963</v>
      </c>
      <c r="GE36" s="23">
        <f>GF36</f>
        <v>5272823.875</v>
      </c>
      <c r="GF36" s="24">
        <f>GG36+GH36</f>
        <v>5272823.875</v>
      </c>
      <c r="GG36" s="26">
        <v>1076863.6000000001</v>
      </c>
      <c r="GH36" s="26">
        <v>4195960.2750000004</v>
      </c>
      <c r="GI36" s="73">
        <f>GF36-GE36</f>
        <v>0</v>
      </c>
      <c r="GJ36" s="50">
        <f>GF36/AD36</f>
        <v>105456.47749999999</v>
      </c>
      <c r="GK36" s="24"/>
      <c r="GL36" s="23">
        <v>925000</v>
      </c>
      <c r="GM36" s="24">
        <f>GL36</f>
        <v>925000</v>
      </c>
      <c r="GN36" s="124">
        <v>0</v>
      </c>
      <c r="GO36" s="76">
        <f>GM36/FR36</f>
        <v>0.10405012156673459</v>
      </c>
      <c r="GP36" s="590"/>
      <c r="GQ36" s="24">
        <v>0</v>
      </c>
      <c r="GR36" s="51">
        <f>GM36-GL36</f>
        <v>0</v>
      </c>
      <c r="GS36" s="95">
        <f>GM36/AD36</f>
        <v>18500</v>
      </c>
      <c r="GT36" s="138">
        <f>(GB36+GM36)/AD36</f>
        <v>69948.520799999998</v>
      </c>
      <c r="GU36" s="51">
        <f>GR36/AD36</f>
        <v>0</v>
      </c>
      <c r="GV36" s="96">
        <v>4.9400000000000004</v>
      </c>
      <c r="GW36" s="96">
        <v>4.93</v>
      </c>
      <c r="GX36" s="75"/>
      <c r="GY36" s="75">
        <v>0</v>
      </c>
      <c r="GZ36" s="50">
        <f>(GB36+GM36+GY36)/AD36</f>
        <v>69948.520799999998</v>
      </c>
      <c r="HA36" s="75"/>
      <c r="HB36" s="50">
        <f>(GB36+GM36+GY36+HA36)/AD36</f>
        <v>69948.520799999998</v>
      </c>
      <c r="HC36" s="99">
        <f>(GB36+GM36+GY36+HA36)/(GX36+FR36-HD36)</f>
        <v>0.39341362662990609</v>
      </c>
      <c r="HD36" s="75"/>
      <c r="HE36" s="75"/>
      <c r="HF36" s="24">
        <v>119696.45</v>
      </c>
      <c r="HG36" s="77">
        <f>FR36+GX36</f>
        <v>8889946.3649999984</v>
      </c>
      <c r="HH36" s="491"/>
      <c r="HI36" s="491"/>
      <c r="HJ36" s="494"/>
      <c r="HK36" s="491"/>
      <c r="HL36" s="415"/>
      <c r="HM36" s="415"/>
      <c r="HN36" s="415"/>
      <c r="HO36" s="497" t="str">
        <f>IF(AND(HM36&gt;0,HN36&gt;0),HN36-HM36,"0")</f>
        <v>0</v>
      </c>
      <c r="HP36" s="415"/>
      <c r="HQ36" s="481" t="str">
        <f>IF(AND(HN36&gt;0,HP36&gt;0),HP36-HN36,"0")</f>
        <v>0</v>
      </c>
      <c r="HR36" s="497"/>
      <c r="HS36" s="506" t="str">
        <f>IF(AND(HL36&gt;0,HP36&gt;0),HP36-HL36,"0")</f>
        <v>0</v>
      </c>
      <c r="HT36" s="415"/>
      <c r="HU36" s="497" t="str">
        <f>IF(AND(HP36&gt;0,HT36&gt;0),HT36-HP36,"0")</f>
        <v>0</v>
      </c>
      <c r="HV36" s="415"/>
      <c r="HW36" s="415"/>
      <c r="HX36" s="497" t="str">
        <f>IF(AND(HV36&gt;0,HW36&gt;0),HW36-HV36,"0")</f>
        <v>0</v>
      </c>
      <c r="HY36" s="540"/>
      <c r="HZ36" s="481" t="str">
        <f>IF(AND(HW36&gt;0,HY36&gt;0),HY36-HW36,"0")</f>
        <v>0</v>
      </c>
      <c r="IA36" s="497">
        <v>0</v>
      </c>
      <c r="IB36" s="506" t="str">
        <f>IF(AND(HT36&gt;0,HY36&gt;0),HY36-HT36,"0")</f>
        <v>0</v>
      </c>
      <c r="IC36" s="490"/>
      <c r="ID36" s="491"/>
      <c r="IE36" s="415"/>
      <c r="IF36" s="415"/>
      <c r="IG36" s="494"/>
      <c r="IH36" s="491"/>
      <c r="II36" s="347"/>
      <c r="IJ36" s="497"/>
      <c r="IK36" s="347"/>
      <c r="IL36" s="347"/>
      <c r="IM36" s="497"/>
      <c r="IN36" s="347"/>
      <c r="IO36" s="481" t="str">
        <f>IF(AND(IL36&gt;0,IN36&gt;0),IN36-IL36,"0")</f>
        <v>0</v>
      </c>
      <c r="IP36" s="497"/>
      <c r="IQ36" s="506" t="str">
        <f>IF(AND(II36&gt;0,IN36&gt;0),IN36-II36,"0")</f>
        <v>0</v>
      </c>
      <c r="IR36" s="490"/>
      <c r="IS36" s="491"/>
      <c r="IT36" s="347"/>
      <c r="IU36" s="498"/>
      <c r="IV36" s="347"/>
      <c r="IW36" s="347"/>
      <c r="IX36" s="498"/>
      <c r="IY36" s="347"/>
      <c r="IZ36" s="482" t="str">
        <f>IF(AND(IW36&gt;0,IY36&gt;0),IY36-IW36,"0")</f>
        <v>0</v>
      </c>
      <c r="JA36" s="498"/>
      <c r="JB36" s="508" t="str">
        <f>IF(AND(IT36&gt;0,IY36&gt;0),IY36-IT36,"0")</f>
        <v>0</v>
      </c>
      <c r="JC36" s="490"/>
      <c r="JD36" s="491"/>
      <c r="JE36" s="347"/>
      <c r="JF36" s="487" t="str">
        <f>IF(AND(IY36&gt;0,JE36&gt;0),JE36-IY36,"0")</f>
        <v>0</v>
      </c>
      <c r="JG36" s="347"/>
      <c r="JH36" s="347"/>
      <c r="JI36" s="487" t="str">
        <f>IF(AND(JG36&gt;0,JH36&gt;0),JH36-JG36,"0")</f>
        <v>0</v>
      </c>
      <c r="JJ36" s="347"/>
      <c r="JK36" s="347"/>
      <c r="JL36" s="487" t="str">
        <f>IF(AND(JJ36&gt;0,JK36&gt;0),JK36-JJ36,"0")</f>
        <v>0</v>
      </c>
      <c r="JM36" s="509" t="str">
        <f>IF(AND(JE36&gt;0,JK36&gt;0),JK36-JE36,"0")</f>
        <v>0</v>
      </c>
      <c r="JN36" s="541"/>
      <c r="JO36" s="501" t="str">
        <f>IF(AND(JK36&gt;0,JN36&gt;0),JN36-JK36,"0")</f>
        <v>0</v>
      </c>
      <c r="JP36" s="498">
        <f>JO36-60</f>
        <v>-60</v>
      </c>
      <c r="JQ36" s="482">
        <f>291/30</f>
        <v>9.6999999999999993</v>
      </c>
      <c r="JR36" s="504">
        <f>((+HS36+HU36+IB36+IJ36+IQ36+IU36+JB36+JI36+JF36)/30)-JQ36</f>
        <v>-9.6999999999999993</v>
      </c>
      <c r="JS36" s="490"/>
      <c r="JT36" s="491"/>
      <c r="JU36" s="490"/>
      <c r="JV36" s="491"/>
      <c r="JW36" s="586"/>
      <c r="JX36" s="586"/>
      <c r="JY36" s="586"/>
      <c r="JZ36" s="586"/>
    </row>
    <row r="37" spans="1:286" ht="138" hidden="1" customHeight="1" x14ac:dyDescent="0.25">
      <c r="A37" s="141" t="s">
        <v>433</v>
      </c>
      <c r="B37" s="20" t="s">
        <v>53</v>
      </c>
      <c r="C37" s="20" t="s">
        <v>159</v>
      </c>
      <c r="D37" s="47">
        <v>2014</v>
      </c>
      <c r="E37" s="20" t="s">
        <v>223</v>
      </c>
      <c r="F37" s="47" t="s">
        <v>74</v>
      </c>
      <c r="G37" s="47" t="s">
        <v>273</v>
      </c>
      <c r="H37" s="47" t="s">
        <v>244</v>
      </c>
      <c r="I37" s="111" t="s">
        <v>168</v>
      </c>
      <c r="J37" s="110"/>
      <c r="K37" s="453"/>
      <c r="L37" s="303" t="s">
        <v>80</v>
      </c>
      <c r="M37" s="190" t="s">
        <v>188</v>
      </c>
      <c r="N37" s="191"/>
      <c r="O37" s="387">
        <v>1500</v>
      </c>
      <c r="P37" s="387">
        <f>Q37</f>
        <v>128915</v>
      </c>
      <c r="Q37" s="387">
        <v>128915</v>
      </c>
      <c r="R37" s="379">
        <f>P37/AD37</f>
        <v>8057.1875</v>
      </c>
      <c r="S37" s="387">
        <f>P37/O37</f>
        <v>85.943333333333328</v>
      </c>
      <c r="T37" s="387">
        <f>Q37/O37</f>
        <v>85.943333333333328</v>
      </c>
      <c r="U37" s="387">
        <f>Q37/AH37</f>
        <v>91.350037556157076</v>
      </c>
      <c r="V37" s="387">
        <f>Q37/AD37</f>
        <v>8057.1875</v>
      </c>
      <c r="W37" s="379">
        <f>O37/AD37</f>
        <v>93.75</v>
      </c>
      <c r="X37" s="391"/>
      <c r="Y37" s="392">
        <f>AH37/O37</f>
        <v>0.94081333333333339</v>
      </c>
      <c r="Z37" s="391"/>
      <c r="AA37" s="384">
        <v>90</v>
      </c>
      <c r="AB37" s="385"/>
      <c r="AC37" s="20" t="s">
        <v>26</v>
      </c>
      <c r="AD37" s="640">
        <f>(AE37+AF37)</f>
        <v>16</v>
      </c>
      <c r="AE37" s="21"/>
      <c r="AF37" s="20">
        <v>16</v>
      </c>
      <c r="AG37" s="54">
        <v>1374.99</v>
      </c>
      <c r="AH37" s="140">
        <v>1411.22</v>
      </c>
      <c r="AI37" s="22">
        <f>AH37/AD37</f>
        <v>88.201250000000002</v>
      </c>
      <c r="AJ37" s="136">
        <f>2/AD37</f>
        <v>0.125</v>
      </c>
      <c r="AK37" s="136">
        <f>2/AD37</f>
        <v>0.125</v>
      </c>
      <c r="AL37" s="136">
        <f>6/AD37</f>
        <v>0.375</v>
      </c>
      <c r="AM37" s="136">
        <f>5/AD37</f>
        <v>0.3125</v>
      </c>
      <c r="AN37" s="136">
        <f>1/AD37</f>
        <v>6.25E-2</v>
      </c>
      <c r="AO37" s="54"/>
      <c r="AP37" s="134">
        <v>0</v>
      </c>
      <c r="AQ37" s="136">
        <f>AP37/O37</f>
        <v>0</v>
      </c>
      <c r="AR37" s="115">
        <v>2.5</v>
      </c>
      <c r="AS37" s="47">
        <v>1</v>
      </c>
      <c r="AT37" s="111" t="s">
        <v>316</v>
      </c>
      <c r="AU37" s="111" t="s">
        <v>178</v>
      </c>
      <c r="AV37" s="47"/>
      <c r="AW37" s="332">
        <v>41604</v>
      </c>
      <c r="AX37" s="338">
        <v>41667</v>
      </c>
      <c r="AY37" s="338">
        <v>41781</v>
      </c>
      <c r="AZ37" s="474">
        <v>41667</v>
      </c>
      <c r="BA37" s="415" t="s">
        <v>754</v>
      </c>
      <c r="BB37" s="420" t="s">
        <v>807</v>
      </c>
      <c r="BC37" s="420" t="s">
        <v>757</v>
      </c>
      <c r="BD37" s="420" t="s">
        <v>801</v>
      </c>
      <c r="BE37" s="338">
        <v>41781</v>
      </c>
      <c r="BF37" s="338">
        <v>41815</v>
      </c>
      <c r="BG37" s="338">
        <v>41853</v>
      </c>
      <c r="BH37" s="338">
        <v>41876</v>
      </c>
      <c r="BI37" s="338">
        <v>42459</v>
      </c>
      <c r="BJ37" s="338">
        <v>42460</v>
      </c>
      <c r="BK37" s="111" t="s">
        <v>178</v>
      </c>
      <c r="BL37" s="338">
        <v>42648</v>
      </c>
      <c r="BM37" s="111"/>
      <c r="BN37" s="194" t="s">
        <v>378</v>
      </c>
      <c r="BO37" s="345">
        <v>41886</v>
      </c>
      <c r="BP37" s="358">
        <v>42089</v>
      </c>
      <c r="BQ37" s="194" t="s">
        <v>174</v>
      </c>
      <c r="BR37" s="194" t="s">
        <v>174</v>
      </c>
      <c r="BS37" s="194" t="s">
        <v>620</v>
      </c>
      <c r="BT37" s="67"/>
      <c r="BU37" s="376">
        <v>41929</v>
      </c>
      <c r="BV37" s="160"/>
      <c r="BW37" s="160"/>
      <c r="BX37" s="160" t="s">
        <v>168</v>
      </c>
      <c r="BY37" s="160">
        <v>41955</v>
      </c>
      <c r="BZ37" s="376">
        <v>41992</v>
      </c>
      <c r="CA37" s="160"/>
      <c r="CB37" s="301">
        <v>42017</v>
      </c>
      <c r="CC37" s="373" t="s">
        <v>410</v>
      </c>
      <c r="CD37" s="307">
        <v>42116</v>
      </c>
      <c r="CE37" s="307">
        <v>42074</v>
      </c>
      <c r="CF37" s="569">
        <v>42118</v>
      </c>
      <c r="CG37" s="569">
        <f>DATE(YEAR(CF37),MONTH(CF37)+24,DAY(CF37))</f>
        <v>42849</v>
      </c>
      <c r="CH37" s="569">
        <f>DATE(YEAR(CF37),MONTH(CF37)+36,DAY(CF37))</f>
        <v>43214</v>
      </c>
      <c r="CI37" s="569" t="str">
        <f>IF(EV37&gt;CG37,"oui","non")</f>
        <v>oui</v>
      </c>
      <c r="CJ37" s="307" t="s">
        <v>402</v>
      </c>
      <c r="CK37" s="71" t="s">
        <v>437</v>
      </c>
      <c r="CL37" s="82">
        <v>42069</v>
      </c>
      <c r="CM37" s="370">
        <v>42151</v>
      </c>
      <c r="CN37" s="82">
        <v>42180</v>
      </c>
      <c r="CO37" s="336" t="s">
        <v>526</v>
      </c>
      <c r="CP37" s="81">
        <v>42069</v>
      </c>
      <c r="CQ37" s="365">
        <v>42108</v>
      </c>
      <c r="CR37" s="81">
        <v>42178</v>
      </c>
      <c r="CS37" s="162"/>
      <c r="CT37" s="81">
        <v>42069</v>
      </c>
      <c r="CU37" s="365">
        <v>42121</v>
      </c>
      <c r="CV37" s="81">
        <v>42142</v>
      </c>
      <c r="CW37" s="162"/>
      <c r="CX37" s="81">
        <v>42069</v>
      </c>
      <c r="CY37" s="365">
        <v>42136</v>
      </c>
      <c r="CZ37" s="81">
        <v>42166</v>
      </c>
      <c r="DA37" s="162"/>
      <c r="DB37" s="296" t="s">
        <v>188</v>
      </c>
      <c r="DC37" s="300"/>
      <c r="DD37" s="296">
        <f>DC37*3/5</f>
        <v>0</v>
      </c>
      <c r="DE37" s="296"/>
      <c r="DF37" s="296"/>
      <c r="DG37" s="296" t="s">
        <v>178</v>
      </c>
      <c r="DH37" s="299" t="s">
        <v>794</v>
      </c>
      <c r="DI37" s="296" t="s">
        <v>178</v>
      </c>
      <c r="DJ37" s="296" t="s">
        <v>178</v>
      </c>
      <c r="DK37" s="292" t="s">
        <v>178</v>
      </c>
      <c r="DL37" s="293" t="s">
        <v>178</v>
      </c>
      <c r="DM37" s="293" t="s">
        <v>178</v>
      </c>
      <c r="DN37" s="521">
        <v>42092</v>
      </c>
      <c r="DO37" s="292" t="s">
        <v>178</v>
      </c>
      <c r="DP37" s="293"/>
      <c r="DQ37" s="606">
        <v>42478</v>
      </c>
      <c r="DR37" s="443">
        <v>42545</v>
      </c>
      <c r="DS37" s="443" t="s">
        <v>718</v>
      </c>
      <c r="DT37" s="297"/>
      <c r="DU37" s="606">
        <v>42522</v>
      </c>
      <c r="DV37" s="443"/>
      <c r="DW37" s="443">
        <f>DATE(YEAR(DQ37),MONTH(DQ37)+22,DAY(DQ37))</f>
        <v>43149</v>
      </c>
      <c r="DX37" s="413">
        <v>42657</v>
      </c>
      <c r="DY37" s="413">
        <v>42648</v>
      </c>
      <c r="DZ37" s="111"/>
      <c r="EA37" s="413">
        <v>42488</v>
      </c>
      <c r="EB37" s="205" t="s">
        <v>230</v>
      </c>
      <c r="EC37" s="205">
        <v>13</v>
      </c>
      <c r="ED37" s="224">
        <f>EC37+2</f>
        <v>15</v>
      </c>
      <c r="EE37" s="422">
        <f>DATEDIF(EA37,EN37,"M")</f>
        <v>13</v>
      </c>
      <c r="EF37" s="422">
        <f>DATEDIF(EA37,EV37,"M")</f>
        <v>14</v>
      </c>
      <c r="EG37" s="422">
        <f>EE37-EC37</f>
        <v>0</v>
      </c>
      <c r="EH37" s="422"/>
      <c r="EI37" s="411">
        <f>88922.4268984531/12</f>
        <v>7410.2022415377578</v>
      </c>
      <c r="EJ37" s="411"/>
      <c r="EK37" s="413">
        <v>42702</v>
      </c>
      <c r="EL37" s="223"/>
      <c r="EM37" s="223"/>
      <c r="EN37" s="210">
        <v>42887</v>
      </c>
      <c r="EO37" s="210">
        <f>DATE(YEAR(DV37)+2,MONTH(DV37),DAY(DV37))</f>
        <v>731</v>
      </c>
      <c r="EP37" s="223"/>
      <c r="EQ37" s="210"/>
      <c r="ER37" s="210"/>
      <c r="ES37" s="223"/>
      <c r="ET37" s="223"/>
      <c r="EU37" s="334">
        <f>DATE(YEAR(EN37),MONTH(EN37)+1,DAY(EN37))</f>
        <v>42917</v>
      </c>
      <c r="EV37" s="564">
        <f>DATE(YEAR(EU37),MONTH(EU37),DAY(EU37))</f>
        <v>42917</v>
      </c>
      <c r="EW37" s="211" t="s">
        <v>506</v>
      </c>
      <c r="EX37" s="209"/>
      <c r="EY37" s="565" t="s">
        <v>909</v>
      </c>
      <c r="EZ37" s="218"/>
      <c r="FA37" s="218"/>
      <c r="FB37" s="218"/>
      <c r="FC37" s="218"/>
      <c r="FD37" s="111"/>
      <c r="FE37" s="111"/>
      <c r="FF37" s="111"/>
      <c r="FG37" s="111"/>
      <c r="FH37" s="111"/>
      <c r="FI37" s="111"/>
      <c r="FJ37" s="111"/>
      <c r="FK37" s="111"/>
      <c r="FL37" s="111"/>
      <c r="FM37" s="111"/>
      <c r="FN37" s="111"/>
      <c r="FO37" s="111"/>
      <c r="FP37" s="195"/>
      <c r="FQ37" s="49">
        <f>GA37+GE37+GL37</f>
        <v>2681224</v>
      </c>
      <c r="FR37" s="66">
        <f>GB37+GF37+GK37+GM37+GQ37+HF37</f>
        <v>2851909.37</v>
      </c>
      <c r="FS37" s="92">
        <f>FR37-FQ37</f>
        <v>170685.37000000011</v>
      </c>
      <c r="FT37" s="50">
        <f>FR37/AG37</f>
        <v>2074.130990043564</v>
      </c>
      <c r="FU37" s="50">
        <f>FR37/AD37</f>
        <v>178244.33562500001</v>
      </c>
      <c r="FV37" s="49"/>
      <c r="FW37" s="66">
        <v>2460822</v>
      </c>
      <c r="FX37" s="92">
        <f>FW37-FV37</f>
        <v>2460822</v>
      </c>
      <c r="FY37" s="231">
        <f>FW37*1.021/FR37</f>
        <v>0.88098846633404748</v>
      </c>
      <c r="FZ37" s="232"/>
      <c r="GA37" s="49">
        <v>797080</v>
      </c>
      <c r="GB37" s="66">
        <v>863024</v>
      </c>
      <c r="GC37" s="50">
        <f>GB37/AD37</f>
        <v>53939</v>
      </c>
      <c r="GD37" s="74">
        <f>GB37-GA37</f>
        <v>65944</v>
      </c>
      <c r="GE37" s="49">
        <f>290632+1273512</f>
        <v>1564144</v>
      </c>
      <c r="GF37" s="66">
        <f>GG37+GH37</f>
        <v>1596953.37</v>
      </c>
      <c r="GG37" s="93">
        <v>242605.3</v>
      </c>
      <c r="GH37" s="93">
        <v>1354348.07</v>
      </c>
      <c r="GI37" s="74">
        <f>GF37-GE37</f>
        <v>32809.370000000112</v>
      </c>
      <c r="GJ37" s="50">
        <f>GF37/AD37</f>
        <v>99809.585625000007</v>
      </c>
      <c r="GK37" s="66"/>
      <c r="GL37" s="49">
        <v>320000</v>
      </c>
      <c r="GM37" s="66">
        <f>144000*0+320000</f>
        <v>320000</v>
      </c>
      <c r="GN37" s="129">
        <v>0</v>
      </c>
      <c r="GO37" s="76">
        <f>GM37/FR37</f>
        <v>0.11220552916799036</v>
      </c>
      <c r="GP37" s="590"/>
      <c r="GQ37" s="66">
        <v>0</v>
      </c>
      <c r="GR37" s="48">
        <f>GM37-GL37</f>
        <v>0</v>
      </c>
      <c r="GS37" s="95">
        <f>GM37/AD37</f>
        <v>20000</v>
      </c>
      <c r="GT37" s="138">
        <f>(GB37+GM37)/AD37</f>
        <v>73939</v>
      </c>
      <c r="GU37" s="51">
        <f>GR37/AD37</f>
        <v>0</v>
      </c>
      <c r="GV37" s="96">
        <v>5.07</v>
      </c>
      <c r="GW37" s="96">
        <v>5.07</v>
      </c>
      <c r="GX37" s="75">
        <v>0</v>
      </c>
      <c r="GY37" s="75">
        <v>0</v>
      </c>
      <c r="GZ37" s="50">
        <f>(GB37+GM37+GY37)/AD37</f>
        <v>73939</v>
      </c>
      <c r="HA37" s="75">
        <v>0</v>
      </c>
      <c r="HB37" s="50">
        <f>(GB37+GM37+GY37+HA37)/AD37</f>
        <v>73939</v>
      </c>
      <c r="HC37" s="99">
        <f>(GB37+GM37+GY37+HA37)/(GX37+FR37-HD37)</f>
        <v>0.4148182310576019</v>
      </c>
      <c r="HD37" s="75">
        <v>0</v>
      </c>
      <c r="HE37" s="75"/>
      <c r="HF37" s="631">
        <v>71932</v>
      </c>
      <c r="HG37" s="77">
        <f>FR37+GX37</f>
        <v>2851909.37</v>
      </c>
      <c r="HH37" s="491">
        <v>144240</v>
      </c>
      <c r="HI37" s="491">
        <f>HK37+ID37+IH37+IS37+JD37+JT37+JV37+JX37+JZ37</f>
        <v>108186</v>
      </c>
      <c r="HJ37" s="494">
        <v>41641</v>
      </c>
      <c r="HK37" s="491">
        <v>14192</v>
      </c>
      <c r="HL37" s="415">
        <v>41542</v>
      </c>
      <c r="HM37" s="415">
        <f>DATE(YEAR(HL37),MONTH(HL37),DAY(HL37)+21)</f>
        <v>41563</v>
      </c>
      <c r="HN37" s="415">
        <v>41578</v>
      </c>
      <c r="HO37" s="497">
        <f>IF(AND(HM37&gt;0,HN37&gt;0),HN37-HM37,"0")</f>
        <v>15</v>
      </c>
      <c r="HP37" s="415">
        <v>41604</v>
      </c>
      <c r="HQ37" s="481">
        <f>IF(AND(HN37&gt;0,HP37&gt;0),HP37-HN37,"0")</f>
        <v>26</v>
      </c>
      <c r="HR37" s="497">
        <f>+HQ37-30</f>
        <v>-4</v>
      </c>
      <c r="HS37" s="506">
        <f>IF(AND(HL37&gt;0,HP37&gt;0),HP37-HL37,"0")</f>
        <v>62</v>
      </c>
      <c r="HT37" s="415">
        <v>41610</v>
      </c>
      <c r="HU37" s="497">
        <f>IF(AND(HP37&gt;0,HT37&gt;0),HT37-HP37,"0")</f>
        <v>6</v>
      </c>
      <c r="HV37" s="415">
        <f>DATE(YEAR(HT37),MONTH(HT37),DAY(HT37)+21)</f>
        <v>41631</v>
      </c>
      <c r="HW37" s="415">
        <v>41652</v>
      </c>
      <c r="HX37" s="497">
        <f>IF(AND(HV37&gt;0,HW37&gt;0),HW37-HV37,"0")</f>
        <v>21</v>
      </c>
      <c r="HY37" s="415">
        <v>41694</v>
      </c>
      <c r="HZ37" s="481">
        <f>IF(AND(HW37&gt;0,HY37&gt;0),HY37-HW37,"0")</f>
        <v>42</v>
      </c>
      <c r="IA37" s="497">
        <f>+HZ37-30</f>
        <v>12</v>
      </c>
      <c r="IB37" s="506">
        <f>IF(AND(HT37&gt;0,HY37&gt;0),HY37-HT37,"0")</f>
        <v>84</v>
      </c>
      <c r="IC37" s="490">
        <v>41696</v>
      </c>
      <c r="ID37" s="491">
        <v>7096</v>
      </c>
      <c r="IE37" s="415">
        <v>41694</v>
      </c>
      <c r="IF37" s="415">
        <v>41676</v>
      </c>
      <c r="IG37" s="494"/>
      <c r="IH37" s="491"/>
      <c r="II37" s="347">
        <v>41694</v>
      </c>
      <c r="IJ37" s="497">
        <f>IF(AND(HY37&gt;0,II37&gt;0),II37-HY37,"0")</f>
        <v>0</v>
      </c>
      <c r="IK37" s="347">
        <f>DATE(YEAR(II37),MONTH(II37),DAY(II37)+30)</f>
        <v>41724</v>
      </c>
      <c r="IL37" s="347">
        <v>41731</v>
      </c>
      <c r="IM37" s="497">
        <f>IF(AND(IK37&gt;0,IL37&gt;0),IL37-IK37,"0")</f>
        <v>7</v>
      </c>
      <c r="IN37" s="347">
        <v>41820</v>
      </c>
      <c r="IO37" s="481">
        <f>IF(AND(IL37&gt;0,IN37&gt;0),IN37-IL37,"0")</f>
        <v>89</v>
      </c>
      <c r="IP37" s="497">
        <f>+IO37-30</f>
        <v>59</v>
      </c>
      <c r="IQ37" s="506">
        <f>IF(AND(II37&gt;0,IN37&gt;0),IN37-II37,"0")</f>
        <v>126</v>
      </c>
      <c r="IR37" s="490">
        <v>41827</v>
      </c>
      <c r="IS37" s="491">
        <v>27458</v>
      </c>
      <c r="IT37" s="347">
        <v>41820</v>
      </c>
      <c r="IU37" s="498">
        <f>IF(AND(IN37&gt;0,IT37&gt;0),IT37-IN37,"0")</f>
        <v>0</v>
      </c>
      <c r="IV37" s="347">
        <f>DATE(YEAR(IT37),MONTH(IT37),DAY(IT37)+30)</f>
        <v>41850</v>
      </c>
      <c r="IW37" s="347">
        <v>41914</v>
      </c>
      <c r="IX37" s="498">
        <f>IF(AND(IV37&gt;0,IW37&gt;0),IW37-IV37,"0")</f>
        <v>64</v>
      </c>
      <c r="IY37" s="347">
        <v>41924</v>
      </c>
      <c r="IZ37" s="482">
        <f>IF(AND(IW37&gt;0,IY37&gt;0),IY37-IW37,"0")</f>
        <v>10</v>
      </c>
      <c r="JA37" s="498">
        <f>IZ37-30</f>
        <v>-20</v>
      </c>
      <c r="JB37" s="508">
        <f>IF(AND(IT37&gt;0,IY37&gt;0),IY37-IT37,"0")</f>
        <v>104</v>
      </c>
      <c r="JC37" s="490">
        <v>41933</v>
      </c>
      <c r="JD37" s="491">
        <v>20852</v>
      </c>
      <c r="JE37" s="347">
        <v>41924</v>
      </c>
      <c r="JF37" s="487">
        <f>IF(AND(IY37&gt;0,JE37&gt;0),JE37-IY37,"0")</f>
        <v>0</v>
      </c>
      <c r="JG37" s="347">
        <f>DATE(YEAR(JE37),MONTH(JE37),DAY(JE37)+15)</f>
        <v>41939</v>
      </c>
      <c r="JH37" s="347">
        <v>41939</v>
      </c>
      <c r="JI37" s="487">
        <f>IF(AND(JG37&gt;0,JH37&gt;0),JH37-JG37,"0")</f>
        <v>0</v>
      </c>
      <c r="JJ37" s="347">
        <f>DATE(YEAR(JH37),MONTH(JH37),DAY(JH37)+15)</f>
        <v>41954</v>
      </c>
      <c r="JK37" s="347">
        <v>41951</v>
      </c>
      <c r="JL37" s="487">
        <f>IF(AND(JJ37&gt;0,JK37&gt;0),JK37-JJ37,"0")</f>
        <v>-3</v>
      </c>
      <c r="JM37" s="509">
        <f>IF(AND(JE37&gt;0,JK37&gt;0),JK37-JE37,"0")</f>
        <v>27</v>
      </c>
      <c r="JN37" s="610">
        <v>42055</v>
      </c>
      <c r="JO37" s="501">
        <f>IF(AND(JK37&gt;0,JN37&gt;0),JN37-JK37,"0")</f>
        <v>104</v>
      </c>
      <c r="JP37" s="498">
        <f>JO37-60</f>
        <v>44</v>
      </c>
      <c r="JQ37" s="482">
        <f>291/30</f>
        <v>9.6999999999999993</v>
      </c>
      <c r="JR37" s="504">
        <f>((+HS37+HU37+IB37+IJ37+IQ37+IU37+JB37+JI37+JF37)/30)-JQ37</f>
        <v>3.0333333333333332</v>
      </c>
      <c r="JS37" s="490">
        <v>42564</v>
      </c>
      <c r="JT37" s="491"/>
      <c r="JU37" s="490">
        <v>42564</v>
      </c>
      <c r="JV37" s="491"/>
      <c r="JW37" s="490">
        <v>42564</v>
      </c>
      <c r="JX37" s="491">
        <v>30071</v>
      </c>
      <c r="JY37" s="490">
        <v>42660</v>
      </c>
      <c r="JZ37" s="491">
        <v>8517</v>
      </c>
    </row>
    <row r="38" spans="1:286" ht="101.85" hidden="1" customHeight="1" x14ac:dyDescent="0.25">
      <c r="A38" s="141" t="s">
        <v>436</v>
      </c>
      <c r="B38" s="47" t="s">
        <v>53</v>
      </c>
      <c r="C38" s="47" t="s">
        <v>159</v>
      </c>
      <c r="D38" s="47">
        <v>2014</v>
      </c>
      <c r="E38" s="47" t="s">
        <v>220</v>
      </c>
      <c r="F38" s="47" t="s">
        <v>637</v>
      </c>
      <c r="G38" s="47" t="s">
        <v>278</v>
      </c>
      <c r="H38" s="20" t="s">
        <v>244</v>
      </c>
      <c r="I38" s="111" t="s">
        <v>168</v>
      </c>
      <c r="J38" s="111"/>
      <c r="K38" s="378"/>
      <c r="L38" s="303" t="s">
        <v>80</v>
      </c>
      <c r="M38" s="190" t="s">
        <v>188</v>
      </c>
      <c r="N38" s="191">
        <v>41407</v>
      </c>
      <c r="O38" s="386">
        <v>1492</v>
      </c>
      <c r="P38" s="386">
        <v>325000</v>
      </c>
      <c r="Q38" s="386">
        <v>85500</v>
      </c>
      <c r="R38" s="379">
        <f>P38/AD38</f>
        <v>36111.111111111109</v>
      </c>
      <c r="S38" s="386">
        <f>P38/O38</f>
        <v>217.82841823056302</v>
      </c>
      <c r="T38" s="387">
        <f>Q38/O38</f>
        <v>57.305630026809652</v>
      </c>
      <c r="U38" s="387">
        <f>Q38/AH38</f>
        <v>103.33949744370717</v>
      </c>
      <c r="V38" s="387">
        <f>Q38/AD38</f>
        <v>9500</v>
      </c>
      <c r="W38" s="379">
        <f>O38/AD38</f>
        <v>165.77777777777777</v>
      </c>
      <c r="X38" s="388"/>
      <c r="Y38" s="389">
        <f>AH38/O38</f>
        <v>0.55453753351206436</v>
      </c>
      <c r="Z38" s="388" t="s">
        <v>309</v>
      </c>
      <c r="AA38" s="384">
        <v>30</v>
      </c>
      <c r="AB38" s="385"/>
      <c r="AC38" s="47" t="s">
        <v>25</v>
      </c>
      <c r="AD38" s="639">
        <f>(AE38+AF38)</f>
        <v>9</v>
      </c>
      <c r="AE38" s="47">
        <v>9</v>
      </c>
      <c r="AF38" s="101"/>
      <c r="AG38" s="54">
        <v>858.51</v>
      </c>
      <c r="AH38" s="140">
        <v>827.37</v>
      </c>
      <c r="AI38" s="22">
        <f>AH38/AD38</f>
        <v>91.93</v>
      </c>
      <c r="AJ38" s="117">
        <v>0</v>
      </c>
      <c r="AK38" s="117">
        <v>0</v>
      </c>
      <c r="AL38" s="117">
        <v>0</v>
      </c>
      <c r="AM38" s="136">
        <f>8/AD38</f>
        <v>0.88888888888888884</v>
      </c>
      <c r="AN38" s="136">
        <f>1/AD38</f>
        <v>0.1111111111111111</v>
      </c>
      <c r="AO38" s="54"/>
      <c r="AP38" s="134">
        <v>0</v>
      </c>
      <c r="AQ38" s="136">
        <f>AP38/O38</f>
        <v>0</v>
      </c>
      <c r="AR38" s="115">
        <v>2</v>
      </c>
      <c r="AS38" s="47"/>
      <c r="AT38" s="111" t="s">
        <v>316</v>
      </c>
      <c r="AU38" s="111" t="s">
        <v>178</v>
      </c>
      <c r="AV38" s="47" t="s">
        <v>169</v>
      </c>
      <c r="AW38" s="338">
        <v>41604</v>
      </c>
      <c r="AX38" s="338">
        <v>41591</v>
      </c>
      <c r="AY38" s="338">
        <v>41773</v>
      </c>
      <c r="AZ38" s="420">
        <v>41596</v>
      </c>
      <c r="BA38" s="415" t="s">
        <v>754</v>
      </c>
      <c r="BB38" s="681" t="s">
        <v>763</v>
      </c>
      <c r="BC38" s="420" t="s">
        <v>757</v>
      </c>
      <c r="BD38" s="420" t="s">
        <v>758</v>
      </c>
      <c r="BE38" s="338">
        <v>41772</v>
      </c>
      <c r="BF38" s="338">
        <v>41793</v>
      </c>
      <c r="BG38" s="338">
        <v>41827</v>
      </c>
      <c r="BH38" s="338">
        <v>41855</v>
      </c>
      <c r="BI38" s="338">
        <v>42460</v>
      </c>
      <c r="BJ38" s="338">
        <v>42471</v>
      </c>
      <c r="BK38" s="111"/>
      <c r="BL38" s="111"/>
      <c r="BM38" s="111"/>
      <c r="BN38" s="194" t="s">
        <v>378</v>
      </c>
      <c r="BO38" s="194" t="s">
        <v>174</v>
      </c>
      <c r="BP38" s="196"/>
      <c r="BQ38" s="194" t="s">
        <v>174</v>
      </c>
      <c r="BR38" s="194" t="s">
        <v>174</v>
      </c>
      <c r="BS38" s="194" t="s">
        <v>621</v>
      </c>
      <c r="BT38" s="55"/>
      <c r="BU38" s="376">
        <v>41800</v>
      </c>
      <c r="BV38" s="160"/>
      <c r="BW38" s="160"/>
      <c r="BX38" s="160" t="s">
        <v>168</v>
      </c>
      <c r="BY38" s="160">
        <v>41820</v>
      </c>
      <c r="BZ38" s="376">
        <v>41963</v>
      </c>
      <c r="CA38" s="160"/>
      <c r="CB38" s="301">
        <v>42054</v>
      </c>
      <c r="CC38" s="372">
        <v>42059</v>
      </c>
      <c r="CD38" s="302">
        <v>42147</v>
      </c>
      <c r="CE38" s="302">
        <v>42074</v>
      </c>
      <c r="CF38" s="570">
        <v>42146</v>
      </c>
      <c r="CG38" s="569">
        <f>DATE(YEAR(CF38),MONTH(CF38)+24,DAY(CF38))</f>
        <v>42877</v>
      </c>
      <c r="CH38" s="569">
        <f>DATE(YEAR(CF38),MONTH(CF38)+36,DAY(CF38))</f>
        <v>43242</v>
      </c>
      <c r="CI38" s="569" t="str">
        <f>IF(EV38&gt;CG38,"oui","non")</f>
        <v>oui</v>
      </c>
      <c r="CJ38" s="307" t="s">
        <v>178</v>
      </c>
      <c r="CK38" s="71" t="s">
        <v>437</v>
      </c>
      <c r="CL38" s="81">
        <v>42074</v>
      </c>
      <c r="CM38" s="370">
        <v>42151</v>
      </c>
      <c r="CN38" s="82">
        <v>42180</v>
      </c>
      <c r="CO38" s="336" t="s">
        <v>526</v>
      </c>
      <c r="CP38" s="81">
        <v>42074</v>
      </c>
      <c r="CQ38" s="365">
        <v>42108</v>
      </c>
      <c r="CR38" s="81">
        <v>42178</v>
      </c>
      <c r="CS38" s="162"/>
      <c r="CT38" s="81">
        <v>42074</v>
      </c>
      <c r="CU38" s="365">
        <v>42121</v>
      </c>
      <c r="CV38" s="81">
        <v>42142</v>
      </c>
      <c r="CW38" s="162"/>
      <c r="CX38" s="81">
        <v>42074</v>
      </c>
      <c r="CY38" s="365">
        <v>42136</v>
      </c>
      <c r="CZ38" s="81">
        <v>42166</v>
      </c>
      <c r="DA38" s="162"/>
      <c r="DB38" s="296" t="s">
        <v>202</v>
      </c>
      <c r="DC38" s="300"/>
      <c r="DD38" s="296">
        <f>DC38*3/5</f>
        <v>0</v>
      </c>
      <c r="DE38" s="296"/>
      <c r="DF38" s="296"/>
      <c r="DG38" s="296"/>
      <c r="DH38" s="299" t="s">
        <v>794</v>
      </c>
      <c r="DI38" s="296"/>
      <c r="DJ38" s="296"/>
      <c r="DK38" s="292"/>
      <c r="DL38" s="293"/>
      <c r="DM38" s="293"/>
      <c r="DN38" s="292"/>
      <c r="DO38" s="293" t="s">
        <v>178</v>
      </c>
      <c r="DP38" s="293"/>
      <c r="DQ38" s="304">
        <v>42478</v>
      </c>
      <c r="DR38" s="443">
        <v>42548</v>
      </c>
      <c r="DS38" s="443">
        <v>42548</v>
      </c>
      <c r="DT38" s="297"/>
      <c r="DU38" s="304">
        <v>42522</v>
      </c>
      <c r="DV38" s="443"/>
      <c r="DW38" s="443">
        <v>43131</v>
      </c>
      <c r="DX38" s="413">
        <v>42509</v>
      </c>
      <c r="DY38" s="413">
        <v>42590</v>
      </c>
      <c r="DZ38" s="464">
        <v>42761</v>
      </c>
      <c r="EA38" s="413">
        <v>42500</v>
      </c>
      <c r="EB38" s="210"/>
      <c r="EC38" s="205">
        <v>13</v>
      </c>
      <c r="ED38" s="224">
        <f>EC38+2</f>
        <v>15</v>
      </c>
      <c r="EE38" s="422">
        <f>DATEDIF(EA38,EN38,"M")</f>
        <v>14</v>
      </c>
      <c r="EF38" s="422">
        <f>DATEDIF(EA38,EV38,"M")</f>
        <v>15</v>
      </c>
      <c r="EG38" s="422">
        <f>EE38-EC38</f>
        <v>1</v>
      </c>
      <c r="EH38" s="422"/>
      <c r="EI38" s="411">
        <f>64366.3774204337/12</f>
        <v>5363.8647850361422</v>
      </c>
      <c r="EJ38" s="411"/>
      <c r="EK38" s="413" t="s">
        <v>178</v>
      </c>
      <c r="EL38" s="223"/>
      <c r="EM38" s="223"/>
      <c r="EN38" s="210">
        <v>42948</v>
      </c>
      <c r="EO38" s="210">
        <f>DATE(YEAR(DV38)+2,MONTH(DV38),DAY(DV38))</f>
        <v>731</v>
      </c>
      <c r="EP38" s="223"/>
      <c r="EQ38" s="210"/>
      <c r="ER38" s="210"/>
      <c r="ES38" s="223"/>
      <c r="ET38" s="223"/>
      <c r="EU38" s="334">
        <f>DATE(YEAR(EN38),MONTH(EN38)+1,DAY(EN38))</f>
        <v>42979</v>
      </c>
      <c r="EV38" s="564">
        <f>EU38</f>
        <v>42979</v>
      </c>
      <c r="EW38" s="211" t="s">
        <v>506</v>
      </c>
      <c r="EX38" s="209"/>
      <c r="EY38" s="218" t="s">
        <v>892</v>
      </c>
      <c r="EZ38" s="218"/>
      <c r="FA38" s="218"/>
      <c r="FB38" s="218"/>
      <c r="FC38" s="218"/>
      <c r="FD38" s="111"/>
      <c r="FE38" s="111"/>
      <c r="FF38" s="111"/>
      <c r="FG38" s="111"/>
      <c r="FH38" s="111"/>
      <c r="FI38" s="111"/>
      <c r="FJ38" s="111"/>
      <c r="FK38" s="111"/>
      <c r="FL38" s="111"/>
      <c r="FM38" s="111"/>
      <c r="FN38" s="111"/>
      <c r="FO38" s="111"/>
      <c r="FP38" s="195"/>
      <c r="FQ38" s="49">
        <f>+GA38+GE38+GL38+HF38</f>
        <v>1568474</v>
      </c>
      <c r="FR38" s="66">
        <f>GB38+GF38+GK38+GM38+GQ38</f>
        <v>1814172</v>
      </c>
      <c r="FS38" s="92">
        <f>FR38-FQ38</f>
        <v>245698</v>
      </c>
      <c r="FT38" s="50">
        <f>FR38/AG38</f>
        <v>2113.1635042107837</v>
      </c>
      <c r="FU38" s="50">
        <f>FR38/AD38</f>
        <v>201574.66666666666</v>
      </c>
      <c r="FV38" s="49">
        <v>1344547</v>
      </c>
      <c r="FW38" s="66">
        <v>1545657.7250008537</v>
      </c>
      <c r="FX38" s="92">
        <f>FW38-FV38</f>
        <v>201110.72500085365</v>
      </c>
      <c r="FY38" s="231">
        <f>FW38*1.021/FR38</f>
        <v>0.86988253441562946</v>
      </c>
      <c r="FZ38" s="232"/>
      <c r="GA38" s="49">
        <v>478312</v>
      </c>
      <c r="GB38" s="66">
        <v>614225</v>
      </c>
      <c r="GC38" s="50">
        <f>GB38/AD38</f>
        <v>68247.222222222219</v>
      </c>
      <c r="GD38" s="74">
        <f>GB38-GA38</f>
        <v>135913</v>
      </c>
      <c r="GE38" s="49">
        <v>980627</v>
      </c>
      <c r="GF38" s="66">
        <f>GG38+GH38</f>
        <v>1199946</v>
      </c>
      <c r="GG38" s="93">
        <v>270994</v>
      </c>
      <c r="GH38" s="93">
        <v>928952</v>
      </c>
      <c r="GI38" s="74">
        <f>GF38-GE38</f>
        <v>219319</v>
      </c>
      <c r="GJ38" s="50">
        <f>GF38/AD38</f>
        <v>133327.33333333334</v>
      </c>
      <c r="GK38" s="66">
        <v>0</v>
      </c>
      <c r="GL38" s="49">
        <v>85500</v>
      </c>
      <c r="GM38" s="66">
        <v>1</v>
      </c>
      <c r="GN38" s="129">
        <v>0</v>
      </c>
      <c r="GO38" s="76">
        <f>GM38/FR38</f>
        <v>5.5121565099670815E-7</v>
      </c>
      <c r="GP38" s="590"/>
      <c r="GQ38" s="66">
        <v>0</v>
      </c>
      <c r="GR38" s="48">
        <f>GM38-GL38</f>
        <v>-85499</v>
      </c>
      <c r="GS38" s="95">
        <f>GM38/AD38</f>
        <v>0.1111111111111111</v>
      </c>
      <c r="GT38" s="138"/>
      <c r="GU38" s="51">
        <f>GR38/AD37</f>
        <v>-5343.6875</v>
      </c>
      <c r="GV38" s="96">
        <v>5.7</v>
      </c>
      <c r="GW38" s="96">
        <v>5.59</v>
      </c>
      <c r="GX38" s="75">
        <v>0</v>
      </c>
      <c r="GY38" s="75">
        <v>0</v>
      </c>
      <c r="GZ38" s="50">
        <f>(GB38+GM38+GY38)/AD36</f>
        <v>12284.52</v>
      </c>
      <c r="HA38" s="75"/>
      <c r="HB38" s="50">
        <f>(GB38+GM38+GY38+HA38)/AD36</f>
        <v>12284.52</v>
      </c>
      <c r="HC38" s="99">
        <f>(GB38+GM38+GY38+HA38)/(GX38+FR38-HD38)</f>
        <v>0.33857098444910405</v>
      </c>
      <c r="HD38" s="75"/>
      <c r="HE38" s="75"/>
      <c r="HF38" s="631">
        <v>24035</v>
      </c>
      <c r="HG38" s="77">
        <f>FR38+GX38</f>
        <v>1814172</v>
      </c>
      <c r="HH38" s="491">
        <v>89040</v>
      </c>
      <c r="HI38" s="491">
        <f>HK38+ID38+IH38+IS38+JD38+JT38+JV38+JX38+JZ38</f>
        <v>66780</v>
      </c>
      <c r="HJ38" s="494">
        <v>41324</v>
      </c>
      <c r="HK38" s="491">
        <v>7458</v>
      </c>
      <c r="HL38" s="415">
        <v>41555</v>
      </c>
      <c r="HM38" s="415">
        <f>DATE(YEAR(HL38),MONTH(HL38),DAY(HL38)+21)</f>
        <v>41576</v>
      </c>
      <c r="HN38" s="415">
        <v>41584</v>
      </c>
      <c r="HO38" s="497">
        <f>IF(AND(HM38&gt;0,HN38&gt;0),HN38-HM38,"0")</f>
        <v>8</v>
      </c>
      <c r="HP38" s="415">
        <v>41626</v>
      </c>
      <c r="HQ38" s="481">
        <f>IF(AND(HN38&gt;0,HP38&gt;0),HP38-HN38,"0")</f>
        <v>42</v>
      </c>
      <c r="HR38" s="497">
        <f>+HQ38-30</f>
        <v>12</v>
      </c>
      <c r="HS38" s="506">
        <f>IF(AND(HL38&gt;0,HP38&gt;0),HP38-HL38,"0")</f>
        <v>71</v>
      </c>
      <c r="HT38" s="415">
        <v>41641</v>
      </c>
      <c r="HU38" s="497">
        <f>IF(AND(HP38&gt;0,HT38&gt;0),HT38-HP38,"0")</f>
        <v>15</v>
      </c>
      <c r="HV38" s="415">
        <f>DATE(YEAR(HT38),MONTH(HT38),DAY(HT38)+21)</f>
        <v>41662</v>
      </c>
      <c r="HW38" s="415">
        <v>41669</v>
      </c>
      <c r="HX38" s="497">
        <f>IF(AND(HV38&gt;0,HW38&gt;0),HW38-HV38,"0")</f>
        <v>7</v>
      </c>
      <c r="HY38" s="415">
        <v>41684</v>
      </c>
      <c r="HZ38" s="481">
        <f>IF(AND(HW38&gt;0,HY38&gt;0),HY38-HW38,"0")</f>
        <v>15</v>
      </c>
      <c r="IA38" s="497">
        <f>+HZ38-30</f>
        <v>-15</v>
      </c>
      <c r="IB38" s="506">
        <f>IF(AND(HT38&gt;0,HY38&gt;0),HY38-HT38,"0")</f>
        <v>43</v>
      </c>
      <c r="IC38" s="490">
        <v>41681</v>
      </c>
      <c r="ID38" s="491">
        <v>5456</v>
      </c>
      <c r="IE38" s="415">
        <v>41672</v>
      </c>
      <c r="IF38" s="415">
        <v>41676</v>
      </c>
      <c r="IG38" s="494"/>
      <c r="IH38" s="491"/>
      <c r="II38" s="347">
        <v>41688</v>
      </c>
      <c r="IJ38" s="497">
        <f>IF(AND(HY38&gt;0,II38&gt;0),II38-HY38,"0")</f>
        <v>4</v>
      </c>
      <c r="IK38" s="347">
        <f>DATE(YEAR(II38),MONTH(II38),DAY(II38)+30)</f>
        <v>41718</v>
      </c>
      <c r="IL38" s="347">
        <v>41732</v>
      </c>
      <c r="IM38" s="497">
        <f>IF(AND(IK38&gt;0,IL38&gt;0),IL38-IK38,"0")</f>
        <v>14</v>
      </c>
      <c r="IN38" s="347">
        <v>41773</v>
      </c>
      <c r="IO38" s="481">
        <f>IF(AND(IL38&gt;0,IN38&gt;0),IN38-IL38,"0")</f>
        <v>41</v>
      </c>
      <c r="IP38" s="497">
        <f>+IO38-30</f>
        <v>11</v>
      </c>
      <c r="IQ38" s="506">
        <f>IF(AND(II38&gt;0,IN38&gt;0),IN38-II38,"0")</f>
        <v>85</v>
      </c>
      <c r="IR38" s="490">
        <v>41773</v>
      </c>
      <c r="IS38" s="491">
        <v>17627</v>
      </c>
      <c r="IT38" s="347">
        <v>41801</v>
      </c>
      <c r="IU38" s="498">
        <f>IF(AND(IN38&gt;0,IT38&gt;0),IT38-IN38,"0")</f>
        <v>28</v>
      </c>
      <c r="IV38" s="347">
        <f>DATE(YEAR(IT38),MONTH(IT38),DAY(IT38)+30)</f>
        <v>41831</v>
      </c>
      <c r="IW38" s="347">
        <v>41830</v>
      </c>
      <c r="IX38" s="498">
        <f>IF(AND(IV38&gt;0,IW38&gt;0),IW38-IV38,"0")</f>
        <v>-1</v>
      </c>
      <c r="IY38" s="347">
        <v>41946</v>
      </c>
      <c r="IZ38" s="482">
        <f>IF(AND(IW38&gt;0,IY38&gt;0),IY38-IW38,"0")</f>
        <v>116</v>
      </c>
      <c r="JA38" s="498">
        <f>IZ38-30</f>
        <v>86</v>
      </c>
      <c r="JB38" s="508">
        <f>IF(AND(IT38&gt;0,IY38&gt;0),IY38-IT38,"0")</f>
        <v>145</v>
      </c>
      <c r="JC38" s="490">
        <v>41946</v>
      </c>
      <c r="JD38" s="491">
        <v>13089</v>
      </c>
      <c r="JE38" s="347">
        <v>41946</v>
      </c>
      <c r="JF38" s="487">
        <f>IF(AND(IY38&gt;0,JE38&gt;0),JE38-IY38,"0")</f>
        <v>0</v>
      </c>
      <c r="JG38" s="347">
        <f>DATE(YEAR(JE38),MONTH(JE38),DAY(JE38)+15)</f>
        <v>41961</v>
      </c>
      <c r="JH38" s="347">
        <v>41961</v>
      </c>
      <c r="JI38" s="487">
        <f>IF(AND(JG38&gt;0,JH38&gt;0),JH38-JG38,"0")</f>
        <v>0</v>
      </c>
      <c r="JJ38" s="347">
        <f>DATE(YEAR(JH38),MONTH(JH38),DAY(JH38)+15)</f>
        <v>41976</v>
      </c>
      <c r="JK38" s="347">
        <v>41971</v>
      </c>
      <c r="JL38" s="487">
        <f>IF(AND(JJ38&gt;0,JK38&gt;0),JK38-JJ38,"0")</f>
        <v>-5</v>
      </c>
      <c r="JM38" s="509">
        <f>IF(AND(JE38&gt;0,JK38&gt;0),JK38-JE38,"0")</f>
        <v>25</v>
      </c>
      <c r="JN38" s="347">
        <v>42055</v>
      </c>
      <c r="JO38" s="501">
        <f>IF(AND(JK38&gt;0,JN38&gt;0),JN38-JK38,"0")</f>
        <v>84</v>
      </c>
      <c r="JP38" s="498">
        <f>JO38-60</f>
        <v>24</v>
      </c>
      <c r="JQ38" s="482">
        <f>291/30</f>
        <v>9.6999999999999993</v>
      </c>
      <c r="JR38" s="504">
        <f>((+HS38+HU38+IB38+IJ38+IQ38+IU38+JB38+JI38+JF38)/30)-JQ38</f>
        <v>3.3333333333333339</v>
      </c>
      <c r="JS38" s="490" t="s">
        <v>178</v>
      </c>
      <c r="JT38" s="491"/>
      <c r="JU38" s="490" t="s">
        <v>178</v>
      </c>
      <c r="JV38" s="491"/>
      <c r="JW38" s="490">
        <v>42594</v>
      </c>
      <c r="JX38" s="491">
        <v>17699</v>
      </c>
      <c r="JY38" s="490">
        <v>42712</v>
      </c>
      <c r="JZ38" s="491">
        <v>5451</v>
      </c>
    </row>
    <row r="39" spans="1:286" ht="57.75" hidden="1" customHeight="1" x14ac:dyDescent="0.25">
      <c r="A39" s="448" t="s">
        <v>971</v>
      </c>
      <c r="B39" s="20" t="s">
        <v>398</v>
      </c>
      <c r="C39" s="20" t="s">
        <v>159</v>
      </c>
      <c r="D39" s="20">
        <v>2016</v>
      </c>
      <c r="E39" s="20"/>
      <c r="F39" s="20" t="s">
        <v>638</v>
      </c>
      <c r="G39" s="20" t="s">
        <v>278</v>
      </c>
      <c r="H39" s="20" t="s">
        <v>244</v>
      </c>
      <c r="I39" s="110"/>
      <c r="J39" s="110"/>
      <c r="K39" s="453"/>
      <c r="L39" s="303"/>
      <c r="M39" s="190" t="s">
        <v>195</v>
      </c>
      <c r="N39" s="191"/>
      <c r="O39" s="379">
        <f>1582+1510</f>
        <v>3092</v>
      </c>
      <c r="P39" s="379">
        <v>900000</v>
      </c>
      <c r="Q39" s="379">
        <v>369642</v>
      </c>
      <c r="R39" s="379">
        <f>P39/AD39</f>
        <v>39130.434782608696</v>
      </c>
      <c r="S39" s="379">
        <f>P39/O39</f>
        <v>291.07373868046574</v>
      </c>
      <c r="T39" s="387">
        <f>Q39/O39</f>
        <v>119.54786545924968</v>
      </c>
      <c r="U39" s="387">
        <f>Q39/AH39</f>
        <v>240.6358940306815</v>
      </c>
      <c r="V39" s="387">
        <f>Q39/AD39</f>
        <v>16071.391304347826</v>
      </c>
      <c r="W39" s="379">
        <f>O39/AD39</f>
        <v>134.43478260869566</v>
      </c>
      <c r="X39" s="380"/>
      <c r="Y39" s="381">
        <f>AH39/O39</f>
        <v>0.49679980595084089</v>
      </c>
      <c r="Z39" s="380" t="s">
        <v>309</v>
      </c>
      <c r="AA39" s="382"/>
      <c r="AB39" s="383"/>
      <c r="AC39" s="20" t="s">
        <v>26</v>
      </c>
      <c r="AD39" s="640">
        <f>(AE39+AF39)</f>
        <v>23</v>
      </c>
      <c r="AE39" s="21"/>
      <c r="AF39" s="20">
        <v>23</v>
      </c>
      <c r="AG39" s="22">
        <v>1565.14</v>
      </c>
      <c r="AH39" s="401">
        <v>1536.105</v>
      </c>
      <c r="AI39" s="22">
        <f>AH39/AD39</f>
        <v>66.787173913043475</v>
      </c>
      <c r="AJ39" s="135"/>
      <c r="AK39" s="135">
        <v>0.23</v>
      </c>
      <c r="AL39" s="135"/>
      <c r="AM39" s="135"/>
      <c r="AN39" s="135"/>
      <c r="AO39" s="22"/>
      <c r="AP39" s="133"/>
      <c r="AQ39" s="135"/>
      <c r="AR39" s="114">
        <v>4</v>
      </c>
      <c r="AS39" s="20"/>
      <c r="AT39" s="110" t="s">
        <v>316</v>
      </c>
      <c r="AU39" s="110"/>
      <c r="AV39" s="20"/>
      <c r="AW39" s="540" t="s">
        <v>178</v>
      </c>
      <c r="AX39" s="540" t="s">
        <v>178</v>
      </c>
      <c r="AY39" s="415">
        <v>42475</v>
      </c>
      <c r="AZ39" s="332"/>
      <c r="BA39" s="332"/>
      <c r="BB39" s="332"/>
      <c r="BC39" s="332"/>
      <c r="BD39" s="332"/>
      <c r="BE39" s="110"/>
      <c r="BF39" s="110"/>
      <c r="BG39" s="110"/>
      <c r="BH39" s="110"/>
      <c r="BI39" s="110"/>
      <c r="BJ39" s="110"/>
      <c r="BK39" s="110"/>
      <c r="BL39" s="110"/>
      <c r="BM39" s="110"/>
      <c r="BN39" s="194" t="s">
        <v>17</v>
      </c>
      <c r="BO39" s="194" t="s">
        <v>441</v>
      </c>
      <c r="BP39" s="196"/>
      <c r="BQ39" s="194" t="s">
        <v>174</v>
      </c>
      <c r="BR39" s="194" t="s">
        <v>174</v>
      </c>
      <c r="BS39" s="194" t="s">
        <v>742</v>
      </c>
      <c r="BT39" s="67"/>
      <c r="BU39" s="160">
        <v>42543</v>
      </c>
      <c r="BV39" s="160">
        <v>42572</v>
      </c>
      <c r="BW39" s="160"/>
      <c r="BX39" s="160" t="s">
        <v>178</v>
      </c>
      <c r="BY39" s="160">
        <v>42557</v>
      </c>
      <c r="BZ39" s="376">
        <v>42606</v>
      </c>
      <c r="CA39" s="160">
        <v>42606</v>
      </c>
      <c r="CB39" s="301">
        <v>42606</v>
      </c>
      <c r="CC39" s="372">
        <v>42620</v>
      </c>
      <c r="CD39" s="302">
        <v>42711</v>
      </c>
      <c r="CE39" s="302">
        <v>42654</v>
      </c>
      <c r="CF39" s="161"/>
      <c r="CG39" s="336">
        <f>DATE(YEAR(CF39),MONTH(CF39)+24,DAY(CF39))</f>
        <v>731</v>
      </c>
      <c r="CH39" s="336">
        <f>DATE(YEAR(CF39),MONTH(CF39)+36,DAY(CF39))</f>
        <v>1096</v>
      </c>
      <c r="CI39" s="336"/>
      <c r="CJ39" s="302">
        <v>42627</v>
      </c>
      <c r="CK39" s="306" t="s">
        <v>969</v>
      </c>
      <c r="CL39" s="82">
        <v>42653</v>
      </c>
      <c r="CM39" s="370">
        <v>42711</v>
      </c>
      <c r="CN39" s="82">
        <v>42730</v>
      </c>
      <c r="CO39" s="161">
        <v>42747</v>
      </c>
      <c r="CP39" s="82">
        <v>42653</v>
      </c>
      <c r="CQ39" s="365">
        <v>42720</v>
      </c>
      <c r="CR39" s="81"/>
      <c r="CS39" s="162"/>
      <c r="CT39" s="82">
        <v>42654</v>
      </c>
      <c r="CU39" s="365">
        <v>42716</v>
      </c>
      <c r="CV39" s="81"/>
      <c r="CW39" s="162"/>
      <c r="CX39" s="82">
        <v>42653</v>
      </c>
      <c r="CY39" s="539" t="s">
        <v>1047</v>
      </c>
      <c r="CZ39" s="81"/>
      <c r="DA39" s="162"/>
      <c r="DB39" s="296" t="s">
        <v>202</v>
      </c>
      <c r="DC39" s="296"/>
      <c r="DD39" s="296"/>
      <c r="DE39" s="296" t="s">
        <v>773</v>
      </c>
      <c r="DF39" s="296" t="s">
        <v>791</v>
      </c>
      <c r="DG39" s="296"/>
      <c r="DH39" s="299" t="s">
        <v>202</v>
      </c>
      <c r="DI39" s="296"/>
      <c r="DJ39" s="296"/>
      <c r="DK39" s="297" t="s">
        <v>230</v>
      </c>
      <c r="DL39" s="298" t="s">
        <v>178</v>
      </c>
      <c r="DM39" s="298" t="s">
        <v>774</v>
      </c>
      <c r="DN39" s="297" t="s">
        <v>785</v>
      </c>
      <c r="DO39" s="297" t="s">
        <v>785</v>
      </c>
      <c r="DP39" s="298" t="s">
        <v>785</v>
      </c>
      <c r="DQ39" s="304">
        <v>42727</v>
      </c>
      <c r="DR39" s="443"/>
      <c r="DS39" s="443"/>
      <c r="DT39" s="297"/>
      <c r="DU39" s="304">
        <f>DATE(YEAR(DQ39),MONTH(DQ39)+18,DAY(DQ39))</f>
        <v>43274</v>
      </c>
      <c r="DV39" s="443"/>
      <c r="DW39" s="443"/>
      <c r="DX39" s="423"/>
      <c r="DY39" s="414">
        <v>42780</v>
      </c>
      <c r="DZ39" s="423"/>
      <c r="EA39" s="414">
        <v>42583</v>
      </c>
      <c r="EB39" s="423"/>
      <c r="EC39" s="430">
        <v>16</v>
      </c>
      <c r="ED39" s="430">
        <f>EC39+2</f>
        <v>18</v>
      </c>
      <c r="EE39" s="422">
        <f>DATEDIF(EA39,EN39,"M")</f>
        <v>16</v>
      </c>
      <c r="EF39" s="422">
        <f>DATEDIF(EA39,EV39,"M")</f>
        <v>17</v>
      </c>
      <c r="EG39" s="422">
        <f>EE39-EC39</f>
        <v>0</v>
      </c>
      <c r="EH39" s="422"/>
      <c r="EI39" s="431"/>
      <c r="EJ39" s="431"/>
      <c r="EK39" s="423"/>
      <c r="EL39" s="423"/>
      <c r="EM39" s="423"/>
      <c r="EN39" s="210">
        <f>DATE(YEAR(EA39),MONTH(EA39)+EC39,DAY(EA39))</f>
        <v>43070</v>
      </c>
      <c r="EO39" s="210">
        <f>DATE(YEAR(DV39)+2,MONTH(DV39),DAY(DV39))</f>
        <v>731</v>
      </c>
      <c r="EP39" s="423"/>
      <c r="EQ39" s="423"/>
      <c r="ER39" s="423"/>
      <c r="ES39" s="423"/>
      <c r="ET39" s="423"/>
      <c r="EU39" s="334">
        <f>DATE(YEAR(EN39),MONTH(EN39)+1,DAY(EN39))</f>
        <v>43101</v>
      </c>
      <c r="EV39" s="206">
        <f>EU39</f>
        <v>43101</v>
      </c>
      <c r="EW39" s="206"/>
      <c r="EX39" s="209"/>
      <c r="EY39" s="434"/>
      <c r="EZ39" s="212"/>
      <c r="FA39" s="212"/>
      <c r="FB39" s="212"/>
      <c r="FC39" s="212"/>
      <c r="FD39" s="110"/>
      <c r="FE39" s="110"/>
      <c r="FF39" s="110"/>
      <c r="FG39" s="110"/>
      <c r="FH39" s="110"/>
      <c r="FI39" s="110"/>
      <c r="FJ39" s="110"/>
      <c r="FK39" s="110"/>
      <c r="FL39" s="110"/>
      <c r="FM39" s="110"/>
      <c r="FN39" s="110"/>
      <c r="FO39" s="110"/>
      <c r="FP39" s="195"/>
      <c r="FQ39" s="23">
        <f>+GA39+GE39+GL39+HF39</f>
        <v>3245521</v>
      </c>
      <c r="FR39" s="559">
        <f>GB39+GF39+GK39+GM39+GQ39</f>
        <v>3202767</v>
      </c>
      <c r="FS39" s="25">
        <f>FR39-FQ39</f>
        <v>-42754</v>
      </c>
      <c r="FT39" s="50">
        <f>FR39/AG39</f>
        <v>2046.3134288306476</v>
      </c>
      <c r="FU39" s="50">
        <f>FR39/AD39</f>
        <v>139250.73913043478</v>
      </c>
      <c r="FV39" s="23">
        <v>2739144</v>
      </c>
      <c r="FW39" s="24">
        <v>2739915</v>
      </c>
      <c r="FX39" s="25">
        <f>FW39-FV39</f>
        <v>771</v>
      </c>
      <c r="FY39" s="231">
        <f>FW39*1.021/FR39</f>
        <v>0.87344886936826804</v>
      </c>
      <c r="FZ39" s="234">
        <v>0.39772600000000002</v>
      </c>
      <c r="GA39" s="23">
        <v>867640</v>
      </c>
      <c r="GB39" s="24">
        <v>901691</v>
      </c>
      <c r="GC39" s="50">
        <f>GB39/AD39</f>
        <v>39203.956521739128</v>
      </c>
      <c r="GD39" s="73">
        <f>GB39-GA39</f>
        <v>34051</v>
      </c>
      <c r="GE39" s="23">
        <v>1848881</v>
      </c>
      <c r="GF39" s="24">
        <f>GG39+GH39</f>
        <v>1772076</v>
      </c>
      <c r="GG39" s="26">
        <v>296327</v>
      </c>
      <c r="GH39" s="26">
        <v>1475749</v>
      </c>
      <c r="GI39" s="73">
        <f>GF39-GE39</f>
        <v>-76805</v>
      </c>
      <c r="GJ39" s="50">
        <f>GF39/AD39</f>
        <v>77046.782608695648</v>
      </c>
      <c r="GK39" s="24"/>
      <c r="GL39" s="23">
        <v>529000</v>
      </c>
      <c r="GM39" s="559">
        <f>GL39</f>
        <v>529000</v>
      </c>
      <c r="GN39" s="124"/>
      <c r="GO39" s="76">
        <f>GM39/FR39</f>
        <v>0.16516967984246123</v>
      </c>
      <c r="GP39" s="590"/>
      <c r="GQ39" s="24">
        <v>0</v>
      </c>
      <c r="GR39" s="51">
        <f>GM39-GL39</f>
        <v>0</v>
      </c>
      <c r="GS39" s="50">
        <f>GM39/AD39</f>
        <v>23000</v>
      </c>
      <c r="GT39" s="138">
        <f>(GB39+GM39)/AD39</f>
        <v>62203.956521739128</v>
      </c>
      <c r="GU39" s="51">
        <f>GR39/AD39</f>
        <v>0</v>
      </c>
      <c r="GV39" s="97">
        <v>5.55</v>
      </c>
      <c r="GW39" s="97">
        <v>5.48</v>
      </c>
      <c r="GX39" s="75">
        <v>0</v>
      </c>
      <c r="GY39" s="75">
        <v>0</v>
      </c>
      <c r="GZ39" s="50">
        <f>(GA39+GL39+GY39)/AD39</f>
        <v>60723.478260869568</v>
      </c>
      <c r="HA39" s="75">
        <v>0</v>
      </c>
      <c r="HB39" s="50">
        <f>(GB39+GM39+GY39+HA39)/AD39</f>
        <v>62203.956521739128</v>
      </c>
      <c r="HC39" s="99">
        <f>(GA39+GL39+GY39+HA39)/(GX39+FQ39-HD39)</f>
        <v>0.4303284434147861</v>
      </c>
      <c r="HD39" s="75">
        <v>0</v>
      </c>
      <c r="HE39" s="75"/>
      <c r="HF39" s="24">
        <v>0</v>
      </c>
      <c r="HG39" s="77">
        <f>FR39+GX39</f>
        <v>3202767</v>
      </c>
      <c r="HH39" s="491">
        <f>110030.5/1.085</f>
        <v>101410.59907834102</v>
      </c>
      <c r="HI39" s="491">
        <f>JT39+JV39+JX39</f>
        <v>84354.894009216587</v>
      </c>
      <c r="HJ39" s="491"/>
      <c r="HK39" s="491"/>
      <c r="HL39" s="415"/>
      <c r="HM39" s="415"/>
      <c r="HN39" s="415"/>
      <c r="HO39" s="497" t="str">
        <f>IF(AND(HM39&gt;0,HN39&gt;0),HN39-HM39,"0")</f>
        <v>0</v>
      </c>
      <c r="HP39" s="415"/>
      <c r="HQ39" s="481" t="str">
        <f>IF(AND(HN39&gt;0,HP39&gt;0),HP39-HN39,"0")</f>
        <v>0</v>
      </c>
      <c r="HR39" s="497">
        <f>+HQ39-30</f>
        <v>-30</v>
      </c>
      <c r="HS39" s="506" t="str">
        <f>IF(AND(HL39&gt;0,HP39&gt;0),HP39-HL39,"0")</f>
        <v>0</v>
      </c>
      <c r="HT39" s="415"/>
      <c r="HU39" s="497" t="str">
        <f>IF(AND(HP39&gt;0,HT39&gt;0),HT39-HP39,"0")</f>
        <v>0</v>
      </c>
      <c r="HV39" s="415"/>
      <c r="HW39" s="415"/>
      <c r="HX39" s="497" t="str">
        <f>IF(AND(HV39&gt;0,HW39&gt;0),HW39-HV39,"0")</f>
        <v>0</v>
      </c>
      <c r="HY39" s="540"/>
      <c r="HZ39" s="481" t="str">
        <f>IF(AND(HW39&gt;0,HY39&gt;0),HY39-HW39,"0")</f>
        <v>0</v>
      </c>
      <c r="IA39" s="497"/>
      <c r="IB39" s="506" t="str">
        <f>IF(AND(HT39&gt;0,HY39&gt;0),HY39-HT39,"0")</f>
        <v>0</v>
      </c>
      <c r="IC39" s="490"/>
      <c r="ID39" s="491"/>
      <c r="IE39" s="415"/>
      <c r="IF39" s="415"/>
      <c r="IG39" s="494"/>
      <c r="IH39" s="491"/>
      <c r="II39" s="347"/>
      <c r="IJ39" s="497" t="str">
        <f>IF(AND(HY39&gt;0,II39&gt;0),II39-HY39,"0")</f>
        <v>0</v>
      </c>
      <c r="IK39" s="347"/>
      <c r="IL39" s="347"/>
      <c r="IM39" s="497" t="str">
        <f>IF(AND(IK39&gt;0,IL39&gt;0),IL39-IK39,"0")</f>
        <v>0</v>
      </c>
      <c r="IN39" s="347"/>
      <c r="IO39" s="481" t="str">
        <f>IF(AND(IL39&gt;0,IN39&gt;0),IN39-IL39,"0")</f>
        <v>0</v>
      </c>
      <c r="IP39" s="497">
        <f>+IO39-30</f>
        <v>-30</v>
      </c>
      <c r="IQ39" s="506" t="str">
        <f>IF(AND(II39&gt;0,IN39&gt;0),IN39-II39,"0")</f>
        <v>0</v>
      </c>
      <c r="IR39" s="490"/>
      <c r="IS39" s="491"/>
      <c r="IT39" s="347"/>
      <c r="IU39" s="498" t="str">
        <f>IF(AND(IN39&gt;0,IT39&gt;0),IT39-IN39,"0")</f>
        <v>0</v>
      </c>
      <c r="IV39" s="347"/>
      <c r="IW39" s="347"/>
      <c r="IX39" s="498" t="str">
        <f>IF(AND(IV39&gt;0,IW39&gt;0),IW39-IV39,"0")</f>
        <v>0</v>
      </c>
      <c r="IY39" s="347"/>
      <c r="IZ39" s="482" t="str">
        <f>IF(AND(IW39&gt;0,IY39&gt;0),IY39-IW39,"0")</f>
        <v>0</v>
      </c>
      <c r="JA39" s="498"/>
      <c r="JB39" s="508" t="str">
        <f>IF(AND(IT39&gt;0,IY39&gt;0),IY39-IT39,"0")</f>
        <v>0</v>
      </c>
      <c r="JC39" s="490"/>
      <c r="JD39" s="491"/>
      <c r="JE39" s="347"/>
      <c r="JF39" s="487" t="str">
        <f>IF(AND(IY39&gt;0,JE39&gt;0),JE39-IY39,"0")</f>
        <v>0</v>
      </c>
      <c r="JG39" s="347"/>
      <c r="JH39" s="347"/>
      <c r="JI39" s="487" t="str">
        <f>IF(AND(JG39&gt;0,JH39&gt;0),JH39-JG39,"0")</f>
        <v>0</v>
      </c>
      <c r="JJ39" s="347"/>
      <c r="JK39" s="347"/>
      <c r="JL39" s="487" t="str">
        <f>IF(AND(JJ39&gt;0,JK39&gt;0),JK39-JJ39,"0")</f>
        <v>0</v>
      </c>
      <c r="JM39" s="509" t="str">
        <f>IF(AND(JE39&gt;0,JK39&gt;0),JK39-JE39,"0")</f>
        <v>0</v>
      </c>
      <c r="JN39" s="347"/>
      <c r="JO39" s="501" t="str">
        <f>IF(AND(JK39&gt;0,JN39&gt;0),JN39-JK39,"0")</f>
        <v>0</v>
      </c>
      <c r="JP39" s="498">
        <f>JO39-60</f>
        <v>-60</v>
      </c>
      <c r="JQ39" s="482">
        <f>291/30</f>
        <v>9.6999999999999993</v>
      </c>
      <c r="JR39" s="504">
        <f>((+HS39+HU39+IB39+IJ39+IQ39+IU39+JB39+JI39+JF39)/30)-JQ39</f>
        <v>-9.6999999999999993</v>
      </c>
      <c r="JS39" s="490">
        <v>42716</v>
      </c>
      <c r="JT39" s="491">
        <v>18438</v>
      </c>
      <c r="JU39" s="490"/>
      <c r="JV39" s="491"/>
      <c r="JW39" s="494">
        <v>42727</v>
      </c>
      <c r="JX39" s="491">
        <f>71519.83/1.085</f>
        <v>65916.894009216587</v>
      </c>
      <c r="JY39" s="586"/>
      <c r="JZ39" s="586"/>
    </row>
    <row r="40" spans="1:286" ht="58.7" hidden="1" customHeight="1" x14ac:dyDescent="0.25">
      <c r="A40" s="141" t="s">
        <v>438</v>
      </c>
      <c r="B40" s="20" t="s">
        <v>38</v>
      </c>
      <c r="C40" s="20" t="s">
        <v>157</v>
      </c>
      <c r="D40" s="20">
        <v>2015</v>
      </c>
      <c r="E40" s="20" t="s">
        <v>981</v>
      </c>
      <c r="F40" s="20" t="s">
        <v>40</v>
      </c>
      <c r="G40" s="20" t="s">
        <v>273</v>
      </c>
      <c r="H40" s="20" t="s">
        <v>644</v>
      </c>
      <c r="I40" s="110"/>
      <c r="J40" s="110"/>
      <c r="K40" s="453"/>
      <c r="L40" s="303"/>
      <c r="M40" s="190" t="s">
        <v>195</v>
      </c>
      <c r="N40" s="191"/>
      <c r="O40" s="387">
        <v>3038</v>
      </c>
      <c r="P40" s="387">
        <f>Q40</f>
        <v>690000</v>
      </c>
      <c r="Q40" s="387">
        <v>690000</v>
      </c>
      <c r="R40" s="379">
        <f>P40/AD40</f>
        <v>12545.454545454546</v>
      </c>
      <c r="S40" s="387">
        <f>P40/O40</f>
        <v>227.12310730743911</v>
      </c>
      <c r="T40" s="387">
        <f>Q40/O40</f>
        <v>227.12310730743911</v>
      </c>
      <c r="U40" s="387">
        <f>Q40/AH40</f>
        <v>213.33828030794916</v>
      </c>
      <c r="V40" s="387">
        <f>Q40/AD40</f>
        <v>12545.454545454546</v>
      </c>
      <c r="W40" s="379">
        <f>O40/AD40</f>
        <v>55.236363636363635</v>
      </c>
      <c r="X40" s="391"/>
      <c r="Y40" s="392">
        <f>AH40/O40</f>
        <v>1.0646148782093483</v>
      </c>
      <c r="Z40" s="391" t="s">
        <v>303</v>
      </c>
      <c r="AA40" s="382"/>
      <c r="AB40" s="383"/>
      <c r="AC40" s="47" t="s">
        <v>26</v>
      </c>
      <c r="AD40" s="640">
        <f>(AE40+AF40)</f>
        <v>55</v>
      </c>
      <c r="AE40" s="21"/>
      <c r="AF40" s="20">
        <f>55*1</f>
        <v>55</v>
      </c>
      <c r="AG40" s="22">
        <v>3218.48</v>
      </c>
      <c r="AH40" s="140">
        <v>3234.3</v>
      </c>
      <c r="AI40" s="22">
        <f>AH40/AD40</f>
        <v>58.805454545454552</v>
      </c>
      <c r="AJ40" s="116"/>
      <c r="AK40" s="135">
        <v>1</v>
      </c>
      <c r="AL40" s="116"/>
      <c r="AM40" s="116"/>
      <c r="AN40" s="116"/>
      <c r="AO40" s="22"/>
      <c r="AP40" s="133">
        <v>0</v>
      </c>
      <c r="AQ40" s="135">
        <f>AP40/O40</f>
        <v>0</v>
      </c>
      <c r="AR40" s="114">
        <v>3</v>
      </c>
      <c r="AS40" s="20"/>
      <c r="AT40" s="110"/>
      <c r="AU40" s="110"/>
      <c r="AV40" s="20"/>
      <c r="AW40" s="332">
        <v>41940</v>
      </c>
      <c r="AX40" s="112" t="s">
        <v>492</v>
      </c>
      <c r="AY40" s="110"/>
      <c r="AZ40" s="415">
        <v>42488</v>
      </c>
      <c r="BA40" s="415"/>
      <c r="BB40" s="415"/>
      <c r="BC40" s="415"/>
      <c r="BD40" s="415"/>
      <c r="BE40" s="110"/>
      <c r="BF40" s="110"/>
      <c r="BG40" s="110"/>
      <c r="BH40" s="110"/>
      <c r="BI40" s="110"/>
      <c r="BJ40" s="110"/>
      <c r="BK40" s="110"/>
      <c r="BL40" s="110"/>
      <c r="BM40" s="110"/>
      <c r="BN40" s="196" t="s">
        <v>17</v>
      </c>
      <c r="BO40" s="345">
        <v>42285</v>
      </c>
      <c r="BP40" s="358">
        <v>42651</v>
      </c>
      <c r="BQ40" s="194"/>
      <c r="BR40" s="194"/>
      <c r="BS40" s="194" t="s">
        <v>980</v>
      </c>
      <c r="BT40" s="55"/>
      <c r="BU40" s="376">
        <v>42320</v>
      </c>
      <c r="BV40" s="160"/>
      <c r="BW40" s="160"/>
      <c r="BX40" s="160">
        <v>42338</v>
      </c>
      <c r="BY40" s="160">
        <v>42649</v>
      </c>
      <c r="BZ40" s="376">
        <v>42697</v>
      </c>
      <c r="CA40" s="160">
        <v>42698</v>
      </c>
      <c r="CB40" s="301" t="s">
        <v>178</v>
      </c>
      <c r="CC40" s="372">
        <v>42719</v>
      </c>
      <c r="CD40" s="302">
        <v>42805</v>
      </c>
      <c r="CE40" s="302">
        <v>42727</v>
      </c>
      <c r="CF40" s="161"/>
      <c r="CG40" s="336">
        <f>DATE(YEAR(CF40),MONTH(CF40)+24,DAY(CF40))</f>
        <v>731</v>
      </c>
      <c r="CH40" s="336">
        <f>DATE(YEAR(CF40),MONTH(CF40)+36,DAY(CF40))</f>
        <v>1096</v>
      </c>
      <c r="CI40" s="336"/>
      <c r="CJ40" s="302"/>
      <c r="CK40" s="301"/>
      <c r="CL40" s="82">
        <v>42727</v>
      </c>
      <c r="CM40" s="370"/>
      <c r="CN40" s="80"/>
      <c r="CO40" s="166"/>
      <c r="CP40" s="82">
        <v>42727</v>
      </c>
      <c r="CQ40" s="365"/>
      <c r="CR40" s="80"/>
      <c r="CS40" s="166"/>
      <c r="CT40" s="82">
        <v>42727</v>
      </c>
      <c r="CU40" s="366"/>
      <c r="CV40" s="80"/>
      <c r="CW40" s="166"/>
      <c r="CX40" s="82">
        <v>42727</v>
      </c>
      <c r="CY40" s="539" t="s">
        <v>1047</v>
      </c>
      <c r="CZ40" s="80"/>
      <c r="DA40" s="166"/>
      <c r="DB40" s="296" t="s">
        <v>195</v>
      </c>
      <c r="DC40" s="300"/>
      <c r="DD40" s="300">
        <f>DC40*3/5</f>
        <v>0</v>
      </c>
      <c r="DE40" s="296"/>
      <c r="DF40" s="296"/>
      <c r="DG40" s="296"/>
      <c r="DH40" s="299" t="s">
        <v>795</v>
      </c>
      <c r="DI40" s="296"/>
      <c r="DJ40" s="296"/>
      <c r="DK40" s="297" t="s">
        <v>230</v>
      </c>
      <c r="DL40" s="298"/>
      <c r="DM40" s="298"/>
      <c r="DN40" s="304">
        <v>42767</v>
      </c>
      <c r="DO40" s="297" t="s">
        <v>785</v>
      </c>
      <c r="DP40" s="298" t="s">
        <v>785</v>
      </c>
      <c r="DQ40" s="304">
        <v>41631</v>
      </c>
      <c r="DR40" s="443"/>
      <c r="DS40" s="443"/>
      <c r="DT40" s="297"/>
      <c r="DU40" s="304">
        <f>DATE(YEAR(DQ40),MONTH(DQ40)+18,DAY(DQ40))</f>
        <v>42178</v>
      </c>
      <c r="DV40" s="443"/>
      <c r="DW40" s="443"/>
      <c r="DX40" s="423"/>
      <c r="DY40" s="423"/>
      <c r="DZ40" s="423"/>
      <c r="EA40" s="414">
        <v>42767</v>
      </c>
      <c r="EB40" s="423"/>
      <c r="EC40" s="430">
        <v>18</v>
      </c>
      <c r="ED40" s="430">
        <f>EC40+2</f>
        <v>20</v>
      </c>
      <c r="EE40" s="422">
        <f>DATEDIF(EA40,EN40,"M")</f>
        <v>18</v>
      </c>
      <c r="EF40" s="422">
        <f>DATEDIF(EA40,EV40,"M")</f>
        <v>19</v>
      </c>
      <c r="EG40" s="422">
        <f>EE40-EC40</f>
        <v>0</v>
      </c>
      <c r="EH40" s="422"/>
      <c r="EI40" s="431"/>
      <c r="EJ40" s="431"/>
      <c r="EK40" s="423"/>
      <c r="EL40" s="423"/>
      <c r="EM40" s="423"/>
      <c r="EN40" s="210">
        <f>DATE(YEAR(EA40),MONTH(EA40)+EC40,DAY(EA40))</f>
        <v>43313</v>
      </c>
      <c r="EO40" s="210">
        <f>DATE(YEAR(DV40)+2,MONTH(DV40),DAY(DV40))</f>
        <v>731</v>
      </c>
      <c r="EP40" s="423"/>
      <c r="EQ40" s="423"/>
      <c r="ER40" s="423"/>
      <c r="ES40" s="423"/>
      <c r="ET40" s="423"/>
      <c r="EU40" s="334">
        <f>DATE(YEAR(EN40),MONTH(EN40)+1,DAY(EN40))</f>
        <v>43344</v>
      </c>
      <c r="EV40" s="206">
        <f>EU40</f>
        <v>43344</v>
      </c>
      <c r="EW40" s="206"/>
      <c r="EX40" s="209"/>
      <c r="EY40" s="434"/>
      <c r="EZ40" s="212"/>
      <c r="FA40" s="212"/>
      <c r="FB40" s="212"/>
      <c r="FC40" s="212"/>
      <c r="FD40" s="110"/>
      <c r="FE40" s="110"/>
      <c r="FF40" s="110"/>
      <c r="FG40" s="110"/>
      <c r="FH40" s="110"/>
      <c r="FI40" s="110"/>
      <c r="FJ40" s="110"/>
      <c r="FK40" s="110"/>
      <c r="FL40" s="110"/>
      <c r="FM40" s="110"/>
      <c r="FN40" s="110"/>
      <c r="FO40" s="110"/>
      <c r="FP40" s="195"/>
      <c r="FQ40" s="23">
        <f>+GA40+GE40+GL40+HF40</f>
        <v>6578594.558091728</v>
      </c>
      <c r="FR40" s="24">
        <f>GB40+GF40+GK40+GM40+GQ40</f>
        <v>6893824</v>
      </c>
      <c r="FS40" s="25"/>
      <c r="FT40" s="50">
        <f>FR40/AG40</f>
        <v>2141.9502373791356</v>
      </c>
      <c r="FU40" s="50">
        <f>FR40/AD40</f>
        <v>125342.25454545455</v>
      </c>
      <c r="FV40" s="23">
        <v>5462235</v>
      </c>
      <c r="FW40" s="24">
        <v>5874333.7564800717</v>
      </c>
      <c r="FX40" s="25">
        <f>FW40-FV40</f>
        <v>412098.75648007169</v>
      </c>
      <c r="FY40" s="231">
        <f>FW40*1.021/FR40</f>
        <v>0.87000984727288555</v>
      </c>
      <c r="FZ40" s="234">
        <v>0.39772600000000002</v>
      </c>
      <c r="GA40" s="23">
        <v>1733988.3513843757</v>
      </c>
      <c r="GB40" s="24">
        <v>1928374</v>
      </c>
      <c r="GC40" s="50">
        <f>GB40/AD40</f>
        <v>35061.345454545452</v>
      </c>
      <c r="GD40" s="73">
        <f>GB40-GA40</f>
        <v>194385.64861562429</v>
      </c>
      <c r="GE40" s="23">
        <v>3744606.2067073518</v>
      </c>
      <c r="GF40" s="24">
        <f>GH40+GG40</f>
        <v>3865450</v>
      </c>
      <c r="GG40" s="26">
        <v>738146</v>
      </c>
      <c r="GH40" s="26">
        <v>3127304</v>
      </c>
      <c r="GI40" s="73">
        <f>GF40-GE40</f>
        <v>120843.79329264816</v>
      </c>
      <c r="GJ40" s="50">
        <f>GF40/AD40</f>
        <v>70280.909090909088</v>
      </c>
      <c r="GK40" s="24"/>
      <c r="GL40" s="23">
        <f>1100000*1</f>
        <v>1100000</v>
      </c>
      <c r="GM40" s="24">
        <v>1100000</v>
      </c>
      <c r="GN40" s="124">
        <v>0</v>
      </c>
      <c r="GO40" s="76">
        <f>GM40/FR40</f>
        <v>0.15956311040142598</v>
      </c>
      <c r="GP40" s="590"/>
      <c r="GQ40" s="24">
        <v>0</v>
      </c>
      <c r="GR40" s="51">
        <f>GM40-GL40</f>
        <v>0</v>
      </c>
      <c r="GS40" s="50">
        <f>GM40/AD40</f>
        <v>20000</v>
      </c>
      <c r="GT40" s="138">
        <f>(GB40+GM40)/AD40</f>
        <v>55061.345454545452</v>
      </c>
      <c r="GU40" s="51">
        <f>GR40/AD38</f>
        <v>0</v>
      </c>
      <c r="GV40" s="96">
        <v>5.78</v>
      </c>
      <c r="GW40" s="96">
        <v>5.69</v>
      </c>
      <c r="GX40" s="75">
        <v>0</v>
      </c>
      <c r="GY40" s="75">
        <v>0</v>
      </c>
      <c r="GZ40" s="50">
        <f>(GB40+GM40+GY40)/AD40</f>
        <v>55061.345454545452</v>
      </c>
      <c r="HA40" s="75">
        <v>0</v>
      </c>
      <c r="HB40" s="50">
        <f>(GB40+GM40+GY40+HA40)/AD40</f>
        <v>55061.345454545452</v>
      </c>
      <c r="HC40" s="99">
        <f>(GB40+GM40+GY40+HA40)/(GX40+FR40-HD40)</f>
        <v>0.43928797718073453</v>
      </c>
      <c r="HD40" s="75">
        <v>0</v>
      </c>
      <c r="HE40" s="75"/>
      <c r="HF40" s="24">
        <v>0</v>
      </c>
      <c r="HG40" s="77">
        <f>FR40+GX40</f>
        <v>6893824</v>
      </c>
      <c r="HH40" s="491">
        <f>254931.41/1.085</f>
        <v>234959.82488479264</v>
      </c>
      <c r="HI40" s="491">
        <f>JT40</f>
        <v>129228</v>
      </c>
      <c r="HJ40" s="494"/>
      <c r="HK40" s="491"/>
      <c r="HL40" s="477"/>
      <c r="HM40" s="477">
        <f>DATE(YEAR(HL40),MONTH(HL40),DAY(HL40)+21)</f>
        <v>21</v>
      </c>
      <c r="HN40" s="477"/>
      <c r="HO40" s="497" t="str">
        <f>IF(AND(HM40&gt;0,HN40&gt;0),HN40-HM40,"0")</f>
        <v>0</v>
      </c>
      <c r="HP40" s="477"/>
      <c r="HQ40" s="481" t="str">
        <f>IF(AND(HN40&gt;0,HP40&gt;0),HP40-HN40,"0")</f>
        <v>0</v>
      </c>
      <c r="HR40" s="497">
        <f>+HQ40-30</f>
        <v>-30</v>
      </c>
      <c r="HS40" s="506" t="str">
        <f>IF(AND(HL40&gt;0,HP40&gt;0),HP40-HL40,"0")</f>
        <v>0</v>
      </c>
      <c r="HT40" s="477"/>
      <c r="HU40" s="497" t="str">
        <f>IF(AND(HP40&gt;0,HT40&gt;0),HT40-HP40,"0")</f>
        <v>0</v>
      </c>
      <c r="HV40" s="477">
        <f>DATE(YEAR(HT40),MONTH(HT40),DAY(HT40)+21)</f>
        <v>21</v>
      </c>
      <c r="HW40" s="477"/>
      <c r="HX40" s="497" t="str">
        <f>IF(AND(HV40&gt;0,HW40&gt;0),HW40-HV40,"0")</f>
        <v>0</v>
      </c>
      <c r="HY40" s="476"/>
      <c r="HZ40" s="481" t="str">
        <f>IF(AND(HW40&gt;0,HY40&gt;0),HY40-HW40,"0")</f>
        <v>0</v>
      </c>
      <c r="IA40" s="497">
        <f>+HZ40-30</f>
        <v>-30</v>
      </c>
      <c r="IB40" s="506" t="str">
        <f>IF(AND(HT40&gt;0,HY40&gt;0),HY40-HT40,"0")</f>
        <v>0</v>
      </c>
      <c r="IC40" s="490"/>
      <c r="ID40" s="491"/>
      <c r="IE40" s="477"/>
      <c r="IF40" s="477"/>
      <c r="IG40" s="494"/>
      <c r="IH40" s="491"/>
      <c r="II40" s="478"/>
      <c r="IJ40" s="497" t="str">
        <f>IF(AND(HY40&gt;0,II40&gt;0),II40-HY40,"0")</f>
        <v>0</v>
      </c>
      <c r="IK40" s="478"/>
      <c r="IL40" s="478"/>
      <c r="IM40" s="497" t="str">
        <f>IF(AND(IK40&gt;0,IL40&gt;0),IL40-IK40,"0")</f>
        <v>0</v>
      </c>
      <c r="IN40" s="478"/>
      <c r="IO40" s="481" t="str">
        <f>IF(AND(IL40&gt;0,IN40&gt;0),IN40-IL40,"0")</f>
        <v>0</v>
      </c>
      <c r="IP40" s="497">
        <f>+IO40-30</f>
        <v>-30</v>
      </c>
      <c r="IQ40" s="506" t="str">
        <f>IF(AND(II40&gt;0,IN40&gt;0),IN40-II40,"0")</f>
        <v>0</v>
      </c>
      <c r="IR40" s="490"/>
      <c r="IS40" s="491"/>
      <c r="IT40" s="478"/>
      <c r="IU40" s="498" t="str">
        <f>IF(AND(IN40&gt;0,IT40&gt;0),IT40-IN40,"0")</f>
        <v>0</v>
      </c>
      <c r="IV40" s="478"/>
      <c r="IW40" s="478"/>
      <c r="IX40" s="498" t="str">
        <f>IF(AND(IV40&gt;0,IW40&gt;0),IW40-IV40,"0")</f>
        <v>0</v>
      </c>
      <c r="IY40" s="478"/>
      <c r="IZ40" s="482" t="str">
        <f>IF(AND(IW40&gt;0,IY40&gt;0),IY40-IW40,"0")</f>
        <v>0</v>
      </c>
      <c r="JA40" s="498">
        <f>IZ40-30</f>
        <v>-30</v>
      </c>
      <c r="JB40" s="508" t="str">
        <f>IF(AND(IT40&gt;0,IY40&gt;0),IY40-IT40,"0")</f>
        <v>0</v>
      </c>
      <c r="JC40" s="490"/>
      <c r="JD40" s="491"/>
      <c r="JE40" s="212"/>
      <c r="JF40" s="487" t="str">
        <f>IF(AND(IY40&gt;0,JE40&gt;0),JE40-IY40,"0")</f>
        <v>0</v>
      </c>
      <c r="JG40" s="212">
        <f>DATE(YEAR(JE40),MONTH(JE40),DAY(JE40)+15)</f>
        <v>15</v>
      </c>
      <c r="JH40" s="212"/>
      <c r="JI40" s="487" t="str">
        <f>IF(AND(JG40&gt;0,JH40&gt;0),JH40-JG40,"0")</f>
        <v>0</v>
      </c>
      <c r="JJ40" s="212">
        <f>DATE(YEAR(JH40),MONTH(JH40),DAY(JH40)+15)</f>
        <v>15</v>
      </c>
      <c r="JK40" s="212"/>
      <c r="JL40" s="487" t="str">
        <f>IF(AND(JJ40&gt;0,JK40&gt;0),JK40-JJ40,"0")</f>
        <v>0</v>
      </c>
      <c r="JM40" s="509" t="str">
        <f>IF(AND(JE40&gt;0,JK40&gt;0),JK40-JE40,"0")</f>
        <v>0</v>
      </c>
      <c r="JN40" s="212"/>
      <c r="JO40" s="501" t="str">
        <f>IF(AND(JK40&gt;0,JN40&gt;0),JN40-JK40,"0")</f>
        <v>0</v>
      </c>
      <c r="JP40" s="498">
        <f>JO40-60</f>
        <v>-60</v>
      </c>
      <c r="JQ40" s="482">
        <f>291/30</f>
        <v>9.6999999999999993</v>
      </c>
      <c r="JR40" s="504">
        <f>((+HS40+HU40+IB40+IJ40+IQ40+IU40+JB40+JI40+JF40)/30)-JQ40</f>
        <v>-9.6999999999999993</v>
      </c>
      <c r="JS40" s="490"/>
      <c r="JT40" s="491">
        <v>129228</v>
      </c>
      <c r="JU40" s="490"/>
      <c r="JV40" s="491"/>
      <c r="JW40" s="552"/>
      <c r="JX40" s="552"/>
      <c r="JY40" s="552"/>
      <c r="JZ40" s="552"/>
    </row>
    <row r="41" spans="1:286" ht="70.7" hidden="1" customHeight="1" x14ac:dyDescent="0.25">
      <c r="A41" s="141" t="s">
        <v>478</v>
      </c>
      <c r="B41" s="20" t="s">
        <v>53</v>
      </c>
      <c r="C41" s="20" t="s">
        <v>159</v>
      </c>
      <c r="D41" s="20">
        <v>2014</v>
      </c>
      <c r="E41" s="20" t="s">
        <v>215</v>
      </c>
      <c r="F41" s="20" t="s">
        <v>40</v>
      </c>
      <c r="G41" s="20" t="s">
        <v>278</v>
      </c>
      <c r="H41" s="47" t="s">
        <v>396</v>
      </c>
      <c r="I41" s="110"/>
      <c r="J41" s="110"/>
      <c r="K41" s="453" t="s">
        <v>633</v>
      </c>
      <c r="L41" s="303" t="s">
        <v>80</v>
      </c>
      <c r="M41" s="190" t="s">
        <v>188</v>
      </c>
      <c r="N41" s="191"/>
      <c r="O41" s="387">
        <v>2529</v>
      </c>
      <c r="P41" s="387">
        <f>Q41</f>
        <v>217810</v>
      </c>
      <c r="Q41" s="387">
        <v>217810</v>
      </c>
      <c r="R41" s="379">
        <f>P41/AD41</f>
        <v>7260.333333333333</v>
      </c>
      <c r="S41" s="387">
        <f>P41/O41</f>
        <v>86.124950573349153</v>
      </c>
      <c r="T41" s="387">
        <f>Q41/O41</f>
        <v>86.124950573349153</v>
      </c>
      <c r="U41" s="387">
        <f>Q41/AH41</f>
        <v>84.317900278724068</v>
      </c>
      <c r="V41" s="387">
        <f>Q41/AD41</f>
        <v>7260.333333333333</v>
      </c>
      <c r="W41" s="379">
        <f>O41/AD41</f>
        <v>84.3</v>
      </c>
      <c r="X41" s="391">
        <f>523.3+554</f>
        <v>1077.3</v>
      </c>
      <c r="Y41" s="392">
        <f>AH41/O41</f>
        <v>1.0214313958086199</v>
      </c>
      <c r="Z41" s="391"/>
      <c r="AA41" s="382">
        <v>110</v>
      </c>
      <c r="AB41" s="383"/>
      <c r="AC41" s="20" t="s">
        <v>26</v>
      </c>
      <c r="AD41" s="640">
        <f>(AE41+AF41)</f>
        <v>30</v>
      </c>
      <c r="AE41" s="21"/>
      <c r="AF41" s="20">
        <v>30</v>
      </c>
      <c r="AG41" s="22">
        <v>2546.5500000000002</v>
      </c>
      <c r="AH41" s="139">
        <v>2583.1999999999998</v>
      </c>
      <c r="AI41" s="22">
        <f>AH41/AD41</f>
        <v>86.106666666666655</v>
      </c>
      <c r="AJ41" s="135">
        <f>2/AD41</f>
        <v>6.6666666666666666E-2</v>
      </c>
      <c r="AK41" s="135">
        <f>12/AD41</f>
        <v>0.4</v>
      </c>
      <c r="AL41" s="135">
        <f>12/AD41</f>
        <v>0.4</v>
      </c>
      <c r="AM41" s="135">
        <f>3/AD41</f>
        <v>0.1</v>
      </c>
      <c r="AN41" s="135">
        <f>1/AD41</f>
        <v>3.3333333333333333E-2</v>
      </c>
      <c r="AO41" s="22"/>
      <c r="AP41" s="133">
        <v>0</v>
      </c>
      <c r="AQ41" s="135">
        <f>AP41/O41</f>
        <v>0</v>
      </c>
      <c r="AR41" s="114">
        <v>4</v>
      </c>
      <c r="AS41" s="20"/>
      <c r="AT41" s="110" t="s">
        <v>359</v>
      </c>
      <c r="AU41" s="110" t="s">
        <v>178</v>
      </c>
      <c r="AV41" s="20"/>
      <c r="AW41" s="332">
        <v>41604</v>
      </c>
      <c r="AX41" s="332">
        <v>41667</v>
      </c>
      <c r="AY41" s="110"/>
      <c r="AZ41" s="475">
        <v>41704</v>
      </c>
      <c r="BA41" s="415" t="s">
        <v>754</v>
      </c>
      <c r="BB41" s="415" t="s">
        <v>760</v>
      </c>
      <c r="BC41" s="415" t="s">
        <v>757</v>
      </c>
      <c r="BD41" s="415" t="s">
        <v>801</v>
      </c>
      <c r="BE41" s="332">
        <v>41694</v>
      </c>
      <c r="BF41" s="332">
        <v>41753</v>
      </c>
      <c r="BG41" s="332">
        <v>41785</v>
      </c>
      <c r="BH41" s="332">
        <v>41815</v>
      </c>
      <c r="BI41" s="110"/>
      <c r="BJ41" s="110"/>
      <c r="BK41" s="110"/>
      <c r="BL41" s="110"/>
      <c r="BM41" s="110"/>
      <c r="BN41" s="196" t="s">
        <v>17</v>
      </c>
      <c r="BO41" s="345">
        <v>41822</v>
      </c>
      <c r="BP41" s="358">
        <v>42187</v>
      </c>
      <c r="BQ41" s="194" t="s">
        <v>178</v>
      </c>
      <c r="BR41" s="194"/>
      <c r="BS41" s="194" t="s">
        <v>362</v>
      </c>
      <c r="BT41" s="67"/>
      <c r="BU41" s="376">
        <v>41890</v>
      </c>
      <c r="BV41" s="160"/>
      <c r="BW41" s="160">
        <v>42254</v>
      </c>
      <c r="BX41" s="160" t="s">
        <v>168</v>
      </c>
      <c r="BY41" s="160" t="s">
        <v>178</v>
      </c>
      <c r="BZ41" s="376">
        <v>42256</v>
      </c>
      <c r="CA41" s="160"/>
      <c r="CB41" s="301" t="s">
        <v>178</v>
      </c>
      <c r="CC41" s="372">
        <v>42262</v>
      </c>
      <c r="CD41" s="302">
        <v>42353</v>
      </c>
      <c r="CE41" s="302">
        <v>42269</v>
      </c>
      <c r="CF41" s="570">
        <f>CC41</f>
        <v>42262</v>
      </c>
      <c r="CG41" s="569">
        <f>DATE(YEAR(CF41),MONTH(CF41)+24,DAY(CF41))</f>
        <v>42993</v>
      </c>
      <c r="CH41" s="569">
        <f>DATE(YEAR(CF41),MONTH(CF41)+36,DAY(CF41))</f>
        <v>43358</v>
      </c>
      <c r="CI41" s="569" t="str">
        <f>IF(EV41&gt;CG41,"oui","non")</f>
        <v>oui</v>
      </c>
      <c r="CJ41" s="302" t="s">
        <v>178</v>
      </c>
      <c r="CK41" s="71" t="s">
        <v>651</v>
      </c>
      <c r="CL41" s="82">
        <v>42268</v>
      </c>
      <c r="CM41" s="370">
        <v>42424</v>
      </c>
      <c r="CN41" s="82">
        <v>42478</v>
      </c>
      <c r="CO41" s="336" t="s">
        <v>650</v>
      </c>
      <c r="CP41" s="82">
        <v>42268</v>
      </c>
      <c r="CQ41" s="365">
        <v>42311</v>
      </c>
      <c r="CR41" s="81">
        <v>42354</v>
      </c>
      <c r="CS41" s="162" t="s">
        <v>549</v>
      </c>
      <c r="CT41" s="82">
        <v>42268</v>
      </c>
      <c r="CU41" s="365">
        <v>42355</v>
      </c>
      <c r="CV41" s="81">
        <v>42409</v>
      </c>
      <c r="CW41" s="162">
        <v>42410</v>
      </c>
      <c r="CX41" s="82">
        <v>42268</v>
      </c>
      <c r="CY41" s="365">
        <v>42311</v>
      </c>
      <c r="CZ41" s="81">
        <v>42354</v>
      </c>
      <c r="DA41" s="162"/>
      <c r="DB41" s="296" t="s">
        <v>84</v>
      </c>
      <c r="DC41" s="300"/>
      <c r="DD41" s="296">
        <f>DC41*3/5</f>
        <v>0</v>
      </c>
      <c r="DE41" s="296" t="s">
        <v>789</v>
      </c>
      <c r="DF41" s="304">
        <v>42668</v>
      </c>
      <c r="DG41" s="296" t="s">
        <v>178</v>
      </c>
      <c r="DH41" s="299" t="s">
        <v>794</v>
      </c>
      <c r="DI41" s="296"/>
      <c r="DJ41" s="296"/>
      <c r="DK41" s="575">
        <v>42055</v>
      </c>
      <c r="DL41" s="573" t="s">
        <v>178</v>
      </c>
      <c r="DM41" s="573" t="s">
        <v>178</v>
      </c>
      <c r="DN41" s="575">
        <v>42326</v>
      </c>
      <c r="DO41" s="574" t="s">
        <v>809</v>
      </c>
      <c r="DP41" s="573" t="s">
        <v>230</v>
      </c>
      <c r="DQ41" s="577" t="s">
        <v>965</v>
      </c>
      <c r="DR41" s="443" t="s">
        <v>609</v>
      </c>
      <c r="DS41" s="443"/>
      <c r="DT41" s="297"/>
      <c r="DU41" s="304" t="e">
        <f>DATE(YEAR(DQ41),MONTH(DQ41)+18,DAY(DQ41))</f>
        <v>#VALUE!</v>
      </c>
      <c r="DV41" s="454">
        <v>42908</v>
      </c>
      <c r="DW41" s="454"/>
      <c r="DX41" s="110"/>
      <c r="DY41" s="110"/>
      <c r="DZ41" s="110"/>
      <c r="EA41" s="413">
        <v>42772</v>
      </c>
      <c r="EB41" s="210">
        <v>42401</v>
      </c>
      <c r="EC41" s="224">
        <v>16</v>
      </c>
      <c r="ED41" s="224">
        <f>EC41+2</f>
        <v>18</v>
      </c>
      <c r="EE41" s="422">
        <f>DATEDIF(EA41,EN41,"M")</f>
        <v>16</v>
      </c>
      <c r="EF41" s="422">
        <f>DATEDIF(EA41,EV41,"M")</f>
        <v>17</v>
      </c>
      <c r="EG41" s="422">
        <f>EE41-EC41</f>
        <v>0</v>
      </c>
      <c r="EH41" s="422"/>
      <c r="EI41" s="411">
        <f>154560.988069324/12</f>
        <v>12880.082339110333</v>
      </c>
      <c r="EJ41" s="411"/>
      <c r="EK41" s="413">
        <v>42702</v>
      </c>
      <c r="EL41" s="223"/>
      <c r="EM41" s="223"/>
      <c r="EN41" s="210">
        <f>DATE(YEAR(EA41),MONTH(EA41)+EC41,DAY(EA41))</f>
        <v>43257</v>
      </c>
      <c r="EO41" s="210">
        <f>DATE(YEAR(DV41)+2,MONTH(DV41),DAY(DV41))</f>
        <v>43638</v>
      </c>
      <c r="EP41" s="223"/>
      <c r="EQ41" s="210"/>
      <c r="ER41" s="210"/>
      <c r="ES41" s="223"/>
      <c r="ET41" s="223"/>
      <c r="EU41" s="334">
        <f>DATE(YEAR(EN41),MONTH(EN41)+1,DAY(EN41))</f>
        <v>43287</v>
      </c>
      <c r="EV41" s="206">
        <f>EU41</f>
        <v>43287</v>
      </c>
      <c r="EW41" s="206"/>
      <c r="EX41" s="209"/>
      <c r="EY41" s="212"/>
      <c r="EZ41" s="212"/>
      <c r="FA41" s="212"/>
      <c r="FB41" s="212"/>
      <c r="FC41" s="212"/>
      <c r="FD41" s="110"/>
      <c r="FE41" s="110"/>
      <c r="FF41" s="110"/>
      <c r="FG41" s="110"/>
      <c r="FH41" s="110"/>
      <c r="FI41" s="110"/>
      <c r="FJ41" s="110"/>
      <c r="FK41" s="110"/>
      <c r="FL41" s="110"/>
      <c r="FM41" s="110"/>
      <c r="FN41" s="110"/>
      <c r="FO41" s="110"/>
      <c r="FP41" s="195"/>
      <c r="FQ41" s="23">
        <f>+GA41+GE41+GL41+HF41</f>
        <v>4943575.0199999996</v>
      </c>
      <c r="FR41" s="24">
        <f>GB41+GF41+GK41+GM41+GQ41</f>
        <v>4768707</v>
      </c>
      <c r="FS41" s="25">
        <f>FR41-FQ41</f>
        <v>-174868.01999999955</v>
      </c>
      <c r="FT41" s="50">
        <f>FR41/AG41</f>
        <v>1872.614714024857</v>
      </c>
      <c r="FU41" s="50">
        <f>FR41/AD41</f>
        <v>158956.9</v>
      </c>
      <c r="FV41" s="23">
        <v>4386257</v>
      </c>
      <c r="FW41" s="24">
        <v>3720168</v>
      </c>
      <c r="FX41" s="25">
        <f>FW41-FV41</f>
        <v>-666089</v>
      </c>
      <c r="FY41" s="231">
        <f>FW41*1.021/FR41</f>
        <v>0.79650343961161785</v>
      </c>
      <c r="FZ41" s="232"/>
      <c r="GA41" s="23">
        <v>1393063.02</v>
      </c>
      <c r="GB41" s="24">
        <v>1462621</v>
      </c>
      <c r="GC41" s="50">
        <f>GB41/AD41</f>
        <v>48754.033333333333</v>
      </c>
      <c r="GD41" s="73">
        <f>GB41-GA41</f>
        <v>69557.979999999981</v>
      </c>
      <c r="GE41" s="23">
        <v>2950512</v>
      </c>
      <c r="GF41" s="24">
        <f>+GG41+GH41</f>
        <v>2706086</v>
      </c>
      <c r="GG41" s="26">
        <v>461009</v>
      </c>
      <c r="GH41" s="26">
        <v>2245077</v>
      </c>
      <c r="GI41" s="73">
        <f>GF41-GE41</f>
        <v>-244426</v>
      </c>
      <c r="GJ41" s="50">
        <f>GF41/AD41</f>
        <v>90202.866666666669</v>
      </c>
      <c r="GK41" s="24"/>
      <c r="GL41" s="23">
        <v>600000</v>
      </c>
      <c r="GM41" s="200">
        <v>600000</v>
      </c>
      <c r="GN41" s="128">
        <v>0</v>
      </c>
      <c r="GO41" s="76">
        <f>GM41/FR41</f>
        <v>0.12582026951959935</v>
      </c>
      <c r="GP41" s="590"/>
      <c r="GQ41" s="24">
        <v>0</v>
      </c>
      <c r="GR41" s="51">
        <f>GM41-GL41</f>
        <v>0</v>
      </c>
      <c r="GS41" s="95">
        <f>GM41/AD41</f>
        <v>20000</v>
      </c>
      <c r="GT41" s="138">
        <f>(GB41+GM41)/AD41</f>
        <v>68754.03333333334</v>
      </c>
      <c r="GU41" s="48">
        <f>GR41/AD41</f>
        <v>0</v>
      </c>
      <c r="GV41" s="97">
        <v>6.29</v>
      </c>
      <c r="GW41" s="97">
        <v>6.16</v>
      </c>
      <c r="GX41" s="94">
        <v>0</v>
      </c>
      <c r="GY41" s="94">
        <v>0</v>
      </c>
      <c r="GZ41" s="95">
        <f>(GB41+GM41+GY41)/AD41</f>
        <v>68754.03333333334</v>
      </c>
      <c r="HA41" s="94">
        <v>0</v>
      </c>
      <c r="HB41" s="95">
        <f>(GB41+GM41+GY41+HA41)/AD41</f>
        <v>68754.03333333334</v>
      </c>
      <c r="HC41" s="99">
        <f>(GB41+GM41+GY41+HA41)/(GX41+FR41-HD41)</f>
        <v>0.43253255022797582</v>
      </c>
      <c r="HD41" s="94">
        <v>0</v>
      </c>
      <c r="HE41" s="94"/>
      <c r="HF41" s="66">
        <v>0</v>
      </c>
      <c r="HG41" s="77">
        <f>FR41+GX41</f>
        <v>4768707</v>
      </c>
      <c r="HH41" s="491">
        <v>230736</v>
      </c>
      <c r="HI41" s="491">
        <f>HK41+ID41+IH41+IS41+JD41+JT41+JV41</f>
        <v>149978</v>
      </c>
      <c r="HJ41" s="494">
        <v>41627</v>
      </c>
      <c r="HK41" s="491">
        <v>47620</v>
      </c>
      <c r="HL41" s="415">
        <v>41554</v>
      </c>
      <c r="HM41" s="415">
        <f>DATE(YEAR(HL41),MONTH(HL41),DAY(HL41)+21)</f>
        <v>41575</v>
      </c>
      <c r="HN41" s="415">
        <v>41599</v>
      </c>
      <c r="HO41" s="497">
        <f>IF(AND(HM41&gt;0,HN41&gt;0),HN41-HM41,"0")</f>
        <v>24</v>
      </c>
      <c r="HP41" s="415">
        <v>41606</v>
      </c>
      <c r="HQ41" s="481">
        <f>IF(AND(HN41&gt;0,HP41&gt;0),HP41-HN41,"0")</f>
        <v>7</v>
      </c>
      <c r="HR41" s="497">
        <f>+HQ41-30</f>
        <v>-23</v>
      </c>
      <c r="HS41" s="506">
        <f>IF(AND(HL41&gt;0,HP41&gt;0),HP41-HL41,"0")</f>
        <v>52</v>
      </c>
      <c r="HT41" s="415">
        <v>41606</v>
      </c>
      <c r="HU41" s="497">
        <f>IF(AND(HP41&gt;0,HT41&gt;0),HT41-HP41,"0")</f>
        <v>0</v>
      </c>
      <c r="HV41" s="415">
        <f>DATE(YEAR(HT41),MONTH(HT41),DAY(HT41)+21)</f>
        <v>41627</v>
      </c>
      <c r="HW41" s="415">
        <v>41627</v>
      </c>
      <c r="HX41" s="497">
        <f>IF(AND(HV41&gt;0,HW41&gt;0),HW41-HV41,"0")</f>
        <v>0</v>
      </c>
      <c r="HY41" s="415">
        <v>41708</v>
      </c>
      <c r="HZ41" s="481">
        <f>IF(AND(HW41&gt;0,HY41&gt;0),HY41-HW41,"0")</f>
        <v>81</v>
      </c>
      <c r="IA41" s="497">
        <f>+HZ41-30</f>
        <v>51</v>
      </c>
      <c r="IB41" s="506">
        <f>IF(AND(HT41&gt;0,HY41&gt;0),HY41-HT41,"0")</f>
        <v>102</v>
      </c>
      <c r="IC41" s="490">
        <v>38045</v>
      </c>
      <c r="ID41" s="491">
        <v>12520</v>
      </c>
      <c r="IE41" s="415"/>
      <c r="IF41" s="415">
        <v>41625</v>
      </c>
      <c r="IG41" s="494"/>
      <c r="IH41" s="491"/>
      <c r="II41" s="347">
        <v>41708</v>
      </c>
      <c r="IJ41" s="497">
        <f>IF(AND(HY41&gt;0,II41&gt;0),II41-HY41,"0")</f>
        <v>0</v>
      </c>
      <c r="IK41" s="347">
        <f>DATE(YEAR(II41),MONTH(II41),DAY(II41)+30)</f>
        <v>41738</v>
      </c>
      <c r="IL41" s="347">
        <v>41746</v>
      </c>
      <c r="IM41" s="497">
        <f>IF(AND(IK41&gt;0,IL41&gt;0),IL41-IK41,"0")</f>
        <v>8</v>
      </c>
      <c r="IN41" s="347">
        <v>41835</v>
      </c>
      <c r="IO41" s="481">
        <f>IF(AND(IL41&gt;0,IN41&gt;0),IN41-IL41,"0")</f>
        <v>89</v>
      </c>
      <c r="IP41" s="497">
        <f>+IO41-30</f>
        <v>59</v>
      </c>
      <c r="IQ41" s="506">
        <f>IF(AND(II41&gt;0,IN41&gt;0),IN41-II41,"0")</f>
        <v>127</v>
      </c>
      <c r="IR41" s="490">
        <v>41820</v>
      </c>
      <c r="IS41" s="491">
        <v>24983</v>
      </c>
      <c r="IT41" s="347">
        <v>41835</v>
      </c>
      <c r="IU41" s="498">
        <f>IF(AND(IN41&gt;0,IT41&gt;0),IT41-IN41,"0")</f>
        <v>0</v>
      </c>
      <c r="IV41" s="347">
        <f>DATE(YEAR(IT41),MONTH(IT41),DAY(IT41)+30)</f>
        <v>41865</v>
      </c>
      <c r="IW41" s="347">
        <v>41865</v>
      </c>
      <c r="IX41" s="498">
        <f>IF(AND(IV41&gt;0,IW41&gt;0),IW41-IV41,"0")</f>
        <v>0</v>
      </c>
      <c r="IY41" s="347">
        <v>41892</v>
      </c>
      <c r="IZ41" s="482">
        <f>IF(AND(IW41&gt;0,IY41&gt;0),IY41-IW41,"0")</f>
        <v>27</v>
      </c>
      <c r="JA41" s="498">
        <f>IZ41-30</f>
        <v>-3</v>
      </c>
      <c r="JB41" s="508">
        <f>IF(AND(IT41&gt;0,IY41&gt;0),IY41-IT41,"0")</f>
        <v>57</v>
      </c>
      <c r="JC41" s="490">
        <v>41990</v>
      </c>
      <c r="JD41" s="491">
        <v>36513</v>
      </c>
      <c r="JE41" s="347">
        <v>41892</v>
      </c>
      <c r="JF41" s="487">
        <f>IF(AND(IY41&gt;0,JE41&gt;0),JE41-IY41,"0")</f>
        <v>0</v>
      </c>
      <c r="JG41" s="347">
        <f>DATE(YEAR(JE41),MONTH(JE41),DAY(JE41)+15)</f>
        <v>41907</v>
      </c>
      <c r="JH41" s="347">
        <v>41914</v>
      </c>
      <c r="JI41" s="487">
        <f>IF(AND(JG41&gt;0,JH41&gt;0),JH41-JG41,"0")</f>
        <v>7</v>
      </c>
      <c r="JJ41" s="347">
        <f>DATE(YEAR(JH41),MONTH(JH41),DAY(JH41)+15)</f>
        <v>41929</v>
      </c>
      <c r="JK41" s="347">
        <v>41928</v>
      </c>
      <c r="JL41" s="487">
        <f>IF(AND(JJ41&gt;0,JK41&gt;0),JK41-JJ41,"0")</f>
        <v>-1</v>
      </c>
      <c r="JM41" s="509">
        <f>IF(AND(JE41&gt;0,JK41&gt;0),JK41-JE41,"0")</f>
        <v>36</v>
      </c>
      <c r="JN41" s="347">
        <v>42055</v>
      </c>
      <c r="JO41" s="501">
        <f>IF(AND(JK41&gt;0,JN41&gt;0),JN41-JK41,"0")</f>
        <v>127</v>
      </c>
      <c r="JP41" s="498">
        <f>JO41-60</f>
        <v>67</v>
      </c>
      <c r="JQ41" s="482">
        <f>291/30</f>
        <v>9.6999999999999993</v>
      </c>
      <c r="JR41" s="504">
        <f>((+HS41+HU41+IB41+IJ41+IQ41+IU41+JB41+JI41+JF41)/30)-JQ41</f>
        <v>1.8000000000000007</v>
      </c>
      <c r="JS41" s="490">
        <v>42727</v>
      </c>
      <c r="JT41" s="491"/>
      <c r="JU41" s="490">
        <v>42727</v>
      </c>
      <c r="JV41" s="491">
        <v>28342</v>
      </c>
      <c r="JW41" s="586"/>
      <c r="JX41" s="586"/>
      <c r="JY41" s="586"/>
      <c r="JZ41" s="586"/>
    </row>
    <row r="42" spans="1:286" ht="75" hidden="1" customHeight="1" x14ac:dyDescent="0.25">
      <c r="A42" s="19" t="s">
        <v>691</v>
      </c>
      <c r="B42" s="20" t="s">
        <v>62</v>
      </c>
      <c r="C42" s="20" t="s">
        <v>158</v>
      </c>
      <c r="D42" s="20">
        <v>2015</v>
      </c>
      <c r="E42" s="20" t="s">
        <v>389</v>
      </c>
      <c r="F42" s="20" t="s">
        <v>511</v>
      </c>
      <c r="G42" s="20" t="s">
        <v>278</v>
      </c>
      <c r="H42" s="580" t="s">
        <v>644</v>
      </c>
      <c r="I42" s="112" t="s">
        <v>966</v>
      </c>
      <c r="J42" s="110"/>
      <c r="K42" s="453" t="s">
        <v>631</v>
      </c>
      <c r="L42" s="303" t="s">
        <v>85</v>
      </c>
      <c r="M42" s="190" t="s">
        <v>195</v>
      </c>
      <c r="N42" s="191"/>
      <c r="O42" s="379">
        <v>1767</v>
      </c>
      <c r="P42" s="379">
        <v>210000</v>
      </c>
      <c r="Q42" s="379">
        <v>210000</v>
      </c>
      <c r="R42" s="379">
        <f>P42/AD42</f>
        <v>11666.666666666666</v>
      </c>
      <c r="S42" s="379">
        <f>P42/O42</f>
        <v>118.84550084889644</v>
      </c>
      <c r="T42" s="387">
        <f>Q42/O42</f>
        <v>118.84550084889644</v>
      </c>
      <c r="U42" s="387">
        <f>Q42/AH42</f>
        <v>122.68720021966851</v>
      </c>
      <c r="V42" s="387">
        <f>Q42/AD42</f>
        <v>11666.666666666666</v>
      </c>
      <c r="W42" s="379">
        <f>O42/AD42</f>
        <v>98.166666666666671</v>
      </c>
      <c r="X42" s="380"/>
      <c r="Y42" s="381"/>
      <c r="Z42" s="380" t="s">
        <v>403</v>
      </c>
      <c r="AA42" s="382">
        <v>200</v>
      </c>
      <c r="AB42" s="383"/>
      <c r="AC42" s="47" t="s">
        <v>26</v>
      </c>
      <c r="AD42" s="640">
        <f>AF42</f>
        <v>18</v>
      </c>
      <c r="AE42" s="21"/>
      <c r="AF42" s="20">
        <v>18</v>
      </c>
      <c r="AG42" s="22">
        <v>1709.55</v>
      </c>
      <c r="AH42" s="140">
        <v>1711.67</v>
      </c>
      <c r="AI42" s="22">
        <f>AH42/AD42</f>
        <v>95.092777777777783</v>
      </c>
      <c r="AJ42" s="135">
        <v>0</v>
      </c>
      <c r="AK42" s="135">
        <v>0</v>
      </c>
      <c r="AL42" s="135">
        <f>10/AD42</f>
        <v>0.55555555555555558</v>
      </c>
      <c r="AM42" s="135">
        <f>4/AD42</f>
        <v>0.22222222222222221</v>
      </c>
      <c r="AN42" s="135">
        <f>4/AD42</f>
        <v>0.22222222222222221</v>
      </c>
      <c r="AO42" s="22"/>
      <c r="AP42" s="133">
        <v>0</v>
      </c>
      <c r="AQ42" s="135">
        <v>0</v>
      </c>
      <c r="AR42" s="114">
        <v>3</v>
      </c>
      <c r="AS42" s="20"/>
      <c r="AT42" s="110" t="s">
        <v>316</v>
      </c>
      <c r="AU42" s="110" t="s">
        <v>168</v>
      </c>
      <c r="AV42" s="20" t="s">
        <v>168</v>
      </c>
      <c r="AW42" s="332">
        <v>41940</v>
      </c>
      <c r="AX42" s="332">
        <v>41920</v>
      </c>
      <c r="AY42" s="110"/>
      <c r="AZ42" s="110"/>
      <c r="BA42" s="540" t="s">
        <v>754</v>
      </c>
      <c r="BB42" s="540" t="s">
        <v>804</v>
      </c>
      <c r="BC42" s="540" t="s">
        <v>757</v>
      </c>
      <c r="BD42" s="540" t="s">
        <v>803</v>
      </c>
      <c r="BE42" s="332">
        <v>42072</v>
      </c>
      <c r="BF42" s="332">
        <v>42102</v>
      </c>
      <c r="BG42" s="332">
        <v>42131</v>
      </c>
      <c r="BH42" s="332">
        <v>42166</v>
      </c>
      <c r="BI42" s="110"/>
      <c r="BJ42" s="110"/>
      <c r="BK42" s="110"/>
      <c r="BL42" s="110"/>
      <c r="BM42" s="110"/>
      <c r="BN42" s="196" t="s">
        <v>17</v>
      </c>
      <c r="BO42" s="345">
        <v>42145</v>
      </c>
      <c r="BP42" s="358">
        <v>42511</v>
      </c>
      <c r="BQ42" s="194" t="s">
        <v>174</v>
      </c>
      <c r="BR42" s="194" t="s">
        <v>174</v>
      </c>
      <c r="BS42" s="194" t="s">
        <v>426</v>
      </c>
      <c r="BT42" s="67"/>
      <c r="BU42" s="376">
        <v>42320</v>
      </c>
      <c r="BV42" s="160"/>
      <c r="BW42" s="160"/>
      <c r="BX42" s="341" t="s">
        <v>533</v>
      </c>
      <c r="BY42" s="160">
        <v>42573</v>
      </c>
      <c r="BZ42" s="376">
        <v>42607</v>
      </c>
      <c r="CA42" s="160">
        <v>42607</v>
      </c>
      <c r="CB42" s="301">
        <v>42608</v>
      </c>
      <c r="CC42" s="372">
        <v>42620</v>
      </c>
      <c r="CD42" s="302">
        <v>42711</v>
      </c>
      <c r="CE42" s="302">
        <v>42648</v>
      </c>
      <c r="CF42" s="161"/>
      <c r="CG42" s="336">
        <f>DATE(YEAR(CF42),MONTH(CF42)+24,DAY(CF42))</f>
        <v>731</v>
      </c>
      <c r="CH42" s="336">
        <f>DATE(YEAR(CF42),MONTH(CF42)+36,DAY(CF42))</f>
        <v>1096</v>
      </c>
      <c r="CI42" s="336"/>
      <c r="CJ42" s="302">
        <v>42627</v>
      </c>
      <c r="CK42" s="301">
        <v>42725</v>
      </c>
      <c r="CL42" s="602" t="s">
        <v>779</v>
      </c>
      <c r="CM42" s="603"/>
      <c r="CN42" s="602"/>
      <c r="CO42" s="533"/>
      <c r="CP42" s="602" t="s">
        <v>230</v>
      </c>
      <c r="CQ42" s="603"/>
      <c r="CR42" s="604"/>
      <c r="CS42" s="532"/>
      <c r="CT42" s="82">
        <v>42649</v>
      </c>
      <c r="CU42" s="366">
        <v>42717</v>
      </c>
      <c r="CV42" s="81">
        <v>42720</v>
      </c>
      <c r="CW42" s="162">
        <v>42725</v>
      </c>
      <c r="CX42" s="602" t="s">
        <v>230</v>
      </c>
      <c r="CY42" s="603"/>
      <c r="CZ42" s="604"/>
      <c r="DA42" s="532"/>
      <c r="DB42" s="296" t="s">
        <v>195</v>
      </c>
      <c r="DC42" s="296"/>
      <c r="DD42" s="296"/>
      <c r="DE42" s="304">
        <v>42622</v>
      </c>
      <c r="DF42" s="304">
        <v>42678</v>
      </c>
      <c r="DG42" s="296"/>
      <c r="DH42" s="299" t="s">
        <v>795</v>
      </c>
      <c r="DI42" s="296"/>
      <c r="DJ42" s="296"/>
      <c r="DK42" s="575">
        <v>42472</v>
      </c>
      <c r="DL42" s="573" t="s">
        <v>178</v>
      </c>
      <c r="DM42" s="573" t="s">
        <v>178</v>
      </c>
      <c r="DN42" s="574" t="s">
        <v>178</v>
      </c>
      <c r="DO42" s="574" t="s">
        <v>889</v>
      </c>
      <c r="DP42" s="573" t="s">
        <v>230</v>
      </c>
      <c r="DQ42" s="605">
        <v>42719</v>
      </c>
      <c r="DR42" s="443"/>
      <c r="DS42" s="443"/>
      <c r="DT42" s="297"/>
      <c r="DU42" s="304">
        <f>DATE(YEAR(DQ42),MONTH(DQ42)+18,DAY(DQ42))</f>
        <v>43266</v>
      </c>
      <c r="DV42" s="443"/>
      <c r="DW42" s="443"/>
      <c r="DX42" s="423"/>
      <c r="DY42" s="423"/>
      <c r="DZ42" s="423"/>
      <c r="EA42" s="414">
        <v>42772</v>
      </c>
      <c r="EB42" s="423"/>
      <c r="EC42" s="430">
        <v>16</v>
      </c>
      <c r="ED42" s="430">
        <f>EC42+2</f>
        <v>18</v>
      </c>
      <c r="EE42" s="422">
        <f>DATEDIF(EA42,EN42,"M")</f>
        <v>16</v>
      </c>
      <c r="EF42" s="422">
        <f>DATEDIF(EA42,EV42,"M")</f>
        <v>17</v>
      </c>
      <c r="EG42" s="422">
        <f>EE42-EC42</f>
        <v>0</v>
      </c>
      <c r="EH42" s="422"/>
      <c r="EI42" s="431"/>
      <c r="EJ42" s="431"/>
      <c r="EK42" s="423"/>
      <c r="EL42" s="423"/>
      <c r="EM42" s="423"/>
      <c r="EN42" s="210">
        <f>DATE(YEAR(EA42),MONTH(EA42)+EC42,DAY(EA42))</f>
        <v>43257</v>
      </c>
      <c r="EO42" s="210">
        <f>DATE(YEAR(DV42)+2,MONTH(DV42),DAY(DV42))</f>
        <v>731</v>
      </c>
      <c r="EP42" s="423"/>
      <c r="EQ42" s="423"/>
      <c r="ER42" s="423"/>
      <c r="ES42" s="423"/>
      <c r="ET42" s="423"/>
      <c r="EU42" s="334">
        <f>DATE(YEAR(EN42),MONTH(EN42)+1,DAY(EN42))</f>
        <v>43287</v>
      </c>
      <c r="EV42" s="206">
        <f>EU42</f>
        <v>43287</v>
      </c>
      <c r="EW42" s="206"/>
      <c r="EX42" s="209"/>
      <c r="EY42" s="434"/>
      <c r="EZ42" s="212"/>
      <c r="FA42" s="212"/>
      <c r="FB42" s="212"/>
      <c r="FC42" s="212"/>
      <c r="FD42" s="110"/>
      <c r="FE42" s="110"/>
      <c r="FF42" s="110"/>
      <c r="FG42" s="110"/>
      <c r="FH42" s="110"/>
      <c r="FI42" s="110"/>
      <c r="FJ42" s="110"/>
      <c r="FK42" s="110"/>
      <c r="FL42" s="110"/>
      <c r="FM42" s="110"/>
      <c r="FN42" s="110"/>
      <c r="FO42" s="110"/>
      <c r="FP42" s="195"/>
      <c r="FQ42" s="23">
        <f>GA42+GE42+GL42</f>
        <v>3425875.7637468651</v>
      </c>
      <c r="FR42" s="24">
        <f>GB42+GF42+GK42+GM42+GQ42</f>
        <v>1342780</v>
      </c>
      <c r="FS42" s="25">
        <f>FR42-FQ42</f>
        <v>-2083095.7637468651</v>
      </c>
      <c r="FT42" s="50">
        <f>FR42/AG42</f>
        <v>785.45816150448945</v>
      </c>
      <c r="FU42" s="50">
        <f>FR42/AD42</f>
        <v>74598.888888888891</v>
      </c>
      <c r="FV42" s="23">
        <v>3100225</v>
      </c>
      <c r="FW42" s="24">
        <v>2697771.947337376</v>
      </c>
      <c r="FX42" s="25">
        <f>FW42-FV42</f>
        <v>-402453.05266262405</v>
      </c>
      <c r="FY42" s="231">
        <f>FW42*1.021/FR42</f>
        <v>2.0512855108293695</v>
      </c>
      <c r="FZ42" s="234">
        <v>0.39772600000000002</v>
      </c>
      <c r="GA42" s="23">
        <v>1068687.828</v>
      </c>
      <c r="GB42" s="24">
        <v>982780</v>
      </c>
      <c r="GC42" s="50">
        <f>GB42/AD42</f>
        <v>54598.888888888891</v>
      </c>
      <c r="GD42" s="73">
        <f>GB42-GA42</f>
        <v>-85907.82799999998</v>
      </c>
      <c r="GE42" s="23">
        <v>1997187.9357468651</v>
      </c>
      <c r="GF42" s="24">
        <f>SUBTOTAL(9,GG42:GH42)</f>
        <v>0</v>
      </c>
      <c r="GG42" s="26">
        <v>334225</v>
      </c>
      <c r="GH42" s="26">
        <v>1690516</v>
      </c>
      <c r="GI42" s="73">
        <f>GF42-GE42</f>
        <v>-1997187.9357468651</v>
      </c>
      <c r="GJ42" s="50">
        <f>GF42/AD42</f>
        <v>0</v>
      </c>
      <c r="GK42" s="24"/>
      <c r="GL42" s="23">
        <v>360000</v>
      </c>
      <c r="GM42" s="24">
        <v>360000</v>
      </c>
      <c r="GN42" s="124"/>
      <c r="GO42" s="76">
        <f>GM42/FR42</f>
        <v>0.26810050790151774</v>
      </c>
      <c r="GP42" s="590"/>
      <c r="GQ42" s="24">
        <v>0</v>
      </c>
      <c r="GR42" s="51">
        <f>GM42-GL42</f>
        <v>0</v>
      </c>
      <c r="GS42" s="50">
        <f>GM42/AD42</f>
        <v>20000</v>
      </c>
      <c r="GT42" s="138">
        <f>(GB42+GM42)/AD42</f>
        <v>74598.888888888891</v>
      </c>
      <c r="GU42" s="51">
        <f>GR42/AD42</f>
        <v>0</v>
      </c>
      <c r="GV42" s="97">
        <v>5.0199999999999996</v>
      </c>
      <c r="GW42" s="97">
        <v>4.8499999999999996</v>
      </c>
      <c r="GX42" s="75">
        <v>0</v>
      </c>
      <c r="GY42" s="75">
        <v>0</v>
      </c>
      <c r="GZ42" s="50">
        <f>(GB42+GM42+GY42)/AD42</f>
        <v>74598.888888888891</v>
      </c>
      <c r="HA42" s="75">
        <v>0</v>
      </c>
      <c r="HB42" s="50">
        <f>(GB42+GM42+GY42+HA42)/AD42</f>
        <v>74598.888888888891</v>
      </c>
      <c r="HC42" s="99">
        <f>(GB42+GM42+GY42+HA42)/(GX42+FR42-HD42)</f>
        <v>1</v>
      </c>
      <c r="HD42" s="75">
        <v>0</v>
      </c>
      <c r="HE42" s="75"/>
      <c r="HF42" s="24">
        <v>0</v>
      </c>
      <c r="HG42" s="77">
        <f>FR42+GX42</f>
        <v>1342780</v>
      </c>
      <c r="HH42" s="491">
        <v>167759</v>
      </c>
      <c r="HI42" s="491">
        <f>HK42+ID42+IH42+IS42+JD42+JT42+JV42</f>
        <v>109043</v>
      </c>
      <c r="HJ42" s="494">
        <v>41941</v>
      </c>
      <c r="HK42" s="491">
        <v>19485</v>
      </c>
      <c r="HL42" s="415">
        <v>41813</v>
      </c>
      <c r="HM42" s="415">
        <f>DATE(YEAR(HL42),MONTH(HL42),DAY(HL42)+21)</f>
        <v>41834</v>
      </c>
      <c r="HN42" s="415">
        <v>41830</v>
      </c>
      <c r="HO42" s="497">
        <f>IF(AND(HM42&gt;0,HN42&gt;0),HN42-HM42,"0")</f>
        <v>-4</v>
      </c>
      <c r="HP42" s="415">
        <v>41978</v>
      </c>
      <c r="HQ42" s="481">
        <f>IF(AND(HN42&gt;0,HP42&gt;0),HP42-HN42,"0")</f>
        <v>148</v>
      </c>
      <c r="HR42" s="497">
        <f>+HQ42-30</f>
        <v>118</v>
      </c>
      <c r="HS42" s="506">
        <f>IF(AND(HL42&gt;0,HP42&gt;0),HP42-HL42,"0")</f>
        <v>165</v>
      </c>
      <c r="HT42" s="415">
        <v>41978</v>
      </c>
      <c r="HU42" s="497">
        <f>IF(AND(HP42&gt;0,HT42&gt;0),HT42-HP42,"0")</f>
        <v>0</v>
      </c>
      <c r="HV42" s="415">
        <f>DATE(YEAR(HT42),MONTH(HT42),DAY(HT42)+21)</f>
        <v>41999</v>
      </c>
      <c r="HW42" s="415">
        <v>41976</v>
      </c>
      <c r="HX42" s="497">
        <f>IF(AND(HV42&gt;0,HW42&gt;0),HW42-HV42,"0")</f>
        <v>-23</v>
      </c>
      <c r="HY42" s="415">
        <v>42026</v>
      </c>
      <c r="HZ42" s="481">
        <f>IF(AND(HW42&gt;0,HY42&gt;0),HY42-HW42,"0")</f>
        <v>50</v>
      </c>
      <c r="IA42" s="497">
        <f>+HZ42-30</f>
        <v>20</v>
      </c>
      <c r="IB42" s="506">
        <f>IF(AND(HT42&gt;0,HY42&gt;0),HY42-HT42,"0")</f>
        <v>48</v>
      </c>
      <c r="IC42" s="490">
        <v>41992</v>
      </c>
      <c r="ID42" s="491"/>
      <c r="IE42" s="415"/>
      <c r="IF42" s="415">
        <v>41996</v>
      </c>
      <c r="IG42" s="494">
        <v>41992</v>
      </c>
      <c r="IH42" s="491">
        <v>29228</v>
      </c>
      <c r="II42" s="347">
        <v>42038</v>
      </c>
      <c r="IJ42" s="497">
        <f>IF(AND(HY42&gt;0,II42&gt;0),II42-HY42,"0")</f>
        <v>12</v>
      </c>
      <c r="IK42" s="347">
        <f>DATE(YEAR(II42),MONTH(II42),DAY(II42)+30)</f>
        <v>42068</v>
      </c>
      <c r="IL42" s="347">
        <v>42067</v>
      </c>
      <c r="IM42" s="497">
        <f>IF(AND(IK42&gt;0,IL42&gt;0),IL42-IK42,"0")</f>
        <v>-1</v>
      </c>
      <c r="IN42" s="347">
        <v>42078</v>
      </c>
      <c r="IO42" s="481">
        <f>IF(AND(IL42&gt;0,IN42&gt;0),IN42-IL42,"0")</f>
        <v>11</v>
      </c>
      <c r="IP42" s="497">
        <f>+IO42-30</f>
        <v>-19</v>
      </c>
      <c r="IQ42" s="506">
        <f>IF(AND(II42&gt;0,IN42&gt;0),IN42-II42,"0")</f>
        <v>40</v>
      </c>
      <c r="IR42" s="490">
        <v>42086</v>
      </c>
      <c r="IS42" s="491">
        <v>10005</v>
      </c>
      <c r="IT42" s="347">
        <v>42128</v>
      </c>
      <c r="IU42" s="498">
        <f>IF(AND(IN42&gt;0,IT42&gt;0),IT42-IN42,"0")</f>
        <v>50</v>
      </c>
      <c r="IV42" s="347">
        <f>DATE(YEAR(IT42),MONTH(IT42),DAY(IT42)+30)</f>
        <v>42158</v>
      </c>
      <c r="IW42" s="347">
        <v>42170</v>
      </c>
      <c r="IX42" s="498">
        <f>IF(AND(IV42&gt;0,IW42&gt;0),IW42-IV42,"0")</f>
        <v>12</v>
      </c>
      <c r="IY42" s="347">
        <v>42186</v>
      </c>
      <c r="IZ42" s="482">
        <f>IF(AND(IW42&gt;0,IY42&gt;0),IY42-IW42,"0")</f>
        <v>16</v>
      </c>
      <c r="JA42" s="498">
        <f>IZ42-30</f>
        <v>-14</v>
      </c>
      <c r="JB42" s="508">
        <f>IF(AND(IT42&gt;0,IY42&gt;0),IY42-IT42,"0")</f>
        <v>58</v>
      </c>
      <c r="JC42" s="490">
        <v>42202</v>
      </c>
      <c r="JD42" s="491">
        <v>25161</v>
      </c>
      <c r="JE42" s="347">
        <v>42254</v>
      </c>
      <c r="JF42" s="487">
        <f>IF(AND(IY42&gt;0,JE42&gt;0),JE42-IY42,"0")</f>
        <v>68</v>
      </c>
      <c r="JG42" s="347">
        <f>DATE(YEAR(JE42),MONTH(JE42),DAY(JE42)+15)</f>
        <v>42269</v>
      </c>
      <c r="JH42" s="347">
        <v>42276</v>
      </c>
      <c r="JI42" s="487">
        <f>IF(AND(JG42&gt;0,JH42&gt;0),JH42-JG42,"0")</f>
        <v>7</v>
      </c>
      <c r="JJ42" s="347">
        <f>DATE(YEAR(JH42),MONTH(JH42),DAY(JH42)+15)</f>
        <v>42291</v>
      </c>
      <c r="JK42" s="347">
        <v>42352</v>
      </c>
      <c r="JL42" s="487">
        <f>IF(AND(JJ42&gt;0,JK42&gt;0),JK42-JJ42,"0")</f>
        <v>61</v>
      </c>
      <c r="JM42" s="509">
        <f>IF(AND(JE42&gt;0,JK42&gt;0),JK42-JE42,"0")</f>
        <v>98</v>
      </c>
      <c r="JN42" s="347">
        <v>42472</v>
      </c>
      <c r="JO42" s="501">
        <f>IF(AND(JK42&gt;0,JN42&gt;0),JN42-JK42,"0")</f>
        <v>120</v>
      </c>
      <c r="JP42" s="498">
        <f>JO42-60</f>
        <v>60</v>
      </c>
      <c r="JQ42" s="482">
        <f>291/30</f>
        <v>9.6999999999999993</v>
      </c>
      <c r="JR42" s="504">
        <f>((+HS42+HU42+IB42+IJ42+IQ42+IU42+JB42+JI42+JF42)/30)-JQ42</f>
        <v>5.2333333333333343</v>
      </c>
      <c r="JS42" s="490">
        <v>42719</v>
      </c>
      <c r="JT42" s="491"/>
      <c r="JU42" s="490">
        <v>42719</v>
      </c>
      <c r="JV42" s="491">
        <v>25164</v>
      </c>
      <c r="JW42" s="587"/>
      <c r="JX42" s="587"/>
      <c r="JY42" s="587"/>
      <c r="JZ42" s="587"/>
    </row>
    <row r="43" spans="1:286" ht="80.25" hidden="1" customHeight="1" x14ac:dyDescent="0.25">
      <c r="A43" s="19" t="s">
        <v>404</v>
      </c>
      <c r="B43" s="20" t="s">
        <v>38</v>
      </c>
      <c r="C43" s="20" t="s">
        <v>157</v>
      </c>
      <c r="D43" s="20">
        <v>2015</v>
      </c>
      <c r="E43" s="20" t="s">
        <v>365</v>
      </c>
      <c r="F43" s="20" t="s">
        <v>511</v>
      </c>
      <c r="G43" s="20" t="s">
        <v>719</v>
      </c>
      <c r="H43" s="20" t="s">
        <v>246</v>
      </c>
      <c r="I43" s="112" t="s">
        <v>966</v>
      </c>
      <c r="J43" s="110"/>
      <c r="K43" s="453"/>
      <c r="L43" s="303" t="s">
        <v>80</v>
      </c>
      <c r="M43" s="190" t="s">
        <v>88</v>
      </c>
      <c r="N43" s="191"/>
      <c r="O43" s="379">
        <v>779</v>
      </c>
      <c r="P43" s="379">
        <v>195000</v>
      </c>
      <c r="Q43" s="379">
        <f>P43</f>
        <v>195000</v>
      </c>
      <c r="R43" s="379">
        <f>P43/AD43</f>
        <v>9750</v>
      </c>
      <c r="S43" s="379">
        <f>P43/O43</f>
        <v>250.32092426187421</v>
      </c>
      <c r="T43" s="387">
        <f>Q43/O43</f>
        <v>250.32092426187421</v>
      </c>
      <c r="U43" s="387">
        <f>Q43/AH43</f>
        <v>149.62708326939014</v>
      </c>
      <c r="V43" s="387">
        <f>Q43/AD43</f>
        <v>9750</v>
      </c>
      <c r="W43" s="379">
        <f>O43/AD43</f>
        <v>38.950000000000003</v>
      </c>
      <c r="X43" s="380"/>
      <c r="Y43" s="381">
        <f>AH43/O43</f>
        <v>1.6729653401797175</v>
      </c>
      <c r="Z43" s="380" t="s">
        <v>309</v>
      </c>
      <c r="AA43" s="382">
        <v>35</v>
      </c>
      <c r="AB43" s="383">
        <v>0</v>
      </c>
      <c r="AC43" s="47" t="s">
        <v>26</v>
      </c>
      <c r="AD43" s="640">
        <f>(AE43+AF43)</f>
        <v>20</v>
      </c>
      <c r="AE43" s="21"/>
      <c r="AF43" s="20">
        <v>20</v>
      </c>
      <c r="AG43" s="22">
        <v>1304.1600000000001</v>
      </c>
      <c r="AH43" s="140">
        <v>1303.24</v>
      </c>
      <c r="AI43" s="22">
        <f>AH43/AD43</f>
        <v>65.162000000000006</v>
      </c>
      <c r="AJ43" s="135">
        <v>0.2</v>
      </c>
      <c r="AK43" s="135">
        <v>0.4</v>
      </c>
      <c r="AL43" s="135">
        <v>0.2</v>
      </c>
      <c r="AM43" s="135">
        <v>0.2</v>
      </c>
      <c r="AN43" s="135">
        <v>0</v>
      </c>
      <c r="AO43" s="22"/>
      <c r="AP43" s="133">
        <v>0</v>
      </c>
      <c r="AQ43" s="135">
        <f>AP43/O43</f>
        <v>0</v>
      </c>
      <c r="AR43" s="114">
        <v>4</v>
      </c>
      <c r="AS43" s="20"/>
      <c r="AT43" s="110" t="s">
        <v>316</v>
      </c>
      <c r="AU43" s="110" t="s">
        <v>168</v>
      </c>
      <c r="AV43" s="20" t="s">
        <v>169</v>
      </c>
      <c r="AW43" s="332">
        <v>41940</v>
      </c>
      <c r="AX43" s="332">
        <v>41921</v>
      </c>
      <c r="AY43" s="110"/>
      <c r="AZ43" s="415">
        <v>41970</v>
      </c>
      <c r="BA43" s="540" t="s">
        <v>754</v>
      </c>
      <c r="BB43" s="540" t="s">
        <v>804</v>
      </c>
      <c r="BC43" s="540" t="s">
        <v>757</v>
      </c>
      <c r="BD43" s="540" t="s">
        <v>800</v>
      </c>
      <c r="BE43" s="332">
        <v>42153</v>
      </c>
      <c r="BF43" s="332">
        <v>42180</v>
      </c>
      <c r="BG43" s="332">
        <v>42210</v>
      </c>
      <c r="BH43" s="332">
        <v>42241</v>
      </c>
      <c r="BI43" s="110"/>
      <c r="BJ43" s="110"/>
      <c r="BK43" s="332">
        <v>42255</v>
      </c>
      <c r="BL43" s="110"/>
      <c r="BM43" s="110"/>
      <c r="BN43" s="194" t="s">
        <v>17</v>
      </c>
      <c r="BO43" s="345">
        <v>42144</v>
      </c>
      <c r="BP43" s="358">
        <v>42510</v>
      </c>
      <c r="BQ43" s="194" t="s">
        <v>174</v>
      </c>
      <c r="BR43" s="194" t="s">
        <v>174</v>
      </c>
      <c r="BS43" s="194" t="s">
        <v>532</v>
      </c>
      <c r="BT43" s="67"/>
      <c r="BU43" s="160">
        <v>42249</v>
      </c>
      <c r="BV43" s="160"/>
      <c r="BW43" s="160">
        <v>42261</v>
      </c>
      <c r="BX43" s="160" t="s">
        <v>178</v>
      </c>
      <c r="BY43" s="160">
        <v>42579</v>
      </c>
      <c r="BZ43" s="376">
        <v>42606</v>
      </c>
      <c r="CA43" s="160">
        <v>42606</v>
      </c>
      <c r="CB43" s="301">
        <v>42606</v>
      </c>
      <c r="CC43" s="372">
        <v>42620</v>
      </c>
      <c r="CD43" s="302">
        <v>42711</v>
      </c>
      <c r="CE43" s="302">
        <v>42646</v>
      </c>
      <c r="CF43" s="161"/>
      <c r="CG43" s="336">
        <f>DATE(YEAR(CF43),MONTH(CF43)+24,DAY(CF43))</f>
        <v>731</v>
      </c>
      <c r="CH43" s="336">
        <f>DATE(YEAR(CF43),MONTH(CF43)+36,DAY(CF43))</f>
        <v>1096</v>
      </c>
      <c r="CI43" s="336"/>
      <c r="CJ43" s="305" t="s">
        <v>776</v>
      </c>
      <c r="CK43" s="71" t="s">
        <v>1046</v>
      </c>
      <c r="CL43" s="82">
        <v>42649</v>
      </c>
      <c r="CM43" s="370">
        <v>42711</v>
      </c>
      <c r="CN43" s="82">
        <v>42730</v>
      </c>
      <c r="CO43" s="336" t="s">
        <v>990</v>
      </c>
      <c r="CP43" s="82">
        <v>42649</v>
      </c>
      <c r="CQ43" s="365">
        <v>42706</v>
      </c>
      <c r="CR43" s="81">
        <v>42719</v>
      </c>
      <c r="CS43" s="162">
        <v>42725</v>
      </c>
      <c r="CT43" s="82">
        <v>42653</v>
      </c>
      <c r="CU43" s="365">
        <v>42706</v>
      </c>
      <c r="CV43" s="81"/>
      <c r="CW43" s="162"/>
      <c r="CX43" s="82">
        <v>42649</v>
      </c>
      <c r="CY43" s="539" t="s">
        <v>1047</v>
      </c>
      <c r="CZ43" s="81"/>
      <c r="DA43" s="162"/>
      <c r="DB43" s="296" t="s">
        <v>88</v>
      </c>
      <c r="DC43" s="296"/>
      <c r="DD43" s="296"/>
      <c r="DE43" s="304">
        <v>42632</v>
      </c>
      <c r="DF43" s="304">
        <v>42681</v>
      </c>
      <c r="DG43" s="296"/>
      <c r="DH43" s="299" t="s">
        <v>795</v>
      </c>
      <c r="DI43" s="296"/>
      <c r="DJ43" s="296"/>
      <c r="DK43" s="575">
        <v>42528</v>
      </c>
      <c r="DL43" s="573" t="s">
        <v>178</v>
      </c>
      <c r="DM43" s="573" t="s">
        <v>178</v>
      </c>
      <c r="DN43" s="575">
        <v>42677</v>
      </c>
      <c r="DO43" s="574" t="s">
        <v>178</v>
      </c>
      <c r="DP43" s="573" t="s">
        <v>178</v>
      </c>
      <c r="DQ43" s="304">
        <v>42719</v>
      </c>
      <c r="DR43" s="443"/>
      <c r="DS43" s="443"/>
      <c r="DT43" s="297"/>
      <c r="DU43" s="304">
        <f>DATE(YEAR(DQ43),MONTH(DQ43)+18,DAY(DQ43))</f>
        <v>43266</v>
      </c>
      <c r="DV43" s="443"/>
      <c r="DW43" s="443"/>
      <c r="DX43" s="423"/>
      <c r="DY43" s="423"/>
      <c r="DZ43" s="423"/>
      <c r="EA43" s="434">
        <v>42773</v>
      </c>
      <c r="EB43" s="423"/>
      <c r="EC43" s="430">
        <v>16</v>
      </c>
      <c r="ED43" s="430">
        <f>EC43+2</f>
        <v>18</v>
      </c>
      <c r="EE43" s="422">
        <f>DATEDIF(EA43,EN43,"M")</f>
        <v>16</v>
      </c>
      <c r="EF43" s="422">
        <f>DATEDIF(EA43,EV43,"M")</f>
        <v>17</v>
      </c>
      <c r="EG43" s="422">
        <f>EE43-EC43</f>
        <v>0</v>
      </c>
      <c r="EH43" s="422"/>
      <c r="EI43" s="431"/>
      <c r="EJ43" s="431"/>
      <c r="EK43" s="423"/>
      <c r="EL43" s="423"/>
      <c r="EM43" s="423"/>
      <c r="EN43" s="210">
        <f>DATE(YEAR(EA43),MONTH(EA43)+EC43,DAY(EA43))</f>
        <v>43258</v>
      </c>
      <c r="EO43" s="210">
        <f>DATE(YEAR(DV43)+2,MONTH(DV43),DAY(DV43))</f>
        <v>731</v>
      </c>
      <c r="EP43" s="423"/>
      <c r="EQ43" s="423"/>
      <c r="ER43" s="423"/>
      <c r="ES43" s="423"/>
      <c r="ET43" s="423"/>
      <c r="EU43" s="334">
        <f>DATE(YEAR(EN43),MONTH(EN43)+1,DAY(EN43))</f>
        <v>43288</v>
      </c>
      <c r="EV43" s="206">
        <f>EU43</f>
        <v>43288</v>
      </c>
      <c r="EW43" s="206"/>
      <c r="EX43" s="209"/>
      <c r="EY43" s="434"/>
      <c r="EZ43" s="212"/>
      <c r="FA43" s="212"/>
      <c r="FB43" s="212"/>
      <c r="FC43" s="212"/>
      <c r="FD43" s="110"/>
      <c r="FE43" s="110"/>
      <c r="FF43" s="110"/>
      <c r="FG43" s="110"/>
      <c r="FH43" s="110"/>
      <c r="FI43" s="110"/>
      <c r="FJ43" s="110"/>
      <c r="FK43" s="110"/>
      <c r="FL43" s="110"/>
      <c r="FM43" s="110"/>
      <c r="FN43" s="110"/>
      <c r="FO43" s="110"/>
      <c r="FP43" s="195"/>
      <c r="FQ43" s="23">
        <f>GA43+GE43+GL43</f>
        <v>2722212.2295052204</v>
      </c>
      <c r="FR43" s="24">
        <f>GB43+GF43+GK43+GM43+GQ43</f>
        <v>2759523</v>
      </c>
      <c r="FS43" s="25">
        <f>FR43-FQ43</f>
        <v>37310.770494779572</v>
      </c>
      <c r="FT43" s="50">
        <f>FR43/AG43</f>
        <v>2115.938995215311</v>
      </c>
      <c r="FU43" s="50">
        <f>FR43/AD43</f>
        <v>137976.15</v>
      </c>
      <c r="FV43" s="23">
        <v>2475597.5350000001</v>
      </c>
      <c r="FW43" s="24">
        <v>2036370.9416817785</v>
      </c>
      <c r="FX43" s="25">
        <f>FW43-FV43</f>
        <v>-439226.59331822162</v>
      </c>
      <c r="FY43" s="231">
        <f>FW43*1.021/FR43</f>
        <v>0.75343989938010869</v>
      </c>
      <c r="FZ43" s="234">
        <v>0.39772600000000002</v>
      </c>
      <c r="GA43" s="23">
        <v>819282.73457759398</v>
      </c>
      <c r="GB43" s="24">
        <v>803098</v>
      </c>
      <c r="GC43" s="50">
        <f>GB43/AD43</f>
        <v>40154.9</v>
      </c>
      <c r="GD43" s="73">
        <f>GB43-GA43</f>
        <v>-16184.734577593976</v>
      </c>
      <c r="GE43" s="23">
        <v>1502929.4949276266</v>
      </c>
      <c r="GF43" s="24">
        <f>GH43+GG43</f>
        <v>1544668</v>
      </c>
      <c r="GG43" s="26">
        <v>339371</v>
      </c>
      <c r="GH43" s="26">
        <v>1205297</v>
      </c>
      <c r="GI43" s="73">
        <f>GF43-GE43</f>
        <v>41738.505072373431</v>
      </c>
      <c r="GJ43" s="50">
        <f>GF43/AD43</f>
        <v>77233.399999999994</v>
      </c>
      <c r="GK43" s="24"/>
      <c r="GL43" s="49">
        <v>400000</v>
      </c>
      <c r="GM43" s="24">
        <v>400000</v>
      </c>
      <c r="GN43" s="124"/>
      <c r="GO43" s="76">
        <f>GM43/FR43</f>
        <v>0.14495258782043127</v>
      </c>
      <c r="GP43" s="590"/>
      <c r="GQ43" s="24">
        <v>11757</v>
      </c>
      <c r="GR43" s="51">
        <f>GM43-GL43</f>
        <v>0</v>
      </c>
      <c r="GS43" s="50">
        <f>GM43/AD43</f>
        <v>20000</v>
      </c>
      <c r="GT43" s="138">
        <f>(GB43+GM43)/AD43</f>
        <v>60154.9</v>
      </c>
      <c r="GU43" s="51">
        <f>GR43/AD43</f>
        <v>0</v>
      </c>
      <c r="GV43" s="97">
        <v>5.59</v>
      </c>
      <c r="GW43" s="97">
        <v>5.49</v>
      </c>
      <c r="GX43" s="75">
        <v>0</v>
      </c>
      <c r="GY43" s="75">
        <v>0</v>
      </c>
      <c r="GZ43" s="50">
        <f>(GB43+GM43+GY43)/AD43</f>
        <v>60154.9</v>
      </c>
      <c r="HA43" s="75">
        <v>0</v>
      </c>
      <c r="HB43" s="50">
        <f>(GB43+GM43+GY43+HA43)/AD43</f>
        <v>60154.9</v>
      </c>
      <c r="HC43" s="99">
        <f>(GB43+GM43+GY43+HA43)/(GX43+FR43-HD43)</f>
        <v>0.43598042125396308</v>
      </c>
      <c r="HD43" s="75">
        <v>0</v>
      </c>
      <c r="HE43" s="75"/>
      <c r="HF43" s="24">
        <v>0</v>
      </c>
      <c r="HG43" s="77">
        <f>FR43+GX43</f>
        <v>2759523</v>
      </c>
      <c r="HH43" s="491">
        <v>131447</v>
      </c>
      <c r="HI43" s="491">
        <f>HK43+ID43+IH43+IS43+JD43+JV43+JT43</f>
        <v>85440</v>
      </c>
      <c r="HJ43" s="494">
        <v>41936</v>
      </c>
      <c r="HK43" s="491">
        <v>13352</v>
      </c>
      <c r="HL43" s="415">
        <v>41862</v>
      </c>
      <c r="HM43" s="415">
        <f>DATE(YEAR(HL43),MONTH(HL43),DAY(HL43)+21)</f>
        <v>41883</v>
      </c>
      <c r="HN43" s="415">
        <v>41892</v>
      </c>
      <c r="HO43" s="497">
        <f>IF(AND(HM43&gt;0,HN43&gt;0),HN43-HM43,"0")</f>
        <v>9</v>
      </c>
      <c r="HP43" s="415">
        <v>41949</v>
      </c>
      <c r="HQ43" s="481">
        <f>IF(AND(HN43&gt;0,HP43&gt;0),HP43-HN43,"0")</f>
        <v>57</v>
      </c>
      <c r="HR43" s="497">
        <f>+HQ43-30</f>
        <v>27</v>
      </c>
      <c r="HS43" s="506">
        <f>IF(AND(HL43&gt;0,HP43&gt;0),HP43-HL43,"0")</f>
        <v>87</v>
      </c>
      <c r="HT43" s="415">
        <v>41949</v>
      </c>
      <c r="HU43" s="497">
        <f>IF(AND(HP43&gt;0,HT43&gt;0),HT43-HP43,"0")</f>
        <v>0</v>
      </c>
      <c r="HV43" s="415">
        <f>DATE(YEAR(HT43),MONTH(HT43),DAY(HT43)+21)</f>
        <v>41970</v>
      </c>
      <c r="HW43" s="415">
        <v>41992</v>
      </c>
      <c r="HX43" s="497">
        <f>IF(AND(HV43&gt;0,HW43&gt;0),HW43-HV43,"0")</f>
        <v>22</v>
      </c>
      <c r="HY43" s="415">
        <v>42027</v>
      </c>
      <c r="HZ43" s="481">
        <f>IF(AND(HW43&gt;0,HY43&gt;0),HY43-HW43,"0")</f>
        <v>35</v>
      </c>
      <c r="IA43" s="497">
        <f>+HZ43-30</f>
        <v>5</v>
      </c>
      <c r="IB43" s="506">
        <f>IF(AND(HT43&gt;0,HY43&gt;0),HY43-HT43,"0")</f>
        <v>78</v>
      </c>
      <c r="IC43" s="490"/>
      <c r="ID43" s="491">
        <v>6171</v>
      </c>
      <c r="IE43" s="415"/>
      <c r="IF43" s="415">
        <v>42041</v>
      </c>
      <c r="IG43" s="494">
        <v>42066</v>
      </c>
      <c r="IH43" s="491">
        <v>12860</v>
      </c>
      <c r="II43" s="347">
        <v>42027</v>
      </c>
      <c r="IJ43" s="497">
        <f>IF(AND(HY43&gt;0,II43&gt;0),II43-HY43,"0")</f>
        <v>0</v>
      </c>
      <c r="IK43" s="347">
        <f>DATE(YEAR(II43),MONTH(II43),DAY(II43)+30)</f>
        <v>42057</v>
      </c>
      <c r="IL43" s="347">
        <v>42068</v>
      </c>
      <c r="IM43" s="497">
        <f>IF(AND(IK43&gt;0,IL43&gt;0),IL43-IK43,"0")</f>
        <v>11</v>
      </c>
      <c r="IN43" s="347">
        <v>42121</v>
      </c>
      <c r="IO43" s="481">
        <f>IF(AND(IL43&gt;0,IN43&gt;0),IN43-IL43,"0")</f>
        <v>53</v>
      </c>
      <c r="IP43" s="497">
        <f>+IO43-30</f>
        <v>23</v>
      </c>
      <c r="IQ43" s="506">
        <f>IF(AND(II43&gt;0,IN43&gt;0),IN43-II43,"0")</f>
        <v>94</v>
      </c>
      <c r="IR43" s="490">
        <v>42121</v>
      </c>
      <c r="IS43" s="491">
        <v>13828</v>
      </c>
      <c r="IT43" s="347">
        <v>42184</v>
      </c>
      <c r="IU43" s="498">
        <f>IF(AND(IN43&gt;0,IT43&gt;0),IT43-IN43,"0")</f>
        <v>63</v>
      </c>
      <c r="IV43" s="347">
        <f>DATE(YEAR(IT43),MONTH(IT43),DAY(IT43)+30)</f>
        <v>42214</v>
      </c>
      <c r="IW43" s="347">
        <v>42223</v>
      </c>
      <c r="IX43" s="498">
        <f>IF(AND(IV43&gt;0,IW43&gt;0),IW43-IV43,"0")</f>
        <v>9</v>
      </c>
      <c r="IY43" s="347">
        <v>42244</v>
      </c>
      <c r="IZ43" s="482">
        <f>IF(AND(IW43&gt;0,IY43&gt;0),IY43-IW43,"0")</f>
        <v>21</v>
      </c>
      <c r="JA43" s="498">
        <f>IZ43-30</f>
        <v>-9</v>
      </c>
      <c r="JB43" s="508">
        <f>IF(AND(IT43&gt;0,IY43&gt;0),IY43-IT43,"0")</f>
        <v>60</v>
      </c>
      <c r="JC43" s="490"/>
      <c r="JD43" s="491">
        <v>19512</v>
      </c>
      <c r="JE43" s="347">
        <v>42254</v>
      </c>
      <c r="JF43" s="487">
        <f>IF(AND(IY43&gt;0,JE43&gt;0),JE43-IY43,"0")</f>
        <v>10</v>
      </c>
      <c r="JG43" s="347">
        <f>DATE(YEAR(JE43),MONTH(JE43),DAY(JE43)+15)</f>
        <v>42269</v>
      </c>
      <c r="JH43" s="347">
        <v>42446</v>
      </c>
      <c r="JI43" s="487">
        <f>IF(AND(JG43&gt;0,JH43&gt;0),JH43-JG43,"0")</f>
        <v>177</v>
      </c>
      <c r="JJ43" s="347">
        <f>DATE(YEAR(JH43),MONTH(JH43),DAY(JH43)+15)</f>
        <v>42461</v>
      </c>
      <c r="JK43" s="347">
        <v>42444</v>
      </c>
      <c r="JL43" s="487">
        <f>IF(AND(JJ43&gt;0,JK43&gt;0),JK43-JJ43,"0")</f>
        <v>-17</v>
      </c>
      <c r="JM43" s="509">
        <f>IF(AND(JE43&gt;0,JK43&gt;0),JK43-JE43,"0")</f>
        <v>190</v>
      </c>
      <c r="JN43" s="347">
        <v>42528</v>
      </c>
      <c r="JO43" s="501">
        <f>IF(AND(JK43&gt;0,JN43&gt;0),JN43-JK43,"0")</f>
        <v>84</v>
      </c>
      <c r="JP43" s="498">
        <f>JO43-60</f>
        <v>24</v>
      </c>
      <c r="JQ43" s="482">
        <f>291/30</f>
        <v>9.6999999999999993</v>
      </c>
      <c r="JR43" s="504">
        <f>((+HS43+HU43+IB43+IJ43+IQ43+IU43+JB43+JI43+JF43)/30)-JQ43</f>
        <v>9.2666666666666657</v>
      </c>
      <c r="JS43" s="490">
        <v>42717</v>
      </c>
      <c r="JT43" s="491"/>
      <c r="JU43" s="490">
        <v>42717</v>
      </c>
      <c r="JV43" s="491">
        <v>19717</v>
      </c>
      <c r="JW43" s="586"/>
      <c r="JX43" s="586"/>
      <c r="JY43" s="586"/>
      <c r="JZ43" s="586"/>
    </row>
    <row r="44" spans="1:286" s="63" customFormat="1" ht="62.25" hidden="1" customHeight="1" x14ac:dyDescent="0.25">
      <c r="A44" s="141" t="s">
        <v>434</v>
      </c>
      <c r="B44" s="47" t="s">
        <v>53</v>
      </c>
      <c r="C44" s="47" t="s">
        <v>159</v>
      </c>
      <c r="D44" s="47">
        <v>2016</v>
      </c>
      <c r="E44" s="47" t="s">
        <v>216</v>
      </c>
      <c r="F44" s="47" t="s">
        <v>638</v>
      </c>
      <c r="G44" s="47" t="s">
        <v>277</v>
      </c>
      <c r="H44" s="47" t="s">
        <v>244</v>
      </c>
      <c r="I44" s="111" t="s">
        <v>168</v>
      </c>
      <c r="J44" s="111"/>
      <c r="K44" s="378"/>
      <c r="L44" s="303" t="s">
        <v>80</v>
      </c>
      <c r="M44" s="190" t="s">
        <v>188</v>
      </c>
      <c r="N44" s="191"/>
      <c r="O44" s="386">
        <v>3126</v>
      </c>
      <c r="P44" s="386">
        <f>Q44</f>
        <v>268450</v>
      </c>
      <c r="Q44" s="386">
        <v>268450</v>
      </c>
      <c r="R44" s="379">
        <f>P44/AD44</f>
        <v>8948.3333333333339</v>
      </c>
      <c r="S44" s="386">
        <f>P44/O44</f>
        <v>85.876519513755596</v>
      </c>
      <c r="T44" s="387">
        <f>Q44/O44</f>
        <v>85.876519513755596</v>
      </c>
      <c r="U44" s="387">
        <f>Q44/AH44</f>
        <v>100.23149012433259</v>
      </c>
      <c r="V44" s="387">
        <f>Q44/AD44</f>
        <v>8948.3333333333339</v>
      </c>
      <c r="W44" s="379">
        <f>O44/AD44</f>
        <v>104.2</v>
      </c>
      <c r="X44" s="388">
        <v>1264.3499999999999</v>
      </c>
      <c r="Y44" s="389">
        <f>AH44/O44</f>
        <v>0.85678182981445938</v>
      </c>
      <c r="Z44" s="388"/>
      <c r="AA44" s="384">
        <v>100</v>
      </c>
      <c r="AB44" s="385"/>
      <c r="AC44" s="47" t="s">
        <v>25</v>
      </c>
      <c r="AD44" s="639">
        <f>(AE44+AF44)</f>
        <v>30</v>
      </c>
      <c r="AE44" s="47">
        <v>30</v>
      </c>
      <c r="AF44" s="47"/>
      <c r="AG44" s="54">
        <v>2596.9</v>
      </c>
      <c r="AH44" s="140">
        <v>2678.3</v>
      </c>
      <c r="AI44" s="22">
        <f>AH44/AD44</f>
        <v>89.276666666666671</v>
      </c>
      <c r="AJ44" s="117">
        <v>0</v>
      </c>
      <c r="AK44" s="117">
        <v>0</v>
      </c>
      <c r="AL44" s="136">
        <f>16/AD44</f>
        <v>0.53333333333333333</v>
      </c>
      <c r="AM44" s="136">
        <f>12/AD44</f>
        <v>0.4</v>
      </c>
      <c r="AN44" s="136">
        <f>2/AD44</f>
        <v>6.6666666666666666E-2</v>
      </c>
      <c r="AO44" s="54"/>
      <c r="AP44" s="134">
        <v>0</v>
      </c>
      <c r="AQ44" s="136">
        <f>AP44/O44</f>
        <v>0</v>
      </c>
      <c r="AR44" s="115">
        <v>3</v>
      </c>
      <c r="AS44" s="47">
        <v>1</v>
      </c>
      <c r="AT44" s="111" t="s">
        <v>316</v>
      </c>
      <c r="AU44" s="111" t="s">
        <v>178</v>
      </c>
      <c r="AV44" s="47" t="s">
        <v>168</v>
      </c>
      <c r="AW44" s="338">
        <v>41669</v>
      </c>
      <c r="AX44" s="338">
        <v>41667</v>
      </c>
      <c r="AY44" s="338">
        <v>41787</v>
      </c>
      <c r="AZ44" s="474">
        <v>41690</v>
      </c>
      <c r="BA44" s="415" t="s">
        <v>754</v>
      </c>
      <c r="BB44" s="420" t="s">
        <v>756</v>
      </c>
      <c r="BC44" s="420" t="s">
        <v>763</v>
      </c>
      <c r="BD44" s="420" t="s">
        <v>800</v>
      </c>
      <c r="BE44" s="338">
        <v>41787</v>
      </c>
      <c r="BF44" s="338">
        <v>41809</v>
      </c>
      <c r="BG44" s="338">
        <v>41853</v>
      </c>
      <c r="BH44" s="338">
        <v>42601</v>
      </c>
      <c r="BI44" s="111"/>
      <c r="BJ44" s="111"/>
      <c r="BK44" s="111"/>
      <c r="BL44" s="111"/>
      <c r="BM44" s="111"/>
      <c r="BN44" s="194" t="s">
        <v>18</v>
      </c>
      <c r="BO44" s="345">
        <v>41786</v>
      </c>
      <c r="BP44" s="358">
        <v>42139</v>
      </c>
      <c r="BQ44" s="194" t="s">
        <v>174</v>
      </c>
      <c r="BR44" s="194" t="s">
        <v>174</v>
      </c>
      <c r="BS44" s="194" t="s">
        <v>357</v>
      </c>
      <c r="BT44" s="67" t="s">
        <v>230</v>
      </c>
      <c r="BU44" s="160">
        <v>42601</v>
      </c>
      <c r="BV44" s="160">
        <v>42626</v>
      </c>
      <c r="BW44" s="160"/>
      <c r="BX44" s="160" t="s">
        <v>168</v>
      </c>
      <c r="BY44" s="341" t="s">
        <v>527</v>
      </c>
      <c r="BZ44" s="377" t="s">
        <v>749</v>
      </c>
      <c r="CA44" s="160">
        <v>42627</v>
      </c>
      <c r="CB44" s="301">
        <v>41932</v>
      </c>
      <c r="CC44" s="373">
        <v>42027</v>
      </c>
      <c r="CD44" s="307">
        <v>42117</v>
      </c>
      <c r="CE44" s="307">
        <v>42074</v>
      </c>
      <c r="CF44" s="569">
        <v>42027</v>
      </c>
      <c r="CG44" s="569">
        <f>DATE(YEAR(CF44),MONTH(CF44)+36,DAY(CF44))</f>
        <v>43123</v>
      </c>
      <c r="CH44" s="569">
        <f>DATE(YEAR(CG44),MONTH(CG44)+12,DAY(CG44))</f>
        <v>43488</v>
      </c>
      <c r="CI44" s="569" t="str">
        <f>IF(EV44&gt;CH44,"oui","non")</f>
        <v>non</v>
      </c>
      <c r="CJ44" s="301" t="s">
        <v>178</v>
      </c>
      <c r="CK44" s="71" t="s">
        <v>437</v>
      </c>
      <c r="CL44" s="82">
        <v>42062</v>
      </c>
      <c r="CM44" s="371">
        <v>42151</v>
      </c>
      <c r="CN44" s="82">
        <v>42180</v>
      </c>
      <c r="CO44" s="336" t="s">
        <v>526</v>
      </c>
      <c r="CP44" s="82">
        <v>42062</v>
      </c>
      <c r="CQ44" s="367">
        <v>42108</v>
      </c>
      <c r="CR44" s="81">
        <v>42178</v>
      </c>
      <c r="CS44" s="162"/>
      <c r="CT44" s="82">
        <v>42062</v>
      </c>
      <c r="CU44" s="365">
        <v>42121</v>
      </c>
      <c r="CV44" s="81">
        <v>42142</v>
      </c>
      <c r="CW44" s="162"/>
      <c r="CX44" s="82">
        <v>42062</v>
      </c>
      <c r="CY44" s="365">
        <v>42136</v>
      </c>
      <c r="CZ44" s="81">
        <v>42166</v>
      </c>
      <c r="DA44" s="162"/>
      <c r="DB44" s="296" t="s">
        <v>88</v>
      </c>
      <c r="DC44" s="300"/>
      <c r="DD44" s="296">
        <f>DC44*3/5</f>
        <v>0</v>
      </c>
      <c r="DE44" s="296" t="s">
        <v>377</v>
      </c>
      <c r="DF44" s="304">
        <v>42639</v>
      </c>
      <c r="DG44" s="296" t="s">
        <v>178</v>
      </c>
      <c r="DH44" s="299" t="s">
        <v>794</v>
      </c>
      <c r="DI44" s="296"/>
      <c r="DJ44" s="296"/>
      <c r="DK44" s="575">
        <v>42055</v>
      </c>
      <c r="DL44" s="573" t="s">
        <v>178</v>
      </c>
      <c r="DM44" s="573" t="s">
        <v>178</v>
      </c>
      <c r="DN44" s="575">
        <v>42677</v>
      </c>
      <c r="DO44" s="574" t="s">
        <v>887</v>
      </c>
      <c r="DP44" s="573" t="s">
        <v>230</v>
      </c>
      <c r="DQ44" s="304">
        <v>42689</v>
      </c>
      <c r="DR44" s="443"/>
      <c r="DS44" s="443"/>
      <c r="DT44" s="297"/>
      <c r="DU44" s="519">
        <f>DATE(YEAR(DQ44),MONTH(DQ44)+18,DAY(DQ44))</f>
        <v>43235</v>
      </c>
      <c r="DV44" s="443"/>
      <c r="DW44" s="443"/>
      <c r="DX44" s="111"/>
      <c r="DY44" s="111"/>
      <c r="DZ44" s="111"/>
      <c r="EA44" s="414">
        <v>42780</v>
      </c>
      <c r="EB44" s="210">
        <v>42401</v>
      </c>
      <c r="EC44" s="224">
        <v>16</v>
      </c>
      <c r="ED44" s="224">
        <f>EC44+2</f>
        <v>18</v>
      </c>
      <c r="EE44" s="422">
        <f>DATEDIF(EA44,EN44,"M")</f>
        <v>16</v>
      </c>
      <c r="EF44" s="422">
        <f>DATEDIF(EA44,EV44,"M")</f>
        <v>17</v>
      </c>
      <c r="EG44" s="422">
        <f>EE44-EC44</f>
        <v>0</v>
      </c>
      <c r="EH44" s="422"/>
      <c r="EI44" s="411">
        <f>209322.88214303/12</f>
        <v>17443.573511919167</v>
      </c>
      <c r="EJ44" s="411"/>
      <c r="EK44" s="224"/>
      <c r="EL44" s="223"/>
      <c r="EM44" s="223"/>
      <c r="EN44" s="210">
        <f>DATE(YEAR(EA44),MONTH(EA44)+EC44,DAY(EA44))</f>
        <v>43265</v>
      </c>
      <c r="EO44" s="210">
        <f>DATE(YEAR(DV44)+2,MONTH(DV44),DAY(DV44))</f>
        <v>731</v>
      </c>
      <c r="EP44" s="223"/>
      <c r="EQ44" s="210"/>
      <c r="ER44" s="210"/>
      <c r="ES44" s="223"/>
      <c r="ET44" s="223"/>
      <c r="EU44" s="334">
        <f>DATE(YEAR(EN44),MONTH(EN44)+1,DAY(EN44))</f>
        <v>43295</v>
      </c>
      <c r="EV44" s="206">
        <f>EU44</f>
        <v>43295</v>
      </c>
      <c r="EW44" s="206"/>
      <c r="EX44" s="209"/>
      <c r="EY44" s="218"/>
      <c r="EZ44" s="218"/>
      <c r="FA44" s="218"/>
      <c r="FB44" s="218"/>
      <c r="FC44" s="218"/>
      <c r="FD44" s="111"/>
      <c r="FE44" s="111"/>
      <c r="FF44" s="111"/>
      <c r="FG44" s="111"/>
      <c r="FH44" s="111"/>
      <c r="FI44" s="111"/>
      <c r="FJ44" s="111"/>
      <c r="FK44" s="111"/>
      <c r="FL44" s="111"/>
      <c r="FM44" s="111"/>
      <c r="FN44" s="111"/>
      <c r="FO44" s="111"/>
      <c r="FP44" s="195"/>
      <c r="FQ44" s="49">
        <f>+GA44+GE44+GL44+HF44</f>
        <v>5088523.3381183296</v>
      </c>
      <c r="FR44" s="66">
        <f>GB44+GF44+GK44+GM44+GQ44</f>
        <v>5227844.2</v>
      </c>
      <c r="FS44" s="92">
        <f>FR44-FQ44</f>
        <v>139320.86188167054</v>
      </c>
      <c r="FT44" s="50">
        <f>FR44/AG44</f>
        <v>2013.1095536986406</v>
      </c>
      <c r="FU44" s="50">
        <f>FR44/AD44</f>
        <v>174261.47333333333</v>
      </c>
      <c r="FV44" s="49">
        <v>4413122.1526051881</v>
      </c>
      <c r="FW44" s="66">
        <v>4142334</v>
      </c>
      <c r="FX44" s="92">
        <f>FW44-FV44</f>
        <v>-270788.15260518808</v>
      </c>
      <c r="FY44" s="231">
        <f>FW44*1.021/FR44</f>
        <v>0.80899943689982179</v>
      </c>
      <c r="FZ44" s="232"/>
      <c r="GA44" s="49">
        <v>1541342.2781183291</v>
      </c>
      <c r="GB44" s="66">
        <v>1638956.14</v>
      </c>
      <c r="GC44" s="50">
        <f>GB44/AD44</f>
        <v>54631.871333333329</v>
      </c>
      <c r="GD44" s="74">
        <f>GB44-GA44</f>
        <v>97613.861881670775</v>
      </c>
      <c r="GE44" s="49">
        <f>GF44</f>
        <v>3296474.06</v>
      </c>
      <c r="GF44" s="66">
        <f>GG44+GH44</f>
        <v>3296474.06</v>
      </c>
      <c r="GG44" s="93">
        <v>618601</v>
      </c>
      <c r="GH44" s="93">
        <v>2677873.06</v>
      </c>
      <c r="GI44" s="74">
        <f>GF44-GE44</f>
        <v>0</v>
      </c>
      <c r="GJ44" s="50">
        <f>GF44/AD44</f>
        <v>109882.46866666667</v>
      </c>
      <c r="GK44" s="66">
        <v>0</v>
      </c>
      <c r="GL44" s="49">
        <v>250707</v>
      </c>
      <c r="GM44" s="66">
        <v>280000</v>
      </c>
      <c r="GN44" s="129">
        <v>0</v>
      </c>
      <c r="GO44" s="76">
        <f>GM44/FR44</f>
        <v>5.3559362002410092E-2</v>
      </c>
      <c r="GP44" s="590"/>
      <c r="GQ44" s="66">
        <v>12414</v>
      </c>
      <c r="GR44" s="48">
        <f>GM44-GL44</f>
        <v>29293</v>
      </c>
      <c r="GS44" s="95">
        <f>GM44/AD44</f>
        <v>9333.3333333333339</v>
      </c>
      <c r="GT44" s="138">
        <f>(GB44+GM44)/AD44</f>
        <v>63965.204666666665</v>
      </c>
      <c r="GU44" s="48">
        <f>GR44/AD44</f>
        <v>976.43333333333328</v>
      </c>
      <c r="GV44" s="97">
        <v>6.39</v>
      </c>
      <c r="GW44" s="97">
        <v>5.75</v>
      </c>
      <c r="GX44" s="94">
        <v>0</v>
      </c>
      <c r="GY44" s="94">
        <v>0</v>
      </c>
      <c r="GZ44" s="95">
        <f>(GB44+GM44+GY44)/AD44</f>
        <v>63965.204666666665</v>
      </c>
      <c r="HA44" s="94">
        <v>0</v>
      </c>
      <c r="HB44" s="95">
        <f>(GB44+GM44+GY44+HA44)/AD44</f>
        <v>63965.204666666665</v>
      </c>
      <c r="HC44" s="99">
        <f>(GB44+GM44+GY44+HA44)/(GX44+FR44-HD44)</f>
        <v>0.37905933929335955</v>
      </c>
      <c r="HD44" s="94">
        <v>165428</v>
      </c>
      <c r="HE44" s="94"/>
      <c r="HF44" s="66">
        <v>0</v>
      </c>
      <c r="HG44" s="77">
        <f>FR44+GX44</f>
        <v>5227844.2</v>
      </c>
      <c r="HH44" s="491">
        <v>265549</v>
      </c>
      <c r="HI44" s="491">
        <f>HK44+ID44+IH44+IS44+JD44+JV44</f>
        <v>172605</v>
      </c>
      <c r="HJ44" s="490"/>
      <c r="HK44" s="491">
        <v>24456</v>
      </c>
      <c r="HL44" s="415">
        <v>41564</v>
      </c>
      <c r="HM44" s="415">
        <f>DATE(YEAR(HL44),MONTH(HL44),DAY(HL44)+21)</f>
        <v>41585</v>
      </c>
      <c r="HN44" s="415">
        <v>41603</v>
      </c>
      <c r="HO44" s="497">
        <f>IF(AND(HM44&gt;0,HN44&gt;0),HN44-HM44,"0")</f>
        <v>18</v>
      </c>
      <c r="HP44" s="415">
        <v>41652</v>
      </c>
      <c r="HQ44" s="481">
        <f>IF(AND(HN44&gt;0,HP44&gt;0),HP44-HN44,"0")</f>
        <v>49</v>
      </c>
      <c r="HR44" s="497">
        <f>+HQ44-30</f>
        <v>19</v>
      </c>
      <c r="HS44" s="506">
        <f>IF(AND(HL44&gt;0,HP44&gt;0),HP44-HL44,"0")</f>
        <v>88</v>
      </c>
      <c r="HT44" s="415">
        <v>41652</v>
      </c>
      <c r="HU44" s="497">
        <f>IF(AND(HP44&gt;0,HT44&gt;0),HT44-HP44,"0")</f>
        <v>0</v>
      </c>
      <c r="HV44" s="415">
        <f>DATE(YEAR(HT44),MONTH(HT44),DAY(HT44)+30)</f>
        <v>41682</v>
      </c>
      <c r="HW44" s="415">
        <v>41673</v>
      </c>
      <c r="HX44" s="497">
        <f>IF(AND(HV44&gt;0,HW44&gt;0),HW44-HV44,"0")</f>
        <v>-9</v>
      </c>
      <c r="HY44" s="415">
        <v>41697</v>
      </c>
      <c r="HZ44" s="481">
        <f>IF(AND(HW44&gt;0,HY44&gt;0),HY44-HW44,"0")</f>
        <v>24</v>
      </c>
      <c r="IA44" s="497">
        <f>+HZ44-30</f>
        <v>-6</v>
      </c>
      <c r="IB44" s="506">
        <f>IF(AND(HT44&gt;0,HY44&gt;0),HY44-HT44,"0")</f>
        <v>45</v>
      </c>
      <c r="IC44" s="490">
        <v>41697</v>
      </c>
      <c r="ID44" s="491">
        <v>12815</v>
      </c>
      <c r="IE44" s="415"/>
      <c r="IF44" s="415">
        <v>41674</v>
      </c>
      <c r="IG44" s="494">
        <v>41676</v>
      </c>
      <c r="IH44" s="491">
        <v>26808</v>
      </c>
      <c r="II44" s="347">
        <v>41697</v>
      </c>
      <c r="IJ44" s="497">
        <f>IF(AND(HY44&gt;0,II44&gt;0),II44-HY44,"0")</f>
        <v>0</v>
      </c>
      <c r="IK44" s="347">
        <f>DATE(YEAR(II44),MONTH(II44),DAY(II44)+30)</f>
        <v>41727</v>
      </c>
      <c r="IL44" s="347">
        <v>41786</v>
      </c>
      <c r="IM44" s="497">
        <f>IF(AND(IK44&gt;0,IL44&gt;0),IL44-IK44,"0")</f>
        <v>59</v>
      </c>
      <c r="IN44" s="347">
        <v>41815</v>
      </c>
      <c r="IO44" s="481">
        <f>IF(AND(IL44&gt;0,IN44&gt;0),IN44-IL44,"0")</f>
        <v>29</v>
      </c>
      <c r="IP44" s="497">
        <f>+IO44-30</f>
        <v>-1</v>
      </c>
      <c r="IQ44" s="506">
        <f>IF(AND(II44&gt;0,IN44&gt;0),IN44-II44,"0")</f>
        <v>118</v>
      </c>
      <c r="IR44" s="490">
        <v>41815</v>
      </c>
      <c r="IS44" s="491">
        <v>27980</v>
      </c>
      <c r="IT44" s="347">
        <v>41824</v>
      </c>
      <c r="IU44" s="498">
        <f>IF(AND(IN44&gt;0,IT44&gt;0),IT44-IN44,"0")</f>
        <v>9</v>
      </c>
      <c r="IV44" s="347">
        <f>DATE(YEAR(IT44),MONTH(IT44),DAY(IT44)+30)</f>
        <v>41854</v>
      </c>
      <c r="IW44" s="347">
        <v>41898</v>
      </c>
      <c r="IX44" s="498">
        <f>IF(AND(IV44&gt;0,IW44&gt;0),IW44-IV44,"0")</f>
        <v>44</v>
      </c>
      <c r="IY44" s="347">
        <v>41920</v>
      </c>
      <c r="IZ44" s="482">
        <f>IF(AND(IW44&gt;0,IY44&gt;0),IY44-IW44,"0")</f>
        <v>22</v>
      </c>
      <c r="JA44" s="498">
        <f>IZ44-30</f>
        <v>-8</v>
      </c>
      <c r="JB44" s="508">
        <f>IF(AND(IT44&gt;0,IY44&gt;0),IY44-IT44,"0")</f>
        <v>96</v>
      </c>
      <c r="JC44" s="490">
        <v>41942</v>
      </c>
      <c r="JD44" s="491">
        <v>39455</v>
      </c>
      <c r="JE44" s="347">
        <v>41920</v>
      </c>
      <c r="JF44" s="487">
        <f>IF(AND(IY44&gt;0,JE44&gt;0),JE44-IY44,"0")</f>
        <v>0</v>
      </c>
      <c r="JG44" s="347">
        <f>DATE(YEAR(JE44),MONTH(JE44),DAY(JE44)+15)</f>
        <v>41935</v>
      </c>
      <c r="JH44" s="347">
        <v>41934</v>
      </c>
      <c r="JI44" s="487">
        <f>IF(AND(JG44&gt;0,JH44&gt;0),JH44-JG44,"0")</f>
        <v>-1</v>
      </c>
      <c r="JJ44" s="347">
        <f>DATE(YEAR(JH44),MONTH(JH44),DAY(JH44)+15)</f>
        <v>41949</v>
      </c>
      <c r="JK44" s="347">
        <v>41955</v>
      </c>
      <c r="JL44" s="487">
        <f>IF(AND(JJ44&gt;0,JK44&gt;0),JK44-JJ44,"0")</f>
        <v>6</v>
      </c>
      <c r="JM44" s="509">
        <f>IF(AND(JE44&gt;0,JK44&gt;0),JK44-JE44,"0")</f>
        <v>35</v>
      </c>
      <c r="JN44" s="347">
        <v>42055</v>
      </c>
      <c r="JO44" s="501">
        <f>IF(AND(JK44&gt;0,JN44&gt;0),JN44-JK44,"0")</f>
        <v>100</v>
      </c>
      <c r="JP44" s="498">
        <f>JO44-60</f>
        <v>40</v>
      </c>
      <c r="JQ44" s="482">
        <f>291/30</f>
        <v>9.6999999999999993</v>
      </c>
      <c r="JR44" s="504">
        <f>((+HS44+HU44+IB44+IJ44+IQ44+IU44+JB44+JI44+JF44)/30)-JQ44</f>
        <v>2.1333333333333346</v>
      </c>
      <c r="JS44" s="490" t="s">
        <v>968</v>
      </c>
      <c r="JT44" s="491"/>
      <c r="JU44" s="490">
        <v>42726</v>
      </c>
      <c r="JV44" s="491">
        <v>41091</v>
      </c>
      <c r="JW44" s="586"/>
      <c r="JX44" s="586"/>
      <c r="JY44" s="586"/>
      <c r="JZ44" s="586"/>
    </row>
    <row r="45" spans="1:286" ht="149.25" hidden="1" customHeight="1" x14ac:dyDescent="0.25">
      <c r="A45" s="19" t="s">
        <v>573</v>
      </c>
      <c r="B45" s="20" t="s">
        <v>217</v>
      </c>
      <c r="C45" s="20" t="s">
        <v>159</v>
      </c>
      <c r="D45" s="20">
        <v>2015</v>
      </c>
      <c r="E45" s="20" t="s">
        <v>386</v>
      </c>
      <c r="F45" s="20" t="s">
        <v>630</v>
      </c>
      <c r="G45" s="20" t="s">
        <v>890</v>
      </c>
      <c r="H45" s="20" t="s">
        <v>246</v>
      </c>
      <c r="I45" s="110"/>
      <c r="J45" s="110"/>
      <c r="K45" s="453" t="s">
        <v>1012</v>
      </c>
      <c r="L45" s="303" t="s">
        <v>79</v>
      </c>
      <c r="M45" s="592"/>
      <c r="N45" s="191"/>
      <c r="O45" s="379">
        <v>13077</v>
      </c>
      <c r="P45" s="379">
        <v>590200</v>
      </c>
      <c r="Q45" s="379">
        <v>590200</v>
      </c>
      <c r="R45" s="379">
        <f>P45/AD45</f>
        <v>12830.434782608696</v>
      </c>
      <c r="S45" s="379">
        <f>P45/O45</f>
        <v>45.132675690142996</v>
      </c>
      <c r="T45" s="387">
        <f>Q45/O45</f>
        <v>45.132675690142996</v>
      </c>
      <c r="U45" s="387">
        <f>Q45/AH45</f>
        <v>146.36735179747637</v>
      </c>
      <c r="V45" s="387">
        <f>Q45/AD45</f>
        <v>12830.434782608696</v>
      </c>
      <c r="W45" s="379">
        <f>O45/AD45</f>
        <v>284.28260869565219</v>
      </c>
      <c r="X45" s="380"/>
      <c r="Y45" s="381">
        <f>AH45/O45</f>
        <v>0.308352068517244</v>
      </c>
      <c r="Z45" s="380"/>
      <c r="AA45" s="382"/>
      <c r="AB45" s="383"/>
      <c r="AC45" s="47" t="s">
        <v>25</v>
      </c>
      <c r="AD45" s="640">
        <v>46</v>
      </c>
      <c r="AE45" s="20">
        <v>46</v>
      </c>
      <c r="AF45" s="21"/>
      <c r="AG45" s="22">
        <v>4286.38</v>
      </c>
      <c r="AH45" s="140">
        <v>4032.32</v>
      </c>
      <c r="AI45" s="22"/>
      <c r="AJ45" s="135"/>
      <c r="AK45" s="135"/>
      <c r="AL45" s="135">
        <f>36/AE45</f>
        <v>0.78260869565217395</v>
      </c>
      <c r="AM45" s="135">
        <f>10/AD45</f>
        <v>0.21739130434782608</v>
      </c>
      <c r="AN45" s="135"/>
      <c r="AO45" s="22"/>
      <c r="AP45" s="133"/>
      <c r="AQ45" s="135"/>
      <c r="AR45" s="116">
        <v>2</v>
      </c>
      <c r="AS45" s="20"/>
      <c r="AT45" s="110" t="s">
        <v>316</v>
      </c>
      <c r="AU45" s="110"/>
      <c r="AV45" s="20"/>
      <c r="AW45" s="332">
        <v>41961</v>
      </c>
      <c r="AX45" s="332">
        <v>41921</v>
      </c>
      <c r="AY45" s="110"/>
      <c r="AZ45" s="110"/>
      <c r="BA45" s="540" t="s">
        <v>754</v>
      </c>
      <c r="BB45" s="540" t="s">
        <v>805</v>
      </c>
      <c r="BC45" s="540" t="s">
        <v>757</v>
      </c>
      <c r="BD45" s="540" t="s">
        <v>800</v>
      </c>
      <c r="BE45" s="332">
        <v>42131</v>
      </c>
      <c r="BF45" s="332">
        <v>42210</v>
      </c>
      <c r="BG45" s="332">
        <v>42234</v>
      </c>
      <c r="BH45" s="332">
        <v>42272</v>
      </c>
      <c r="BI45" s="110"/>
      <c r="BJ45" s="110"/>
      <c r="BK45" s="110"/>
      <c r="BL45" s="110"/>
      <c r="BM45" s="110"/>
      <c r="BN45" s="194" t="s">
        <v>18</v>
      </c>
      <c r="BO45" s="345">
        <v>42268</v>
      </c>
      <c r="BP45" s="358">
        <v>42721</v>
      </c>
      <c r="BQ45" s="194"/>
      <c r="BR45" s="194"/>
      <c r="BS45" s="194" t="s">
        <v>746</v>
      </c>
      <c r="BT45" s="67"/>
      <c r="BU45" s="376">
        <v>42304</v>
      </c>
      <c r="BV45" s="160">
        <v>42335</v>
      </c>
      <c r="BW45" s="160"/>
      <c r="BX45" s="160">
        <v>42249</v>
      </c>
      <c r="BY45" s="160">
        <v>42600</v>
      </c>
      <c r="BZ45" s="376">
        <v>42613</v>
      </c>
      <c r="CA45" s="160">
        <v>42614</v>
      </c>
      <c r="CB45" s="301">
        <v>42614</v>
      </c>
      <c r="CC45" s="372">
        <v>42620</v>
      </c>
      <c r="CD45" s="302">
        <v>42711</v>
      </c>
      <c r="CE45" s="302">
        <v>42660</v>
      </c>
      <c r="CF45" s="161"/>
      <c r="CG45" s="336">
        <f>DATE(YEAR(CF45),MONTH(CF45)+24,DAY(CF45))</f>
        <v>731</v>
      </c>
      <c r="CH45" s="336">
        <f>DATE(YEAR(CF45),MONTH(CF45)+36,DAY(CF45))</f>
        <v>1096</v>
      </c>
      <c r="CI45" s="336"/>
      <c r="CJ45" s="301">
        <v>42627</v>
      </c>
      <c r="CK45" s="71" t="s">
        <v>972</v>
      </c>
      <c r="CL45" s="82">
        <v>42647</v>
      </c>
      <c r="CM45" s="370">
        <v>42711</v>
      </c>
      <c r="CN45" s="82">
        <v>42730</v>
      </c>
      <c r="CO45" s="161">
        <v>42747</v>
      </c>
      <c r="CP45" s="82">
        <v>42648</v>
      </c>
      <c r="CQ45" s="365">
        <v>42702</v>
      </c>
      <c r="CR45" s="81">
        <v>42725</v>
      </c>
      <c r="CS45" s="162">
        <v>42753</v>
      </c>
      <c r="CT45" s="82">
        <v>42647</v>
      </c>
      <c r="CU45" s="365">
        <v>42716</v>
      </c>
      <c r="CV45" s="81">
        <v>42741</v>
      </c>
      <c r="CW45" s="162">
        <v>42753</v>
      </c>
      <c r="CX45" s="82">
        <v>42647</v>
      </c>
      <c r="CY45" s="539" t="s">
        <v>1047</v>
      </c>
      <c r="CZ45" s="81"/>
      <c r="DA45" s="162"/>
      <c r="DB45" s="596"/>
      <c r="DC45" s="296"/>
      <c r="DD45" s="296"/>
      <c r="DE45" s="304">
        <v>42620</v>
      </c>
      <c r="DF45" s="296"/>
      <c r="DG45" s="296"/>
      <c r="DH45" s="299" t="s">
        <v>795</v>
      </c>
      <c r="DI45" s="296"/>
      <c r="DJ45" s="296"/>
      <c r="DK45" s="575">
        <v>42514</v>
      </c>
      <c r="DL45" s="573" t="s">
        <v>178</v>
      </c>
      <c r="DM45" s="573" t="s">
        <v>178</v>
      </c>
      <c r="DN45" s="574" t="s">
        <v>796</v>
      </c>
      <c r="DO45" s="573" t="s">
        <v>1027</v>
      </c>
      <c r="DP45" s="573" t="s">
        <v>178</v>
      </c>
      <c r="DQ45" s="304">
        <v>42725</v>
      </c>
      <c r="DR45" s="443"/>
      <c r="DS45" s="443"/>
      <c r="DT45" s="297"/>
      <c r="DU45" s="304">
        <f>DATE(YEAR(DQ45),MONTH(DQ45)+18,DAY(DQ45))</f>
        <v>43272</v>
      </c>
      <c r="DV45" s="443"/>
      <c r="DW45" s="443"/>
      <c r="DX45" s="423"/>
      <c r="DY45" s="423"/>
      <c r="DZ45" s="423"/>
      <c r="EA45" s="612">
        <v>42782</v>
      </c>
      <c r="EB45" s="423"/>
      <c r="EC45" s="430">
        <v>18</v>
      </c>
      <c r="ED45" s="430">
        <f>EC45+2</f>
        <v>20</v>
      </c>
      <c r="EE45" s="422">
        <f>DATEDIF(EA45,EN45,"M")</f>
        <v>18</v>
      </c>
      <c r="EF45" s="422">
        <f>DATEDIF(EA45,EV45,"M")</f>
        <v>19</v>
      </c>
      <c r="EG45" s="422">
        <f>EE45-EC45</f>
        <v>0</v>
      </c>
      <c r="EH45" s="422"/>
      <c r="EI45" s="431"/>
      <c r="EJ45" s="431"/>
      <c r="EK45" s="423"/>
      <c r="EL45" s="423"/>
      <c r="EM45" s="423"/>
      <c r="EN45" s="210">
        <f>DATE(YEAR(EA45),MONTH(EA45)+EC45,DAY(EA45))</f>
        <v>43328</v>
      </c>
      <c r="EO45" s="210">
        <f>DATE(YEAR(DV45)+2,MONTH(DV45),DAY(DV45))</f>
        <v>731</v>
      </c>
      <c r="EP45" s="423"/>
      <c r="EQ45" s="423"/>
      <c r="ER45" s="423"/>
      <c r="ES45" s="423"/>
      <c r="ET45" s="423"/>
      <c r="EU45" s="334">
        <f>DATE(YEAR(EN45),MONTH(EN45)+1,DAY(EN45))</f>
        <v>43359</v>
      </c>
      <c r="EV45" s="206">
        <f>EU45</f>
        <v>43359</v>
      </c>
      <c r="EW45" s="206"/>
      <c r="EX45" s="209"/>
      <c r="EY45" s="434"/>
      <c r="EZ45" s="212"/>
      <c r="FA45" s="212"/>
      <c r="FB45" s="212"/>
      <c r="FC45" s="212"/>
      <c r="FD45" s="110"/>
      <c r="FE45" s="110"/>
      <c r="FF45" s="110"/>
      <c r="FG45" s="110"/>
      <c r="FH45" s="110"/>
      <c r="FI45" s="110"/>
      <c r="FJ45" s="110"/>
      <c r="FK45" s="110"/>
      <c r="FL45" s="110"/>
      <c r="FM45" s="110"/>
      <c r="FN45" s="110"/>
      <c r="FO45" s="110"/>
      <c r="FP45" s="195"/>
      <c r="FQ45" s="23">
        <f>GA45+GE45+GL45</f>
        <v>8830884.4772763215</v>
      </c>
      <c r="FR45" s="24">
        <f>GB45+GF45+GK45+GM45+GQ45</f>
        <v>8391475</v>
      </c>
      <c r="FS45" s="25"/>
      <c r="FT45" s="50">
        <f>FQ45/AG45</f>
        <v>2060.2196905725395</v>
      </c>
      <c r="FU45" s="50">
        <f>FQ45/AD45</f>
        <v>191975.74950600698</v>
      </c>
      <c r="FV45" s="23">
        <v>7838932.0183052132</v>
      </c>
      <c r="FW45" s="24"/>
      <c r="FX45" s="25">
        <f>FW45-FV45</f>
        <v>-7838932.0183052132</v>
      </c>
      <c r="FY45" s="231">
        <f>FW45*1.021/FR45</f>
        <v>0</v>
      </c>
      <c r="FZ45" s="234">
        <v>0.39750000000000002</v>
      </c>
      <c r="GA45" s="23">
        <v>2934715.4772763224</v>
      </c>
      <c r="GB45" s="24">
        <v>2642685</v>
      </c>
      <c r="GC45" s="50">
        <f>GA45/AD45</f>
        <v>63798.162549485271</v>
      </c>
      <c r="GD45" s="73"/>
      <c r="GE45" s="23">
        <v>5440169</v>
      </c>
      <c r="GF45" s="24">
        <f>GG45+GH45</f>
        <v>5285874</v>
      </c>
      <c r="GG45" s="26">
        <v>1258166</v>
      </c>
      <c r="GH45" s="26">
        <v>4027708</v>
      </c>
      <c r="GI45" s="73"/>
      <c r="GJ45" s="50">
        <f>GE45/AD45</f>
        <v>118264.54347826086</v>
      </c>
      <c r="GK45" s="24"/>
      <c r="GL45" s="23">
        <v>456000</v>
      </c>
      <c r="GM45" s="24">
        <v>406000</v>
      </c>
      <c r="GN45" s="124"/>
      <c r="GO45" s="76">
        <f>GL45/FQ45</f>
        <v>5.163695677068153E-2</v>
      </c>
      <c r="GP45" s="590"/>
      <c r="GQ45" s="24">
        <v>56916</v>
      </c>
      <c r="GR45" s="51">
        <f>GM45-GL45</f>
        <v>-50000</v>
      </c>
      <c r="GS45" s="50">
        <f>GL45/AD45</f>
        <v>9913.04347826087</v>
      </c>
      <c r="GT45" s="138">
        <f>(GA45+GL45)/AD45</f>
        <v>73711.206027746142</v>
      </c>
      <c r="GU45" s="51">
        <f>GR45/AD45</f>
        <v>-1086.9565217391305</v>
      </c>
      <c r="GV45" s="97">
        <v>6.38</v>
      </c>
      <c r="GW45" s="97">
        <v>5.74</v>
      </c>
      <c r="GX45" s="75"/>
      <c r="GY45" s="75"/>
      <c r="GZ45" s="50">
        <f>(GB45+GM45+GY45)/AD45</f>
        <v>66275.760869565216</v>
      </c>
      <c r="HA45" s="75"/>
      <c r="HB45" s="50">
        <f>(GB45+GM45+GY45+HA45)/AD45</f>
        <v>66275.760869565216</v>
      </c>
      <c r="HC45" s="99">
        <f>(GB45+GM45+GY45+HA45)/(GX45+FR45-HD45)</f>
        <v>0.36330740424061325</v>
      </c>
      <c r="HD45" s="75"/>
      <c r="HE45" s="75"/>
      <c r="HF45" s="24"/>
      <c r="HG45" s="77">
        <f>FR45+GX45</f>
        <v>8391475</v>
      </c>
      <c r="HH45" s="491">
        <v>472842</v>
      </c>
      <c r="HI45" s="491">
        <f>HK45+ID45+IH45+IS45+JD45+JT45+JV45</f>
        <v>260063</v>
      </c>
      <c r="HJ45" s="494">
        <v>41102</v>
      </c>
      <c r="HK45" s="491">
        <v>41000</v>
      </c>
      <c r="HL45" s="415">
        <v>41899</v>
      </c>
      <c r="HM45" s="415">
        <f>DATE(YEAR(HL45),MONTH(HL45),DAY(HL45)+21)</f>
        <v>41920</v>
      </c>
      <c r="HN45" s="415">
        <v>41920</v>
      </c>
      <c r="HO45" s="497">
        <f>IF(AND(HM45&gt;0,HN45&gt;0),HN45-HM45,"0")</f>
        <v>0</v>
      </c>
      <c r="HP45" s="415">
        <v>41950</v>
      </c>
      <c r="HQ45" s="481">
        <f>IF(AND(HN45&gt;0,HP45&gt;0),HP45-HN45,"0")</f>
        <v>30</v>
      </c>
      <c r="HR45" s="497">
        <f>+HQ45-30</f>
        <v>0</v>
      </c>
      <c r="HS45" s="506">
        <f>IF(AND(HL45&gt;0,HP45&gt;0),HP45-HL45,"0")</f>
        <v>51</v>
      </c>
      <c r="HT45" s="415">
        <v>41984</v>
      </c>
      <c r="HU45" s="497">
        <f>IF(AND(HP45&gt;0,HT45&gt;0),HT45-HP45,"0")</f>
        <v>34</v>
      </c>
      <c r="HV45" s="415">
        <f>DATE(YEAR(HT45),MONTH(HT45),DAY(HT45)+21)</f>
        <v>42005</v>
      </c>
      <c r="HW45" s="415">
        <v>42026</v>
      </c>
      <c r="HX45" s="497">
        <f>IF(AND(HV45&gt;0,HW45&gt;0),HW45-HV45,"0")</f>
        <v>21</v>
      </c>
      <c r="HY45" s="415">
        <v>42075</v>
      </c>
      <c r="HZ45" s="481">
        <f>IF(AND(HW45&gt;0,HY45&gt;0),HY45-HW45,"0")</f>
        <v>49</v>
      </c>
      <c r="IA45" s="497">
        <f>+HZ45-30</f>
        <v>19</v>
      </c>
      <c r="IB45" s="506">
        <f>IF(AND(HT45&gt;0,HY45&gt;0),HY45-HT45,"0")</f>
        <v>91</v>
      </c>
      <c r="IC45" s="490"/>
      <c r="ID45" s="491"/>
      <c r="IE45" s="415"/>
      <c r="IF45" s="415">
        <v>42040</v>
      </c>
      <c r="IG45" s="494"/>
      <c r="IH45" s="491">
        <v>81523</v>
      </c>
      <c r="II45" s="347">
        <v>42101</v>
      </c>
      <c r="IJ45" s="497">
        <f>IF(AND(HY45&gt;0,II45&gt;0),II45-HY45,"0")</f>
        <v>26</v>
      </c>
      <c r="IK45" s="347">
        <f>DATE(YEAR(II45),MONTH(II45),DAY(II45)+30)</f>
        <v>42131</v>
      </c>
      <c r="IL45" s="347">
        <v>42131</v>
      </c>
      <c r="IM45" s="497">
        <f>IF(AND(IK45&gt;0,IL45&gt;0),IL45-IK45,"0")</f>
        <v>0</v>
      </c>
      <c r="IN45" s="347">
        <v>42201</v>
      </c>
      <c r="IO45" s="481">
        <f>IF(AND(IL45&gt;0,IN45&gt;0),IN45-IL45,"0")</f>
        <v>70</v>
      </c>
      <c r="IP45" s="497">
        <f>+IO45-30</f>
        <v>40</v>
      </c>
      <c r="IQ45" s="506">
        <f>IF(AND(II45&gt;0,IN45&gt;0),IN45-II45,"0")</f>
        <v>100</v>
      </c>
      <c r="IR45" s="490"/>
      <c r="IS45" s="491">
        <v>46614</v>
      </c>
      <c r="IT45" s="347">
        <v>42226</v>
      </c>
      <c r="IU45" s="498">
        <f>IF(AND(IN45&gt;0,IT45&gt;0),IT45-IN45,"0")</f>
        <v>25</v>
      </c>
      <c r="IV45" s="347">
        <f>DATE(YEAR(IT45),MONTH(IT45),DAY(IT45)+30)</f>
        <v>42256</v>
      </c>
      <c r="IW45" s="347">
        <v>42256</v>
      </c>
      <c r="IX45" s="498">
        <f>IF(AND(IV45&gt;0,IW45&gt;0),IW45-IV45,"0")</f>
        <v>0</v>
      </c>
      <c r="IY45" s="347">
        <v>42296</v>
      </c>
      <c r="IZ45" s="482">
        <f>IF(AND(IW45&gt;0,IY45&gt;0),IY45-IW45,"0")</f>
        <v>40</v>
      </c>
      <c r="JA45" s="498">
        <f>IZ45-30</f>
        <v>10</v>
      </c>
      <c r="JB45" s="508">
        <f>IF(AND(IT45&gt;0,IY45&gt;0),IY45-IT45,"0")</f>
        <v>70</v>
      </c>
      <c r="JC45" s="490">
        <v>42039</v>
      </c>
      <c r="JD45" s="491">
        <v>72488</v>
      </c>
      <c r="JE45" s="347">
        <v>42339</v>
      </c>
      <c r="JF45" s="487">
        <f>IF(AND(IY45&gt;0,JE45&gt;0),JE45-IY45,"0")</f>
        <v>43</v>
      </c>
      <c r="JG45" s="347">
        <f>DATE(YEAR(JE45),MONTH(JE45),DAY(JE45)+15)</f>
        <v>42354</v>
      </c>
      <c r="JH45" s="347">
        <v>42389</v>
      </c>
      <c r="JI45" s="487">
        <f>IF(AND(JG45&gt;0,JH45&gt;0),JH45-JG45,"0")</f>
        <v>35</v>
      </c>
      <c r="JJ45" s="347">
        <f>DATE(YEAR(JH45),MONTH(JH45),DAY(JH45)+15)</f>
        <v>42404</v>
      </c>
      <c r="JK45" s="347">
        <v>42474</v>
      </c>
      <c r="JL45" s="487">
        <f>IF(AND(JJ45&gt;0,JK45&gt;0),JK45-JJ45,"0")</f>
        <v>70</v>
      </c>
      <c r="JM45" s="509">
        <f>IF(AND(JE45&gt;0,JK45&gt;0),JK45-JE45,"0")</f>
        <v>135</v>
      </c>
      <c r="JN45" s="347">
        <v>42514</v>
      </c>
      <c r="JO45" s="501">
        <f>IF(AND(JK45&gt;0,JN45&gt;0),JN45-JK45,"0")</f>
        <v>40</v>
      </c>
      <c r="JP45" s="498">
        <f>JO45-60</f>
        <v>-20</v>
      </c>
      <c r="JQ45" s="482">
        <f>291/30</f>
        <v>9.6999999999999993</v>
      </c>
      <c r="JR45" s="504">
        <f>((+HS45+HU45+IB45+IJ45+IQ45+IU45+JB45+JI45+JF45)/30)-JQ45</f>
        <v>6.1333333333333346</v>
      </c>
      <c r="JS45" s="490">
        <v>42716</v>
      </c>
      <c r="JT45" s="511">
        <v>18438</v>
      </c>
      <c r="JU45" s="490"/>
      <c r="JV45" s="505"/>
      <c r="JW45" s="586"/>
      <c r="JX45" s="586"/>
      <c r="JY45" s="586"/>
      <c r="JZ45" s="586"/>
    </row>
    <row r="46" spans="1:286" s="84" customFormat="1" ht="112.5" hidden="1" customHeight="1" x14ac:dyDescent="0.25">
      <c r="A46" s="19" t="s">
        <v>573</v>
      </c>
      <c r="B46" s="20" t="s">
        <v>217</v>
      </c>
      <c r="C46" s="20" t="s">
        <v>159</v>
      </c>
      <c r="D46" s="20">
        <v>2015</v>
      </c>
      <c r="E46" s="20" t="s">
        <v>386</v>
      </c>
      <c r="F46" s="20" t="s">
        <v>630</v>
      </c>
      <c r="G46" s="20" t="s">
        <v>890</v>
      </c>
      <c r="H46" s="20" t="s">
        <v>246</v>
      </c>
      <c r="I46" s="110"/>
      <c r="J46" s="110"/>
      <c r="K46" s="453" t="s">
        <v>1012</v>
      </c>
      <c r="L46" s="303" t="s">
        <v>79</v>
      </c>
      <c r="M46" s="190" t="s">
        <v>84</v>
      </c>
      <c r="N46" s="191"/>
      <c r="O46" s="379">
        <v>13077</v>
      </c>
      <c r="P46" s="379"/>
      <c r="Q46" s="379"/>
      <c r="R46" s="379">
        <f>P46/AD46</f>
        <v>0</v>
      </c>
      <c r="S46" s="379">
        <f>P46/O46</f>
        <v>0</v>
      </c>
      <c r="T46" s="387">
        <f>Q46/O46</f>
        <v>0</v>
      </c>
      <c r="U46" s="387">
        <f>Q46/AH46</f>
        <v>0</v>
      </c>
      <c r="V46" s="387">
        <f>Q46/AD46</f>
        <v>0</v>
      </c>
      <c r="W46" s="379">
        <f>O46/AD46</f>
        <v>1089.75</v>
      </c>
      <c r="X46" s="380"/>
      <c r="Y46" s="381">
        <f>AH46/O46</f>
        <v>5.1805459967882543E-2</v>
      </c>
      <c r="Z46" s="380"/>
      <c r="AA46" s="382"/>
      <c r="AB46" s="383"/>
      <c r="AC46" s="47" t="s">
        <v>26</v>
      </c>
      <c r="AD46" s="640">
        <f>(AE46+AF46)</f>
        <v>12</v>
      </c>
      <c r="AE46" s="21"/>
      <c r="AF46" s="20">
        <v>12</v>
      </c>
      <c r="AG46" s="22">
        <v>1301.51</v>
      </c>
      <c r="AH46" s="140">
        <v>677.46</v>
      </c>
      <c r="AI46" s="22">
        <f>AH46/AD46</f>
        <v>56.455000000000005</v>
      </c>
      <c r="AJ46" s="135"/>
      <c r="AK46" s="135">
        <f>12/AD46</f>
        <v>1</v>
      </c>
      <c r="AL46" s="135"/>
      <c r="AM46" s="135"/>
      <c r="AN46" s="135"/>
      <c r="AO46" s="22"/>
      <c r="AP46" s="133"/>
      <c r="AQ46" s="135"/>
      <c r="AR46" s="114">
        <v>2</v>
      </c>
      <c r="AS46" s="20"/>
      <c r="AT46" s="110" t="s">
        <v>316</v>
      </c>
      <c r="AU46" s="110"/>
      <c r="AV46" s="20"/>
      <c r="AW46" s="332">
        <v>41961</v>
      </c>
      <c r="AX46" s="332">
        <v>41921</v>
      </c>
      <c r="AY46" s="110"/>
      <c r="AZ46" s="110"/>
      <c r="BA46" s="540" t="s">
        <v>754</v>
      </c>
      <c r="BB46" s="540" t="s">
        <v>805</v>
      </c>
      <c r="BC46" s="540" t="s">
        <v>757</v>
      </c>
      <c r="BD46" s="540" t="s">
        <v>800</v>
      </c>
      <c r="BE46" s="332">
        <v>42131</v>
      </c>
      <c r="BF46" s="332">
        <v>42210</v>
      </c>
      <c r="BG46" s="332">
        <v>42234</v>
      </c>
      <c r="BH46" s="332">
        <v>42272</v>
      </c>
      <c r="BI46" s="110"/>
      <c r="BJ46" s="110"/>
      <c r="BK46" s="110"/>
      <c r="BL46" s="110"/>
      <c r="BM46" s="110"/>
      <c r="BN46" s="196" t="s">
        <v>18</v>
      </c>
      <c r="BO46" s="345">
        <v>42268</v>
      </c>
      <c r="BP46" s="358">
        <v>42721</v>
      </c>
      <c r="BQ46" s="194"/>
      <c r="BR46" s="194"/>
      <c r="BS46" s="194" t="s">
        <v>746</v>
      </c>
      <c r="BT46" s="67"/>
      <c r="BU46" s="376">
        <v>42306</v>
      </c>
      <c r="BV46" s="160">
        <v>42335</v>
      </c>
      <c r="BW46" s="160">
        <v>42310</v>
      </c>
      <c r="BX46" s="160">
        <v>42249</v>
      </c>
      <c r="BY46" s="160">
        <v>42600</v>
      </c>
      <c r="BZ46" s="376">
        <v>42613</v>
      </c>
      <c r="CA46" s="160">
        <v>42614</v>
      </c>
      <c r="CB46" s="301">
        <v>42614</v>
      </c>
      <c r="CC46" s="372">
        <v>42622</v>
      </c>
      <c r="CD46" s="302">
        <v>42713</v>
      </c>
      <c r="CE46" s="302">
        <v>42660</v>
      </c>
      <c r="CF46" s="161"/>
      <c r="CG46" s="336">
        <f>DATE(YEAR(CF46),MONTH(CF46)+24,DAY(CF46))</f>
        <v>731</v>
      </c>
      <c r="CH46" s="336">
        <f>DATE(YEAR(CF46),MONTH(CF46)+36,DAY(CF46))</f>
        <v>1096</v>
      </c>
      <c r="CI46" s="336"/>
      <c r="CJ46" s="301">
        <v>42627</v>
      </c>
      <c r="CK46" s="71" t="s">
        <v>972</v>
      </c>
      <c r="CL46" s="82">
        <v>42647</v>
      </c>
      <c r="CM46" s="370">
        <v>42711</v>
      </c>
      <c r="CN46" s="82">
        <v>42730</v>
      </c>
      <c r="CO46" s="161">
        <v>42747</v>
      </c>
      <c r="CP46" s="82">
        <v>42648</v>
      </c>
      <c r="CQ46" s="365">
        <v>42702</v>
      </c>
      <c r="CR46" s="81">
        <v>42725</v>
      </c>
      <c r="CS46" s="162">
        <v>42753</v>
      </c>
      <c r="CT46" s="82">
        <v>42647</v>
      </c>
      <c r="CU46" s="365">
        <v>42716</v>
      </c>
      <c r="CV46" s="81">
        <v>42741</v>
      </c>
      <c r="CW46" s="162">
        <v>42753</v>
      </c>
      <c r="CX46" s="82">
        <v>42647</v>
      </c>
      <c r="CY46" s="539" t="s">
        <v>1047</v>
      </c>
      <c r="CZ46" s="81"/>
      <c r="DA46" s="162"/>
      <c r="DB46" s="296" t="s">
        <v>84</v>
      </c>
      <c r="DC46" s="296"/>
      <c r="DD46" s="296"/>
      <c r="DE46" s="304" t="s">
        <v>790</v>
      </c>
      <c r="DF46" s="296"/>
      <c r="DG46" s="291"/>
      <c r="DH46" s="299" t="s">
        <v>795</v>
      </c>
      <c r="DI46" s="291"/>
      <c r="DJ46" s="291"/>
      <c r="DK46" s="575">
        <v>42514</v>
      </c>
      <c r="DL46" s="573" t="s">
        <v>178</v>
      </c>
      <c r="DM46" s="573" t="s">
        <v>178</v>
      </c>
      <c r="DN46" s="574" t="s">
        <v>796</v>
      </c>
      <c r="DO46" s="573" t="s">
        <v>1027</v>
      </c>
      <c r="DP46" s="573" t="s">
        <v>178</v>
      </c>
      <c r="DQ46" s="304">
        <v>42725</v>
      </c>
      <c r="DR46" s="443"/>
      <c r="DS46" s="443"/>
      <c r="DT46" s="297"/>
      <c r="DU46" s="304">
        <f>DATE(YEAR(DQ46),MONTH(DQ46)+18,DAY(DQ46))</f>
        <v>43272</v>
      </c>
      <c r="DV46" s="443"/>
      <c r="DW46" s="443"/>
      <c r="DX46" s="423"/>
      <c r="DY46" s="423"/>
      <c r="DZ46" s="423"/>
      <c r="EA46" s="612">
        <v>42782</v>
      </c>
      <c r="EB46" s="423"/>
      <c r="EC46" s="430">
        <v>18</v>
      </c>
      <c r="ED46" s="430">
        <f>EC46+2</f>
        <v>20</v>
      </c>
      <c r="EE46" s="422">
        <f>DATEDIF(EA46,EN46,"M")</f>
        <v>18</v>
      </c>
      <c r="EF46" s="422">
        <f>DATEDIF(EA46,EV46,"M")</f>
        <v>19</v>
      </c>
      <c r="EG46" s="422">
        <f>EE46-EC46</f>
        <v>0</v>
      </c>
      <c r="EH46" s="422"/>
      <c r="EI46" s="431"/>
      <c r="EJ46" s="431"/>
      <c r="EK46" s="423"/>
      <c r="EL46" s="423"/>
      <c r="EM46" s="423"/>
      <c r="EN46" s="210">
        <f>DATE(YEAR(EA46),MONTH(EA46)+EC46,DAY(EA46))</f>
        <v>43328</v>
      </c>
      <c r="EO46" s="210">
        <f>DATE(YEAR(DV46)+2,MONTH(DV46),DAY(DV46))</f>
        <v>731</v>
      </c>
      <c r="EP46" s="423"/>
      <c r="EQ46" s="423"/>
      <c r="ER46" s="423"/>
      <c r="ES46" s="423"/>
      <c r="ET46" s="423"/>
      <c r="EU46" s="334">
        <f>DATE(YEAR(EN46),MONTH(EN46)+1,DAY(EN46))</f>
        <v>43359</v>
      </c>
      <c r="EV46" s="206">
        <f>EU46</f>
        <v>43359</v>
      </c>
      <c r="EW46" s="206"/>
      <c r="EX46" s="209"/>
      <c r="EY46" s="434"/>
      <c r="EZ46" s="212"/>
      <c r="FA46" s="212"/>
      <c r="FB46" s="212"/>
      <c r="FC46" s="212"/>
      <c r="FD46" s="110"/>
      <c r="FE46" s="110"/>
      <c r="FF46" s="110"/>
      <c r="FG46" s="110"/>
      <c r="FH46" s="110"/>
      <c r="FI46" s="110"/>
      <c r="FJ46" s="110"/>
      <c r="FK46" s="110"/>
      <c r="FL46" s="110"/>
      <c r="FM46" s="110"/>
      <c r="FN46" s="110"/>
      <c r="FO46" s="110"/>
      <c r="FP46" s="195"/>
      <c r="FQ46" s="23">
        <f>GA46+GE46+GL46</f>
        <v>1416864.7499111779</v>
      </c>
      <c r="FR46" s="24">
        <f>GB46+GF46+GK46+GM46+GQ46</f>
        <v>1490599.8900000001</v>
      </c>
      <c r="FS46" s="25">
        <f>FR46-FQ46</f>
        <v>73735.140088822227</v>
      </c>
      <c r="FT46" s="50">
        <f>FQ46/AG46</f>
        <v>1088.631474142479</v>
      </c>
      <c r="FU46" s="50">
        <f>FQ46/AD46</f>
        <v>118072.06249259815</v>
      </c>
      <c r="FV46" s="23">
        <v>1249637.106694787</v>
      </c>
      <c r="FW46" s="24"/>
      <c r="FX46" s="25">
        <f>FW46-FV46</f>
        <v>-1249637.106694787</v>
      </c>
      <c r="FY46" s="231">
        <f>FW46*1.021/FR46</f>
        <v>0</v>
      </c>
      <c r="FZ46" s="234">
        <v>0.39750000000000002</v>
      </c>
      <c r="GA46" s="23">
        <v>410870.74991117785</v>
      </c>
      <c r="GB46" s="24">
        <v>443491.89</v>
      </c>
      <c r="GC46" s="50">
        <f>GA46/AD46</f>
        <v>34239.229159264818</v>
      </c>
      <c r="GD46" s="73">
        <f>GB46-GA46</f>
        <v>32621.140088822169</v>
      </c>
      <c r="GE46" s="23">
        <v>789994</v>
      </c>
      <c r="GF46" s="24">
        <f>GG46+GH46</f>
        <v>771556</v>
      </c>
      <c r="GG46" s="26">
        <v>172922</v>
      </c>
      <c r="GH46" s="26">
        <v>598634</v>
      </c>
      <c r="GI46" s="73">
        <f>GF46-GE46</f>
        <v>-18438</v>
      </c>
      <c r="GJ46" s="50">
        <f>GE46/AD46</f>
        <v>65832.833333333328</v>
      </c>
      <c r="GK46" s="24"/>
      <c r="GL46" s="23">
        <v>216000</v>
      </c>
      <c r="GM46" s="24">
        <v>266000</v>
      </c>
      <c r="GN46" s="124"/>
      <c r="GO46" s="76">
        <f>GL46/FQ46</f>
        <v>0.15244927224955018</v>
      </c>
      <c r="GP46" s="590"/>
      <c r="GQ46" s="24">
        <v>9552</v>
      </c>
      <c r="GR46" s="51">
        <f>GM46-GL46</f>
        <v>50000</v>
      </c>
      <c r="GS46" s="50">
        <f>GL46/AD46</f>
        <v>18000</v>
      </c>
      <c r="GT46" s="138">
        <f>(GA46+GL46)/AD46</f>
        <v>52239.229159264825</v>
      </c>
      <c r="GU46" s="51">
        <f>GR46/AD46</f>
        <v>4166.666666666667</v>
      </c>
      <c r="GV46" s="97">
        <v>5.85</v>
      </c>
      <c r="GW46" s="97">
        <v>5.84</v>
      </c>
      <c r="GX46" s="75">
        <v>0</v>
      </c>
      <c r="GY46" s="75">
        <v>0</v>
      </c>
      <c r="GZ46" s="50">
        <f>(GB46+GM46+GY46)/AD46</f>
        <v>59124.324166666665</v>
      </c>
      <c r="HA46" s="75">
        <v>0</v>
      </c>
      <c r="HB46" s="50">
        <f>(GB46+GM46+GY46+HA46)/AD46</f>
        <v>59124.324166666665</v>
      </c>
      <c r="HC46" s="99">
        <f>(GB46+GM46+GY46+HA46)/(GX46+FR46-HD46)</f>
        <v>0.47597742007078769</v>
      </c>
      <c r="HD46" s="75">
        <v>0</v>
      </c>
      <c r="HE46" s="75"/>
      <c r="HF46" s="24">
        <v>0</v>
      </c>
      <c r="HG46" s="77">
        <f>FR46+GX46</f>
        <v>1490599.8900000001</v>
      </c>
      <c r="HH46" s="491"/>
      <c r="HI46" s="491"/>
      <c r="HJ46" s="494"/>
      <c r="HK46" s="491"/>
      <c r="HL46" s="415"/>
      <c r="HM46" s="415"/>
      <c r="HN46" s="415"/>
      <c r="HO46" s="497" t="str">
        <f>IF(AND(HM46&gt;0,HN46&gt;0),HN46-HM46,"0")</f>
        <v>0</v>
      </c>
      <c r="HP46" s="415"/>
      <c r="HQ46" s="481" t="str">
        <f>IF(AND(HN46&gt;0,HP46&gt;0),HP46-HN46,"0")</f>
        <v>0</v>
      </c>
      <c r="HR46" s="497"/>
      <c r="HS46" s="506" t="str">
        <f>IF(AND(HL46&gt;0,HP46&gt;0),HP46-HL46,"0")</f>
        <v>0</v>
      </c>
      <c r="HT46" s="415"/>
      <c r="HU46" s="497" t="str">
        <f>IF(AND(HP46&gt;0,HT46&gt;0),HT46-HP46,"0")</f>
        <v>0</v>
      </c>
      <c r="HV46" s="415"/>
      <c r="HW46" s="415"/>
      <c r="HX46" s="497" t="str">
        <f>IF(AND(HV46&gt;0,HW46&gt;0),HW46-HV46,"0")</f>
        <v>0</v>
      </c>
      <c r="HY46" s="540"/>
      <c r="HZ46" s="481" t="str">
        <f>IF(AND(HW46&gt;0,HY46&gt;0),HY46-HW46,"0")</f>
        <v>0</v>
      </c>
      <c r="IA46" s="497"/>
      <c r="IB46" s="506" t="str">
        <f>IF(AND(HT46&gt;0,HY46&gt;0),HY46-HT46,"0")</f>
        <v>0</v>
      </c>
      <c r="IC46" s="490"/>
      <c r="ID46" s="491"/>
      <c r="IE46" s="415"/>
      <c r="IF46" s="415"/>
      <c r="IG46" s="494"/>
      <c r="IH46" s="491"/>
      <c r="II46" s="347"/>
      <c r="IJ46" s="497" t="str">
        <f>IF(AND(HY46&gt;0,II46&gt;0),II46-HY46,"0")</f>
        <v>0</v>
      </c>
      <c r="IK46" s="347"/>
      <c r="IL46" s="347"/>
      <c r="IM46" s="497" t="str">
        <f>IF(AND(IK46&gt;0,IL46&gt;0),IL46-IK46,"0")</f>
        <v>0</v>
      </c>
      <c r="IN46" s="347"/>
      <c r="IO46" s="481" t="str">
        <f>IF(AND(IL46&gt;0,IN46&gt;0),IN46-IL46,"0")</f>
        <v>0</v>
      </c>
      <c r="IP46" s="497"/>
      <c r="IQ46" s="506" t="str">
        <f>IF(AND(II46&gt;0,IN46&gt;0),IN46-II46,"0")</f>
        <v>0</v>
      </c>
      <c r="IR46" s="490"/>
      <c r="IS46" s="491"/>
      <c r="IT46" s="347"/>
      <c r="IU46" s="498" t="str">
        <f>IF(AND(IN46&gt;0,IT46&gt;0),IT46-IN46,"0")</f>
        <v>0</v>
      </c>
      <c r="IV46" s="347"/>
      <c r="IW46" s="347"/>
      <c r="IX46" s="498" t="str">
        <f>IF(AND(IV46&gt;0,IW46&gt;0),IW46-IV46,"0")</f>
        <v>0</v>
      </c>
      <c r="IY46" s="347"/>
      <c r="IZ46" s="482" t="str">
        <f>IF(AND(IW46&gt;0,IY46&gt;0),IY46-IW46,"0")</f>
        <v>0</v>
      </c>
      <c r="JA46" s="498"/>
      <c r="JB46" s="508" t="str">
        <f>IF(AND(IT46&gt;0,IY46&gt;0),IY46-IT46,"0")</f>
        <v>0</v>
      </c>
      <c r="JC46" s="490"/>
      <c r="JD46" s="491"/>
      <c r="JE46" s="347"/>
      <c r="JF46" s="487" t="str">
        <f>IF(AND(IY46&gt;0,JE46&gt;0),JE46-IY46,"0")</f>
        <v>0</v>
      </c>
      <c r="JG46" s="347"/>
      <c r="JH46" s="347"/>
      <c r="JI46" s="487" t="str">
        <f>IF(AND(JG46&gt;0,JH46&gt;0),JH46-JG46,"0")</f>
        <v>0</v>
      </c>
      <c r="JJ46" s="347"/>
      <c r="JK46" s="347"/>
      <c r="JL46" s="487" t="str">
        <f>IF(AND(JJ46&gt;0,JK46&gt;0),JK46-JJ46,"0")</f>
        <v>0</v>
      </c>
      <c r="JM46" s="509" t="str">
        <f>IF(AND(JE46&gt;0,JK46&gt;0),JK46-JE46,"0")</f>
        <v>0</v>
      </c>
      <c r="JN46" s="347"/>
      <c r="JO46" s="501" t="str">
        <f>IF(AND(JK46&gt;0,JN46&gt;0),JN46-JK46,"0")</f>
        <v>0</v>
      </c>
      <c r="JP46" s="498"/>
      <c r="JQ46" s="482">
        <f>291/30</f>
        <v>9.6999999999999993</v>
      </c>
      <c r="JR46" s="504">
        <f>((+HS46+HU46+IB46+IJ46+IQ46+IU46+JB46+JI46+JF46)/30)-JQ46</f>
        <v>-9.6999999999999993</v>
      </c>
      <c r="JS46" s="490"/>
      <c r="JT46" s="491"/>
      <c r="JU46" s="490"/>
      <c r="JV46" s="491"/>
      <c r="JW46" s="586"/>
      <c r="JX46" s="586"/>
      <c r="JY46" s="586"/>
      <c r="JZ46" s="586"/>
    </row>
    <row r="47" spans="1:286" s="84" customFormat="1" ht="105.75" hidden="1" customHeight="1" x14ac:dyDescent="0.25">
      <c r="A47" s="19" t="s">
        <v>690</v>
      </c>
      <c r="B47" s="110" t="s">
        <v>46</v>
      </c>
      <c r="C47" s="110" t="s">
        <v>157</v>
      </c>
      <c r="D47" s="110">
        <v>2015</v>
      </c>
      <c r="E47" s="110" t="s">
        <v>388</v>
      </c>
      <c r="F47" s="110" t="s">
        <v>511</v>
      </c>
      <c r="G47" s="110" t="s">
        <v>719</v>
      </c>
      <c r="H47" s="110" t="s">
        <v>246</v>
      </c>
      <c r="I47" s="110"/>
      <c r="J47" s="110"/>
      <c r="K47" s="453" t="s">
        <v>1013</v>
      </c>
      <c r="L47" s="309" t="s">
        <v>429</v>
      </c>
      <c r="M47" s="679"/>
      <c r="N47" s="311"/>
      <c r="O47" s="379">
        <v>8838</v>
      </c>
      <c r="P47" s="379">
        <v>652080</v>
      </c>
      <c r="Q47" s="379">
        <f>P47</f>
        <v>652080</v>
      </c>
      <c r="R47" s="379">
        <f>P47/89</f>
        <v>7326.7415730337079</v>
      </c>
      <c r="S47" s="379">
        <f>P47/O47</f>
        <v>73.78139850644942</v>
      </c>
      <c r="T47" s="387">
        <f>Q47/O47</f>
        <v>73.78139850644942</v>
      </c>
      <c r="U47" s="387">
        <f>Q47/AH47</f>
        <v>335.48387096774195</v>
      </c>
      <c r="V47" s="387">
        <f>Q47/AD47</f>
        <v>32604</v>
      </c>
      <c r="W47" s="379">
        <f>O47/AD47</f>
        <v>441.9</v>
      </c>
      <c r="X47" s="380"/>
      <c r="Y47" s="381">
        <f>AH47/O47</f>
        <v>0.21992532247114732</v>
      </c>
      <c r="Z47" s="380" t="s">
        <v>303</v>
      </c>
      <c r="AA47" s="380">
        <v>630</v>
      </c>
      <c r="AB47" s="381">
        <v>0</v>
      </c>
      <c r="AC47" s="111" t="s">
        <v>25</v>
      </c>
      <c r="AD47" s="640">
        <f>(AE47+AF47)</f>
        <v>20</v>
      </c>
      <c r="AE47" s="110">
        <v>20</v>
      </c>
      <c r="AF47" s="121"/>
      <c r="AG47" s="114">
        <v>1853.17</v>
      </c>
      <c r="AH47" s="547">
        <v>1943.7</v>
      </c>
      <c r="AI47" s="114">
        <f>AH47/AD47</f>
        <v>97.185000000000002</v>
      </c>
      <c r="AJ47" s="135"/>
      <c r="AK47" s="135"/>
      <c r="AL47" s="135"/>
      <c r="AM47" s="135">
        <f>16/AD47</f>
        <v>0.8</v>
      </c>
      <c r="AN47" s="135">
        <f>4/AD47</f>
        <v>0.2</v>
      </c>
      <c r="AO47" s="114"/>
      <c r="AP47" s="133">
        <v>0</v>
      </c>
      <c r="AQ47" s="135">
        <v>0</v>
      </c>
      <c r="AR47" s="114">
        <v>4</v>
      </c>
      <c r="AS47" s="110"/>
      <c r="AT47" s="110" t="s">
        <v>316</v>
      </c>
      <c r="AU47" s="110" t="s">
        <v>168</v>
      </c>
      <c r="AV47" s="110" t="s">
        <v>168</v>
      </c>
      <c r="AW47" s="332">
        <v>41961</v>
      </c>
      <c r="AX47" s="332">
        <v>42031</v>
      </c>
      <c r="AY47" s="110"/>
      <c r="AZ47" s="110"/>
      <c r="BA47" s="540" t="s">
        <v>754</v>
      </c>
      <c r="BB47" s="540" t="s">
        <v>804</v>
      </c>
      <c r="BC47" s="540" t="s">
        <v>757</v>
      </c>
      <c r="BD47" s="540" t="s">
        <v>800</v>
      </c>
      <c r="BE47" s="332">
        <v>42222</v>
      </c>
      <c r="BF47" s="332">
        <v>42257</v>
      </c>
      <c r="BG47" s="332">
        <v>42295</v>
      </c>
      <c r="BH47" s="332">
        <v>42318</v>
      </c>
      <c r="BI47" s="110"/>
      <c r="BJ47" s="110"/>
      <c r="BK47" s="110"/>
      <c r="BL47" s="110"/>
      <c r="BM47" s="110"/>
      <c r="BN47" s="196" t="s">
        <v>18</v>
      </c>
      <c r="BO47" s="358">
        <v>42268</v>
      </c>
      <c r="BP47" s="358">
        <v>42630</v>
      </c>
      <c r="BQ47" s="196"/>
      <c r="BR47" s="196"/>
      <c r="BS47" s="196" t="s">
        <v>445</v>
      </c>
      <c r="BT47" s="158"/>
      <c r="BU47" s="160">
        <v>42354</v>
      </c>
      <c r="BV47" s="160"/>
      <c r="BW47" s="160">
        <v>42359</v>
      </c>
      <c r="BX47" s="160">
        <v>42248</v>
      </c>
      <c r="BY47" s="160"/>
      <c r="BZ47" s="376"/>
      <c r="CA47" s="160"/>
      <c r="CB47" s="301"/>
      <c r="CC47" s="372"/>
      <c r="CD47" s="302"/>
      <c r="CE47" s="302"/>
      <c r="CF47" s="161"/>
      <c r="CG47" s="336">
        <f>DATE(YEAR(CF47),MONTH(CF47)+24,DAY(CF47))</f>
        <v>731</v>
      </c>
      <c r="CH47" s="336">
        <f>DATE(YEAR(CF47),MONTH(CF47)+36,DAY(CF47))</f>
        <v>1096</v>
      </c>
      <c r="CI47" s="336"/>
      <c r="CJ47" s="301"/>
      <c r="CK47" s="308"/>
      <c r="CL47" s="82"/>
      <c r="CM47" s="371"/>
      <c r="CN47" s="161"/>
      <c r="CO47" s="161"/>
      <c r="CP47" s="81"/>
      <c r="CQ47" s="367"/>
      <c r="CR47" s="162"/>
      <c r="CS47" s="162"/>
      <c r="CT47" s="81"/>
      <c r="CU47" s="365"/>
      <c r="CV47" s="162"/>
      <c r="CW47" s="162"/>
      <c r="CX47" s="81"/>
      <c r="CY47" s="367"/>
      <c r="CZ47" s="166"/>
      <c r="DA47" s="166"/>
      <c r="DB47" s="682"/>
      <c r="DC47" s="299"/>
      <c r="DD47" s="299"/>
      <c r="DE47" s="312" t="s">
        <v>772</v>
      </c>
      <c r="DF47" s="312"/>
      <c r="DG47" s="312"/>
      <c r="DH47" s="299" t="s">
        <v>795</v>
      </c>
      <c r="DI47" s="312"/>
      <c r="DJ47" s="312"/>
      <c r="DK47" s="683">
        <v>42514</v>
      </c>
      <c r="DL47" s="293" t="s">
        <v>178</v>
      </c>
      <c r="DM47" s="293" t="s">
        <v>178</v>
      </c>
      <c r="DN47" s="293" t="s">
        <v>782</v>
      </c>
      <c r="DO47" s="293" t="s">
        <v>799</v>
      </c>
      <c r="DP47" s="293"/>
      <c r="DQ47" s="304" t="s">
        <v>798</v>
      </c>
      <c r="DR47" s="443"/>
      <c r="DS47" s="443"/>
      <c r="DT47" s="298"/>
      <c r="DU47" s="304" t="e">
        <f>DATE(YEAR(DQ47),MONTH(DQ47)+18,DAY(DQ47))</f>
        <v>#VALUE!</v>
      </c>
      <c r="DV47" s="443"/>
      <c r="DW47" s="443"/>
      <c r="DX47" s="423"/>
      <c r="DY47" s="423"/>
      <c r="DZ47" s="423"/>
      <c r="EA47" s="434">
        <v>42917</v>
      </c>
      <c r="EB47" s="423"/>
      <c r="EC47" s="430">
        <v>24</v>
      </c>
      <c r="ED47" s="430">
        <f>EC47+2</f>
        <v>26</v>
      </c>
      <c r="EE47" s="422">
        <f>DATEDIF(EA47,EN47,"M")</f>
        <v>24</v>
      </c>
      <c r="EF47" s="422">
        <f>DATEDIF(EA47,EV47,"M")</f>
        <v>25</v>
      </c>
      <c r="EG47" s="422">
        <f>EE47-EC47</f>
        <v>0</v>
      </c>
      <c r="EH47" s="422"/>
      <c r="EI47" s="431"/>
      <c r="EJ47" s="431"/>
      <c r="EK47" s="423"/>
      <c r="EL47" s="423"/>
      <c r="EM47" s="423"/>
      <c r="EN47" s="210">
        <f>DATE(YEAR(EA47),MONTH(EA47)+EC47,DAY(EA47))</f>
        <v>43647</v>
      </c>
      <c r="EO47" s="210">
        <f>DATE(YEAR(DV47)+2,MONTH(DV47),DAY(DV47))</f>
        <v>731</v>
      </c>
      <c r="EP47" s="423"/>
      <c r="EQ47" s="423"/>
      <c r="ER47" s="423"/>
      <c r="ES47" s="423"/>
      <c r="ET47" s="423"/>
      <c r="EU47" s="210">
        <f>DATE(YEAR(EN47),MONTH(EN47)+1,DAY(EN47))</f>
        <v>43678</v>
      </c>
      <c r="EV47" s="206">
        <f>EU47</f>
        <v>43678</v>
      </c>
      <c r="EW47" s="484"/>
      <c r="EX47" s="209"/>
      <c r="EY47" s="434"/>
      <c r="EZ47" s="212"/>
      <c r="FA47" s="212"/>
      <c r="FB47" s="212"/>
      <c r="FC47" s="212"/>
      <c r="FD47" s="110"/>
      <c r="FE47" s="110"/>
      <c r="FF47" s="110"/>
      <c r="FG47" s="110"/>
      <c r="FH47" s="110"/>
      <c r="FI47" s="110"/>
      <c r="FJ47" s="110"/>
      <c r="FK47" s="110"/>
      <c r="FL47" s="110"/>
      <c r="FM47" s="110"/>
      <c r="FN47" s="110"/>
      <c r="FO47" s="110"/>
      <c r="FP47" s="199"/>
      <c r="FQ47" s="153">
        <f>GA47+GE47+GL47</f>
        <v>3620927.386608588</v>
      </c>
      <c r="FR47" s="124">
        <f>GB47+GF47+GK47+GM47+GQ47</f>
        <v>3753748.9536387529</v>
      </c>
      <c r="FS47" s="154">
        <f>FR47-FQ47</f>
        <v>132821.56703016488</v>
      </c>
      <c r="FT47" s="98">
        <f>FQ47/AG47</f>
        <v>1953.9099956337454</v>
      </c>
      <c r="FU47" s="98">
        <f>FQ47/AD47</f>
        <v>181046.36933042941</v>
      </c>
      <c r="FV47" s="153">
        <v>3320758.5701554646</v>
      </c>
      <c r="FW47" s="124">
        <v>3416358.2225748161</v>
      </c>
      <c r="FX47" s="154">
        <f>FW47-FV47</f>
        <v>95599.652419351507</v>
      </c>
      <c r="FY47" s="232">
        <f>FW47*1.021/FR47</f>
        <v>0.92923149318966658</v>
      </c>
      <c r="FZ47" s="234">
        <v>0.39</v>
      </c>
      <c r="GA47" s="153">
        <v>1232699.6352114086</v>
      </c>
      <c r="GB47" s="24">
        <v>1278502.3934734894</v>
      </c>
      <c r="GC47" s="98">
        <f>GA47/AD47</f>
        <v>61634.98176057043</v>
      </c>
      <c r="GD47" s="155">
        <f>GB47-GA47</f>
        <v>45802.758262080839</v>
      </c>
      <c r="GE47" s="153">
        <v>2188227.7513971794</v>
      </c>
      <c r="GF47" s="124">
        <f>GG47+GH47</f>
        <v>2275246.5601652632</v>
      </c>
      <c r="GG47" s="147">
        <v>329656.07016526331</v>
      </c>
      <c r="GH47" s="147">
        <v>1945590.49</v>
      </c>
      <c r="GI47" s="155">
        <f>GF47-GE47</f>
        <v>87018.808768083807</v>
      </c>
      <c r="GJ47" s="98">
        <f>GE47/AD47</f>
        <v>109411.38756985897</v>
      </c>
      <c r="GK47" s="124"/>
      <c r="GL47" s="153">
        <v>200000</v>
      </c>
      <c r="GM47" s="124">
        <v>200000</v>
      </c>
      <c r="GN47" s="124"/>
      <c r="GO47" s="148">
        <f>GL47/FQ47</f>
        <v>5.5234468589364018E-2</v>
      </c>
      <c r="GP47" s="590"/>
      <c r="GQ47" s="124">
        <v>0</v>
      </c>
      <c r="GR47" s="149">
        <f>GM47-GL47</f>
        <v>0</v>
      </c>
      <c r="GS47" s="98">
        <f>GL47/AD47</f>
        <v>10000</v>
      </c>
      <c r="GT47" s="138">
        <f>(GA47+GL47)/AD47</f>
        <v>71634.98176057043</v>
      </c>
      <c r="GU47" s="149">
        <f>GR47/AD47</f>
        <v>0</v>
      </c>
      <c r="GV47" s="150">
        <v>6.32</v>
      </c>
      <c r="GW47" s="150">
        <v>5.48</v>
      </c>
      <c r="GX47" s="151">
        <v>0</v>
      </c>
      <c r="GY47" s="151">
        <v>0</v>
      </c>
      <c r="GZ47" s="98">
        <f>(GB47+GM47+GY47)/AD47</f>
        <v>73925.119673674475</v>
      </c>
      <c r="HA47" s="151">
        <v>0</v>
      </c>
      <c r="HB47" s="98">
        <f>(GB47+GM47+GY47+HA47)/AD47</f>
        <v>73925.119673674475</v>
      </c>
      <c r="HC47" s="99">
        <f>(GB47+GM47+GY47+HA47)/(GX47+FR47-HD47)</f>
        <v>0.39387354128737911</v>
      </c>
      <c r="HD47" s="151">
        <v>0</v>
      </c>
      <c r="HE47" s="151"/>
      <c r="HF47" s="124">
        <v>0</v>
      </c>
      <c r="HG47" s="156">
        <f>FR47+GX47</f>
        <v>3753748.9536387529</v>
      </c>
      <c r="HH47" s="491">
        <v>685491</v>
      </c>
      <c r="HI47" s="491">
        <f>HK47+ID47+IH47+IS47+JD47</f>
        <v>342745</v>
      </c>
      <c r="HJ47" s="494">
        <v>41936</v>
      </c>
      <c r="HK47" s="491">
        <v>67842</v>
      </c>
      <c r="HL47" s="415">
        <v>41921</v>
      </c>
      <c r="HM47" s="415">
        <f>DATE(YEAR(HL47),MONTH(HL47),DAY(HL47)+21)</f>
        <v>41942</v>
      </c>
      <c r="HN47" s="415">
        <v>41942</v>
      </c>
      <c r="HO47" s="497">
        <f>IF(AND(HM47&gt;0,HN47&gt;0),HN47-HM47,"0")</f>
        <v>0</v>
      </c>
      <c r="HP47" s="415">
        <v>41967</v>
      </c>
      <c r="HQ47" s="481">
        <f>IF(AND(HN47&gt;0,HP47&gt;0),HP47-HN47,"0")</f>
        <v>25</v>
      </c>
      <c r="HR47" s="497">
        <f>+HQ47-30</f>
        <v>-5</v>
      </c>
      <c r="HS47" s="506">
        <f>IF(AND(HL47&gt;0,HP47&gt;0),HP47-HL47,"0")</f>
        <v>46</v>
      </c>
      <c r="HT47" s="415">
        <v>41967</v>
      </c>
      <c r="HU47" s="497">
        <f>IF(AND(HP47&gt;0,HT47&gt;0),HT47-HP47,"0")</f>
        <v>0</v>
      </c>
      <c r="HV47" s="415">
        <f>DATE(YEAR(HT47),MONTH(HT47),DAY(HT47)+21)</f>
        <v>41988</v>
      </c>
      <c r="HW47" s="415">
        <v>41992</v>
      </c>
      <c r="HX47" s="497">
        <f>IF(AND(HV47&gt;0,HW47&gt;0),HW47-HV47,"0")</f>
        <v>4</v>
      </c>
      <c r="HY47" s="415">
        <v>42054</v>
      </c>
      <c r="HZ47" s="481">
        <f>IF(AND(HW47&gt;0,HY47&gt;0),HY47-HW47,"0")</f>
        <v>62</v>
      </c>
      <c r="IA47" s="497">
        <f>+HZ47-30</f>
        <v>32</v>
      </c>
      <c r="IB47" s="506">
        <f>IF(AND(HT47&gt;0,HY47&gt;0),HY47-HT47,"0")</f>
        <v>87</v>
      </c>
      <c r="IC47" s="490">
        <v>41992</v>
      </c>
      <c r="ID47" s="491">
        <v>33921</v>
      </c>
      <c r="IE47" s="415">
        <v>42040</v>
      </c>
      <c r="IF47" s="415">
        <v>42040</v>
      </c>
      <c r="IG47" s="494">
        <v>42065</v>
      </c>
      <c r="IH47" s="491">
        <v>72217</v>
      </c>
      <c r="II47" s="347">
        <v>42054</v>
      </c>
      <c r="IJ47" s="497">
        <f>IF(AND(HY47&gt;0,II47&gt;0),II47-HY47,"0")</f>
        <v>0</v>
      </c>
      <c r="IK47" s="347">
        <f>DATE(YEAR(II47),MONTH(II47),DAY(II47)+30)</f>
        <v>42084</v>
      </c>
      <c r="IL47" s="347">
        <v>42084</v>
      </c>
      <c r="IM47" s="497">
        <f>IF(AND(IK47&gt;0,IL47&gt;0),IL47-IK47,"0")</f>
        <v>0</v>
      </c>
      <c r="IN47" s="347">
        <v>42121</v>
      </c>
      <c r="IO47" s="481">
        <f>IF(AND(IL47&gt;0,IN47&gt;0),IN47-IL47,"0")</f>
        <v>37</v>
      </c>
      <c r="IP47" s="497">
        <f>+IO47-30</f>
        <v>7</v>
      </c>
      <c r="IQ47" s="506">
        <f>IF(AND(II47&gt;0,IN47&gt;0),IN47-II47,"0")</f>
        <v>67</v>
      </c>
      <c r="IR47" s="490">
        <v>42121</v>
      </c>
      <c r="IS47" s="491">
        <v>65293</v>
      </c>
      <c r="IT47" s="347">
        <v>42121</v>
      </c>
      <c r="IU47" s="498">
        <f>IF(AND(IN47&gt;0,IT47&gt;0),IT47-IN47,"0")</f>
        <v>0</v>
      </c>
      <c r="IV47" s="347">
        <f>DATE(YEAR(IT47),MONTH(IT47),DAY(IT47)+30)</f>
        <v>42151</v>
      </c>
      <c r="IW47" s="347">
        <v>42164</v>
      </c>
      <c r="IX47" s="498">
        <f>IF(AND(IV47&gt;0,IW47&gt;0),IW47-IV47,"0")</f>
        <v>13</v>
      </c>
      <c r="IY47" s="347">
        <v>42180</v>
      </c>
      <c r="IZ47" s="482">
        <f>IF(AND(IW47&gt;0,IY47&gt;0),IY47-IW47,"0")</f>
        <v>16</v>
      </c>
      <c r="JA47" s="498">
        <f>IZ47-30</f>
        <v>-14</v>
      </c>
      <c r="JB47" s="508">
        <f>IF(AND(IT47&gt;0,IY47&gt;0),IY47-IT47,"0")</f>
        <v>59</v>
      </c>
      <c r="JC47" s="490"/>
      <c r="JD47" s="491">
        <v>103472</v>
      </c>
      <c r="JE47" s="347">
        <v>42254</v>
      </c>
      <c r="JF47" s="487">
        <f>IF(AND(IY47&gt;0,JE47&gt;0),JE47-IY47,"0")</f>
        <v>74</v>
      </c>
      <c r="JG47" s="347">
        <f>DATE(YEAR(JE47),MONTH(JE47),DAY(JE47)+15)</f>
        <v>42269</v>
      </c>
      <c r="JH47" s="347">
        <v>42277</v>
      </c>
      <c r="JI47" s="487">
        <f>IF(AND(JG47&gt;0,JH47&gt;0),JH47-JG47,"0")</f>
        <v>8</v>
      </c>
      <c r="JJ47" s="347">
        <f>DATE(YEAR(JH47),MONTH(JH47),DAY(JH47)+15)</f>
        <v>42292</v>
      </c>
      <c r="JK47" s="347">
        <v>42432</v>
      </c>
      <c r="JL47" s="487">
        <f>IF(AND(JJ47&gt;0,JK47&gt;0),JK47-JJ47,"0")</f>
        <v>140</v>
      </c>
      <c r="JM47" s="509">
        <f>IF(AND(JE47&gt;0,JK47&gt;0),JK47-JE47,"0")</f>
        <v>178</v>
      </c>
      <c r="JN47" s="347">
        <v>42514</v>
      </c>
      <c r="JO47" s="501">
        <f>IF(AND(JK47&gt;0,JN47&gt;0),JN47-JK47,"0")</f>
        <v>82</v>
      </c>
      <c r="JP47" s="498">
        <f>JO47-60</f>
        <v>22</v>
      </c>
      <c r="JQ47" s="482">
        <f>291/30</f>
        <v>9.6999999999999993</v>
      </c>
      <c r="JR47" s="504">
        <f>((+HS47+HU47+IB47+IJ47+IQ47+IU47+JB47+JI47+JF47)/30)-JQ47</f>
        <v>1.6666666666666679</v>
      </c>
      <c r="JS47" s="490"/>
      <c r="JT47" s="505"/>
      <c r="JU47" s="490"/>
      <c r="JV47" s="505"/>
      <c r="JW47" s="586"/>
      <c r="JX47" s="586"/>
      <c r="JY47" s="586"/>
      <c r="JZ47" s="586"/>
    </row>
    <row r="48" spans="1:286" ht="84.75" hidden="1" customHeight="1" x14ac:dyDescent="0.25">
      <c r="A48" s="19" t="s">
        <v>581</v>
      </c>
      <c r="B48" s="20" t="s">
        <v>46</v>
      </c>
      <c r="C48" s="20" t="s">
        <v>157</v>
      </c>
      <c r="D48" s="20">
        <v>2016</v>
      </c>
      <c r="E48" s="20" t="s">
        <v>388</v>
      </c>
      <c r="F48" s="20" t="s">
        <v>511</v>
      </c>
      <c r="G48" s="20" t="s">
        <v>719</v>
      </c>
      <c r="H48" s="20" t="s">
        <v>644</v>
      </c>
      <c r="I48" s="110"/>
      <c r="J48" s="110"/>
      <c r="K48" s="453" t="s">
        <v>632</v>
      </c>
      <c r="L48" s="303" t="s">
        <v>429</v>
      </c>
      <c r="M48" s="190" t="s">
        <v>202</v>
      </c>
      <c r="N48" s="191"/>
      <c r="O48" s="379">
        <v>8838</v>
      </c>
      <c r="P48" s="379">
        <v>652080</v>
      </c>
      <c r="Q48" s="379">
        <f>P48</f>
        <v>652080</v>
      </c>
      <c r="R48" s="379">
        <f>P48/89</f>
        <v>7326.7415730337079</v>
      </c>
      <c r="S48" s="379">
        <f>P48/O48</f>
        <v>73.78139850644942</v>
      </c>
      <c r="T48" s="387">
        <f>Q48/O48</f>
        <v>73.78139850644942</v>
      </c>
      <c r="U48" s="387">
        <f>Q48/AH48</f>
        <v>130.36333321338179</v>
      </c>
      <c r="V48" s="387">
        <f>Q48/AD48</f>
        <v>9450.434782608696</v>
      </c>
      <c r="W48" s="379">
        <f>O48/AD48</f>
        <v>128.08695652173913</v>
      </c>
      <c r="X48" s="380"/>
      <c r="Y48" s="381">
        <f>AH48/O48</f>
        <v>0.56596741344195522</v>
      </c>
      <c r="Z48" s="380" t="s">
        <v>303</v>
      </c>
      <c r="AA48" s="382">
        <v>630</v>
      </c>
      <c r="AB48" s="383">
        <v>0</v>
      </c>
      <c r="AC48" s="47" t="s">
        <v>26</v>
      </c>
      <c r="AD48" s="640">
        <f>(AE48+AF48)</f>
        <v>69</v>
      </c>
      <c r="AE48" s="21"/>
      <c r="AF48" s="20">
        <v>69</v>
      </c>
      <c r="AG48" s="22">
        <v>4692.6549999999988</v>
      </c>
      <c r="AH48" s="140">
        <v>5002.0200000000004</v>
      </c>
      <c r="AI48" s="22">
        <f>AH48/AD48</f>
        <v>72.493043478260873</v>
      </c>
      <c r="AJ48" s="135">
        <f>12/AD48</f>
        <v>0.17391304347826086</v>
      </c>
      <c r="AK48" s="135">
        <f>29/AD48</f>
        <v>0.42028985507246375</v>
      </c>
      <c r="AL48" s="135">
        <f>28/AD48</f>
        <v>0.40579710144927539</v>
      </c>
      <c r="AM48" s="135">
        <v>0</v>
      </c>
      <c r="AN48" s="135">
        <v>0</v>
      </c>
      <c r="AO48" s="22"/>
      <c r="AP48" s="133">
        <v>0</v>
      </c>
      <c r="AQ48" s="135">
        <v>0</v>
      </c>
      <c r="AR48" s="114">
        <v>4</v>
      </c>
      <c r="AS48" s="20"/>
      <c r="AT48" s="110" t="s">
        <v>316</v>
      </c>
      <c r="AU48" s="110" t="s">
        <v>168</v>
      </c>
      <c r="AV48" s="20" t="s">
        <v>168</v>
      </c>
      <c r="AW48" s="415">
        <v>41961</v>
      </c>
      <c r="AX48" s="415">
        <v>42031</v>
      </c>
      <c r="AY48" s="415">
        <v>42475</v>
      </c>
      <c r="AZ48" s="332"/>
      <c r="BA48" s="332"/>
      <c r="BB48" s="332"/>
      <c r="BC48" s="332"/>
      <c r="BD48" s="332"/>
      <c r="BE48" s="415">
        <v>42222</v>
      </c>
      <c r="BF48" s="415">
        <v>42257</v>
      </c>
      <c r="BG48" s="415">
        <v>42295</v>
      </c>
      <c r="BH48" s="415">
        <v>42318</v>
      </c>
      <c r="BI48" s="110"/>
      <c r="BJ48" s="110"/>
      <c r="BK48" s="110"/>
      <c r="BL48" s="110"/>
      <c r="BM48" s="110"/>
      <c r="BN48" s="194" t="s">
        <v>18</v>
      </c>
      <c r="BO48" s="345">
        <v>42268</v>
      </c>
      <c r="BP48" s="358">
        <v>42630</v>
      </c>
      <c r="BQ48" s="194"/>
      <c r="BR48" s="194"/>
      <c r="BS48" s="194" t="s">
        <v>445</v>
      </c>
      <c r="BT48" s="67"/>
      <c r="BU48" s="160">
        <v>42462</v>
      </c>
      <c r="BV48" s="160"/>
      <c r="BW48" s="160"/>
      <c r="BX48" s="160">
        <v>42248</v>
      </c>
      <c r="BY48" s="160"/>
      <c r="BZ48" s="376"/>
      <c r="CA48" s="160"/>
      <c r="CB48" s="301"/>
      <c r="CC48" s="372"/>
      <c r="CD48" s="302"/>
      <c r="CE48" s="302"/>
      <c r="CF48" s="161"/>
      <c r="CG48" s="336">
        <f>DATE(YEAR(CF48),MONTH(CF48)+24,DAY(CF48))</f>
        <v>731</v>
      </c>
      <c r="CH48" s="336">
        <f>DATE(YEAR(CF48),MONTH(CF48)+36,DAY(CF48))</f>
        <v>1096</v>
      </c>
      <c r="CI48" s="336"/>
      <c r="CJ48" s="301"/>
      <c r="CK48" s="306"/>
      <c r="CL48" s="82"/>
      <c r="CM48" s="371"/>
      <c r="CN48" s="82"/>
      <c r="CO48" s="161"/>
      <c r="CP48" s="81"/>
      <c r="CQ48" s="365"/>
      <c r="CR48" s="81"/>
      <c r="CS48" s="162"/>
      <c r="CT48" s="81"/>
      <c r="CU48" s="365"/>
      <c r="CV48" s="81"/>
      <c r="CW48" s="162"/>
      <c r="CX48" s="81"/>
      <c r="CY48" s="367"/>
      <c r="CZ48" s="81"/>
      <c r="DA48" s="162"/>
      <c r="DB48" s="296" t="s">
        <v>88</v>
      </c>
      <c r="DC48" s="296"/>
      <c r="DD48" s="296"/>
      <c r="DE48" s="291" t="s">
        <v>772</v>
      </c>
      <c r="DF48" s="291"/>
      <c r="DG48" s="291"/>
      <c r="DH48" s="299" t="s">
        <v>795</v>
      </c>
      <c r="DI48" s="291"/>
      <c r="DJ48" s="291"/>
      <c r="DK48" s="683">
        <v>42514</v>
      </c>
      <c r="DL48" s="293" t="s">
        <v>178</v>
      </c>
      <c r="DM48" s="293" t="s">
        <v>178</v>
      </c>
      <c r="DN48" s="292" t="s">
        <v>782</v>
      </c>
      <c r="DO48" s="292" t="s">
        <v>799</v>
      </c>
      <c r="DP48" s="293"/>
      <c r="DQ48" s="304"/>
      <c r="DR48" s="443"/>
      <c r="DS48" s="443"/>
      <c r="DT48" s="297"/>
      <c r="DU48" s="304">
        <f>DATE(YEAR(DQ48),MONTH(DQ48)+18,DAY(DQ48))</f>
        <v>547</v>
      </c>
      <c r="DV48" s="443"/>
      <c r="DW48" s="443"/>
      <c r="DX48" s="423"/>
      <c r="DY48" s="423"/>
      <c r="DZ48" s="423"/>
      <c r="EA48" s="434">
        <v>42917</v>
      </c>
      <c r="EB48" s="423"/>
      <c r="EC48" s="430">
        <v>24</v>
      </c>
      <c r="ED48" s="430">
        <f>EC48+2</f>
        <v>26</v>
      </c>
      <c r="EE48" s="422">
        <f>DATEDIF(EA48,EN48,"M")</f>
        <v>24</v>
      </c>
      <c r="EF48" s="422">
        <f>DATEDIF(EA48,EV48,"M")</f>
        <v>25</v>
      </c>
      <c r="EG48" s="422">
        <f>EE48-EC48</f>
        <v>0</v>
      </c>
      <c r="EH48" s="422"/>
      <c r="EI48" s="431"/>
      <c r="EJ48" s="431"/>
      <c r="EK48" s="423"/>
      <c r="EL48" s="423"/>
      <c r="EM48" s="423"/>
      <c r="EN48" s="210">
        <f>DATE(YEAR(EA48),MONTH(EA48)+EC48,DAY(EA48))</f>
        <v>43647</v>
      </c>
      <c r="EO48" s="210">
        <f>DATE(YEAR(DV48)+2,MONTH(DV48),DAY(DV48))</f>
        <v>731</v>
      </c>
      <c r="EP48" s="423"/>
      <c r="EQ48" s="423"/>
      <c r="ER48" s="423"/>
      <c r="ES48" s="423"/>
      <c r="ET48" s="423"/>
      <c r="EU48" s="210">
        <f>DATE(YEAR(EN48),MONTH(EN48)+1,DAY(EN48))</f>
        <v>43678</v>
      </c>
      <c r="EV48" s="206">
        <f>EU48</f>
        <v>43678</v>
      </c>
      <c r="EW48" s="484"/>
      <c r="EX48" s="209"/>
      <c r="EY48" s="434"/>
      <c r="EZ48" s="212"/>
      <c r="FA48" s="212"/>
      <c r="FB48" s="212"/>
      <c r="FC48" s="212"/>
      <c r="FD48" s="110"/>
      <c r="FE48" s="110"/>
      <c r="FF48" s="110"/>
      <c r="FG48" s="110"/>
      <c r="FH48" s="110"/>
      <c r="FI48" s="110"/>
      <c r="FJ48" s="110"/>
      <c r="FK48" s="110"/>
      <c r="FL48" s="110"/>
      <c r="FM48" s="110"/>
      <c r="FN48" s="110"/>
      <c r="FO48" s="110"/>
      <c r="FP48" s="195"/>
      <c r="FQ48" s="23">
        <f>FR48</f>
        <v>9705603</v>
      </c>
      <c r="FR48" s="559">
        <f>GB48+GF48+GK48+GM48+GQ48</f>
        <v>9705603</v>
      </c>
      <c r="FS48" s="25">
        <f>FR48-FQ48</f>
        <v>0</v>
      </c>
      <c r="FT48" s="50">
        <f>FR48/AG48</f>
        <v>2068.2541120112182</v>
      </c>
      <c r="FU48" s="50">
        <f>FR48/AD48</f>
        <v>140660.91304347827</v>
      </c>
      <c r="FV48" s="23">
        <f>FW48</f>
        <v>8791836.2692203913</v>
      </c>
      <c r="FW48" s="24">
        <v>8791836.2692203913</v>
      </c>
      <c r="FX48" s="25">
        <f>FW48-FV48</f>
        <v>0</v>
      </c>
      <c r="FY48" s="231">
        <f>FW48*1.021/FR48</f>
        <v>0.92487451123583131</v>
      </c>
      <c r="FZ48" s="234">
        <v>0.39500000000000002</v>
      </c>
      <c r="GA48" s="23">
        <f>GB48</f>
        <v>3232689</v>
      </c>
      <c r="GB48" s="24">
        <v>3232689</v>
      </c>
      <c r="GC48" s="50">
        <f>GB48/AD48</f>
        <v>46850.565217391304</v>
      </c>
      <c r="GD48" s="73">
        <f>GB48-GA48</f>
        <v>0</v>
      </c>
      <c r="GE48" s="23">
        <f>GF48</f>
        <v>5772914</v>
      </c>
      <c r="GF48" s="24">
        <f>GG48+GH48</f>
        <v>5772914</v>
      </c>
      <c r="GG48" s="26">
        <v>877863</v>
      </c>
      <c r="GH48" s="26">
        <v>4895051</v>
      </c>
      <c r="GI48" s="73">
        <f>GF48-GE48</f>
        <v>0</v>
      </c>
      <c r="GJ48" s="50">
        <f>GF48/AD48</f>
        <v>83665.420289855072</v>
      </c>
      <c r="GK48" s="24"/>
      <c r="GL48" s="23">
        <v>700000</v>
      </c>
      <c r="GM48" s="559">
        <v>700000</v>
      </c>
      <c r="GN48" s="124"/>
      <c r="GO48" s="76">
        <f>GM48/FR48</f>
        <v>7.2123287960572879E-2</v>
      </c>
      <c r="GP48" s="590"/>
      <c r="GQ48" s="24">
        <v>0</v>
      </c>
      <c r="GR48" s="51">
        <f>GM48-GL48</f>
        <v>0</v>
      </c>
      <c r="GS48" s="50">
        <f>GM48/AD48</f>
        <v>10144.927536231884</v>
      </c>
      <c r="GT48" s="138">
        <f>(GB48+GM48)/AD48</f>
        <v>56995.492753623192</v>
      </c>
      <c r="GU48" s="51">
        <f>GR48/AD48</f>
        <v>0</v>
      </c>
      <c r="GV48" s="97">
        <v>5.51</v>
      </c>
      <c r="GW48" s="97">
        <v>5.48</v>
      </c>
      <c r="GX48" s="75">
        <v>0</v>
      </c>
      <c r="GY48" s="75">
        <v>0</v>
      </c>
      <c r="GZ48" s="50">
        <f>(GB48+GM48+GY48)/AD48</f>
        <v>56995.492753623192</v>
      </c>
      <c r="HA48" s="75">
        <v>0</v>
      </c>
      <c r="HB48" s="50">
        <f>(GB48+GM48+GY48+HA48)/AD48</f>
        <v>56995.492753623192</v>
      </c>
      <c r="HC48" s="99">
        <f>(GB48+GM48+GY48+HA48)/(GX48+FR48-HD48)</f>
        <v>0.40519780172339626</v>
      </c>
      <c r="HD48" s="75">
        <v>0</v>
      </c>
      <c r="HE48" s="75"/>
      <c r="HF48" s="24">
        <v>0</v>
      </c>
      <c r="HG48" s="77">
        <f>FR48+GX48</f>
        <v>9705603</v>
      </c>
      <c r="HH48" s="491"/>
      <c r="HI48" s="491"/>
      <c r="HJ48" s="494"/>
      <c r="HK48" s="491"/>
      <c r="HL48" s="415"/>
      <c r="HM48" s="415"/>
      <c r="HN48" s="415"/>
      <c r="HO48" s="497" t="str">
        <f>IF(AND(HM48&gt;0,HN48&gt;0),HN48-HM48,"0")</f>
        <v>0</v>
      </c>
      <c r="HP48" s="415"/>
      <c r="HQ48" s="481" t="str">
        <f>IF(AND(HN48&gt;0,HP48&gt;0),HP48-HN48,"0")</f>
        <v>0</v>
      </c>
      <c r="HR48" s="497"/>
      <c r="HS48" s="506" t="str">
        <f>IF(AND(HL48&gt;0,HP48&gt;0),HP48-HL48,"0")</f>
        <v>0</v>
      </c>
      <c r="HT48" s="415"/>
      <c r="HU48" s="497" t="str">
        <f>IF(AND(HP48&gt;0,HT48&gt;0),HT48-HP48,"0")</f>
        <v>0</v>
      </c>
      <c r="HV48" s="415"/>
      <c r="HW48" s="415"/>
      <c r="HX48" s="497" t="str">
        <f>IF(AND(HV48&gt;0,HW48&gt;0),HW48-HV48,"0")</f>
        <v>0</v>
      </c>
      <c r="HY48" s="540"/>
      <c r="HZ48" s="481" t="str">
        <f>IF(AND(HW48&gt;0,HY48&gt;0),HY48-HW48,"0")</f>
        <v>0</v>
      </c>
      <c r="IA48" s="497"/>
      <c r="IB48" s="506" t="str">
        <f>IF(AND(HT48&gt;0,HY48&gt;0),HY48-HT48,"0")</f>
        <v>0</v>
      </c>
      <c r="IC48" s="490"/>
      <c r="ID48" s="491"/>
      <c r="IE48" s="415"/>
      <c r="IF48" s="415"/>
      <c r="IG48" s="494"/>
      <c r="IH48" s="491"/>
      <c r="II48" s="347"/>
      <c r="IJ48" s="497" t="str">
        <f>IF(AND(HY48&gt;0,II48&gt;0),II48-HY48,"0")</f>
        <v>0</v>
      </c>
      <c r="IK48" s="347"/>
      <c r="IL48" s="347"/>
      <c r="IM48" s="497" t="str">
        <f>IF(AND(IK48&gt;0,IL48&gt;0),IL48-IK48,"0")</f>
        <v>0</v>
      </c>
      <c r="IN48" s="347"/>
      <c r="IO48" s="481" t="str">
        <f>IF(AND(IL48&gt;0,IN48&gt;0),IN48-IL48,"0")</f>
        <v>0</v>
      </c>
      <c r="IP48" s="497"/>
      <c r="IQ48" s="506" t="str">
        <f>IF(AND(II48&gt;0,IN48&gt;0),IN48-II48,"0")</f>
        <v>0</v>
      </c>
      <c r="IR48" s="490"/>
      <c r="IS48" s="491"/>
      <c r="IT48" s="347"/>
      <c r="IU48" s="498" t="str">
        <f>IF(AND(IN48&gt;0,IT48&gt;0),IT48-IN48,"0")</f>
        <v>0</v>
      </c>
      <c r="IV48" s="347"/>
      <c r="IW48" s="347"/>
      <c r="IX48" s="498" t="str">
        <f>IF(AND(IV48&gt;0,IW48&gt;0),IW48-IV48,"0")</f>
        <v>0</v>
      </c>
      <c r="IY48" s="347"/>
      <c r="IZ48" s="482" t="str">
        <f>IF(AND(IW48&gt;0,IY48&gt;0),IY48-IW48,"0")</f>
        <v>0</v>
      </c>
      <c r="JA48" s="498"/>
      <c r="JB48" s="508" t="str">
        <f>IF(AND(IT48&gt;0,IY48&gt;0),IY48-IT48,"0")</f>
        <v>0</v>
      </c>
      <c r="JC48" s="490"/>
      <c r="JD48" s="491"/>
      <c r="JE48" s="347"/>
      <c r="JF48" s="487" t="str">
        <f>IF(AND(IY48&gt;0,JE48&gt;0),JE48-IY48,"0")</f>
        <v>0</v>
      </c>
      <c r="JG48" s="347"/>
      <c r="JH48" s="347"/>
      <c r="JI48" s="487" t="str">
        <f>IF(AND(JG48&gt;0,JH48&gt;0),JH48-JG48,"0")</f>
        <v>0</v>
      </c>
      <c r="JJ48" s="347"/>
      <c r="JK48" s="347"/>
      <c r="JL48" s="487" t="str">
        <f>IF(AND(JJ48&gt;0,JK48&gt;0),JK48-JJ48,"0")</f>
        <v>0</v>
      </c>
      <c r="JM48" s="509" t="str">
        <f>IF(AND(JE48&gt;0,JK48&gt;0),JK48-JE48,"0")</f>
        <v>0</v>
      </c>
      <c r="JN48" s="347"/>
      <c r="JO48" s="501" t="str">
        <f>IF(AND(JK48&gt;0,JN48&gt;0),JN48-JK48,"0")</f>
        <v>0</v>
      </c>
      <c r="JP48" s="498"/>
      <c r="JQ48" s="482">
        <f>291/30</f>
        <v>9.6999999999999993</v>
      </c>
      <c r="JR48" s="504">
        <f>((+HS48+HU48+IB48+IJ48+IQ48+IU48+JB48+JI48+JF48)/30)-JQ48</f>
        <v>-9.6999999999999993</v>
      </c>
      <c r="JS48" s="490"/>
      <c r="JT48" s="491"/>
      <c r="JU48" s="490"/>
      <c r="JV48" s="491"/>
      <c r="JW48" s="488"/>
      <c r="JX48" s="488"/>
      <c r="JY48" s="488"/>
      <c r="JZ48" s="488"/>
    </row>
    <row r="49" spans="1:286" ht="61.5" hidden="1" customHeight="1" x14ac:dyDescent="0.25">
      <c r="A49" s="141" t="s">
        <v>37</v>
      </c>
      <c r="B49" s="20" t="s">
        <v>38</v>
      </c>
      <c r="C49" s="20" t="s">
        <v>157</v>
      </c>
      <c r="D49" s="20">
        <v>2014</v>
      </c>
      <c r="E49" s="20" t="s">
        <v>39</v>
      </c>
      <c r="F49" s="20" t="s">
        <v>40</v>
      </c>
      <c r="G49" s="20" t="s">
        <v>719</v>
      </c>
      <c r="H49" s="110" t="s">
        <v>644</v>
      </c>
      <c r="I49" s="110" t="s">
        <v>168</v>
      </c>
      <c r="J49" s="110"/>
      <c r="K49" s="453" t="s">
        <v>1011</v>
      </c>
      <c r="L49" s="303" t="s">
        <v>83</v>
      </c>
      <c r="M49" s="190" t="s">
        <v>84</v>
      </c>
      <c r="N49" s="191"/>
      <c r="O49" s="387">
        <f>5311+1709</f>
        <v>7020</v>
      </c>
      <c r="P49" s="387">
        <v>577000</v>
      </c>
      <c r="Q49" s="387">
        <v>173455</v>
      </c>
      <c r="R49" s="379">
        <f>P49/21</f>
        <v>27476.190476190477</v>
      </c>
      <c r="S49" s="387">
        <f>P49/O49</f>
        <v>82.193732193732188</v>
      </c>
      <c r="T49" s="387">
        <f>Q49/O49</f>
        <v>24.708689458689459</v>
      </c>
      <c r="U49" s="387">
        <f>Q49/AH49</f>
        <v>114.99956905410691</v>
      </c>
      <c r="V49" s="387">
        <f>Q49/AD49</f>
        <v>8259.7619047619046</v>
      </c>
      <c r="W49" s="379">
        <f>O49/AD49</f>
        <v>334.28571428571428</v>
      </c>
      <c r="X49" s="391"/>
      <c r="Y49" s="392">
        <f>AH49/O49</f>
        <v>0.21485897435897436</v>
      </c>
      <c r="Z49" s="391" t="s">
        <v>329</v>
      </c>
      <c r="AA49" s="382">
        <v>40</v>
      </c>
      <c r="AB49" s="383"/>
      <c r="AC49" s="20" t="s">
        <v>26</v>
      </c>
      <c r="AD49" s="640">
        <f>AE49+AF49</f>
        <v>21</v>
      </c>
      <c r="AE49" s="21"/>
      <c r="AF49" s="20">
        <f>21*1</f>
        <v>21</v>
      </c>
      <c r="AG49" s="22">
        <v>1508.31</v>
      </c>
      <c r="AH49" s="139">
        <f>+AG49</f>
        <v>1508.31</v>
      </c>
      <c r="AI49" s="22">
        <f>AH49/AD49</f>
        <v>71.824285714285708</v>
      </c>
      <c r="AJ49" s="116">
        <v>0</v>
      </c>
      <c r="AK49" s="116">
        <v>7</v>
      </c>
      <c r="AL49" s="116">
        <v>8</v>
      </c>
      <c r="AM49" s="116">
        <v>5</v>
      </c>
      <c r="AN49" s="116">
        <v>1</v>
      </c>
      <c r="AO49" s="22"/>
      <c r="AP49" s="133"/>
      <c r="AQ49" s="135">
        <f>AP49/O49</f>
        <v>0</v>
      </c>
      <c r="AR49" s="114">
        <v>1</v>
      </c>
      <c r="AS49" s="20"/>
      <c r="AT49" s="111" t="s">
        <v>316</v>
      </c>
      <c r="AU49" s="111" t="s">
        <v>178</v>
      </c>
      <c r="AV49" s="20" t="s">
        <v>169</v>
      </c>
      <c r="AW49" s="332">
        <v>40945</v>
      </c>
      <c r="AX49" s="332">
        <v>41438</v>
      </c>
      <c r="AY49" s="332">
        <v>40963</v>
      </c>
      <c r="AZ49" s="332"/>
      <c r="BA49" s="415" t="s">
        <v>754</v>
      </c>
      <c r="BB49" s="540" t="s">
        <v>763</v>
      </c>
      <c r="BC49" s="415" t="s">
        <v>756</v>
      </c>
      <c r="BD49" s="415" t="s">
        <v>758</v>
      </c>
      <c r="BE49" s="332">
        <v>41803</v>
      </c>
      <c r="BF49" s="332">
        <v>42194</v>
      </c>
      <c r="BG49" s="332">
        <v>42234</v>
      </c>
      <c r="BH49" s="332">
        <v>42256</v>
      </c>
      <c r="BI49" s="332"/>
      <c r="BJ49" s="332"/>
      <c r="BK49" s="332"/>
      <c r="BL49" s="332"/>
      <c r="BM49" s="332"/>
      <c r="BN49" s="194" t="s">
        <v>17</v>
      </c>
      <c r="BO49" s="345">
        <v>41772</v>
      </c>
      <c r="BP49" s="358" t="s">
        <v>550</v>
      </c>
      <c r="BQ49" s="194"/>
      <c r="BR49" s="194"/>
      <c r="BS49" s="194" t="s">
        <v>376</v>
      </c>
      <c r="BT49" s="68" t="s">
        <v>230</v>
      </c>
      <c r="BU49" s="376">
        <v>41848</v>
      </c>
      <c r="BV49" s="160"/>
      <c r="BW49" s="160">
        <v>42485</v>
      </c>
      <c r="BX49" s="160" t="s">
        <v>168</v>
      </c>
      <c r="BY49" s="341" t="s">
        <v>635</v>
      </c>
      <c r="BZ49" s="377" t="s">
        <v>652</v>
      </c>
      <c r="CA49" s="160">
        <v>42510</v>
      </c>
      <c r="CB49" s="305">
        <v>42527</v>
      </c>
      <c r="CC49" s="373">
        <v>42594</v>
      </c>
      <c r="CD49" s="307">
        <v>42686</v>
      </c>
      <c r="CE49" s="307">
        <v>42611</v>
      </c>
      <c r="CF49" s="569">
        <v>42885</v>
      </c>
      <c r="CG49" s="569">
        <f>DATE(YEAR(CF49),MONTH(CF49)+24,DAY(CF49))</f>
        <v>43615</v>
      </c>
      <c r="CH49" s="569">
        <f>DATE(YEAR(CF49),MONTH(CF49)+36,DAY(CF49))</f>
        <v>43981</v>
      </c>
      <c r="CI49" s="569" t="str">
        <f>IF(EV49&gt;CG49,"oui","non")</f>
        <v>non</v>
      </c>
      <c r="CJ49" s="301">
        <v>42600</v>
      </c>
      <c r="CK49" s="71" t="s">
        <v>1045</v>
      </c>
      <c r="CL49" s="82">
        <v>42607</v>
      </c>
      <c r="CM49" s="371">
        <v>42711</v>
      </c>
      <c r="CN49" s="82">
        <v>42730</v>
      </c>
      <c r="CO49" s="161">
        <v>42747</v>
      </c>
      <c r="CP49" s="81">
        <v>42607</v>
      </c>
      <c r="CQ49" s="365">
        <v>42643</v>
      </c>
      <c r="CR49" s="81">
        <v>42659</v>
      </c>
      <c r="CS49" s="162"/>
      <c r="CT49" s="81">
        <v>42607</v>
      </c>
      <c r="CU49" s="365">
        <v>42636</v>
      </c>
      <c r="CV49" s="80">
        <v>42725</v>
      </c>
      <c r="CW49" s="162">
        <v>42753</v>
      </c>
      <c r="CX49" s="81">
        <v>42607</v>
      </c>
      <c r="CY49" s="368">
        <v>42703</v>
      </c>
      <c r="CZ49" s="80">
        <v>42717</v>
      </c>
      <c r="DA49" s="162">
        <v>42719</v>
      </c>
      <c r="DB49" s="296" t="s">
        <v>84</v>
      </c>
      <c r="DC49" s="300"/>
      <c r="DD49" s="296">
        <f>DC49*3/5</f>
        <v>0</v>
      </c>
      <c r="DE49" s="296" t="s">
        <v>178</v>
      </c>
      <c r="DF49" s="304">
        <v>42670</v>
      </c>
      <c r="DG49" s="296" t="s">
        <v>178</v>
      </c>
      <c r="DH49" s="299" t="s">
        <v>794</v>
      </c>
      <c r="DI49" s="296"/>
      <c r="DJ49" s="296"/>
      <c r="DK49" s="575">
        <v>42239</v>
      </c>
      <c r="DL49" s="573" t="s">
        <v>178</v>
      </c>
      <c r="DM49" s="573" t="s">
        <v>178</v>
      </c>
      <c r="DN49" s="297" t="s">
        <v>782</v>
      </c>
      <c r="DO49" s="297" t="s">
        <v>888</v>
      </c>
      <c r="DP49" s="573" t="s">
        <v>230</v>
      </c>
      <c r="DQ49" s="304" t="s">
        <v>786</v>
      </c>
      <c r="DR49" s="443"/>
      <c r="DS49" s="443"/>
      <c r="DT49" s="297"/>
      <c r="DU49" s="304" t="e">
        <f>DATE(YEAR(DQ49),MONTH(DQ49)+18,DAY(DQ49))</f>
        <v>#VALUE!</v>
      </c>
      <c r="DV49" s="443"/>
      <c r="DW49" s="443"/>
      <c r="DX49" s="332"/>
      <c r="DY49" s="332"/>
      <c r="DZ49" s="332"/>
      <c r="EA49" s="334">
        <v>42926</v>
      </c>
      <c r="EB49" s="210">
        <v>42430</v>
      </c>
      <c r="EC49" s="224">
        <v>15</v>
      </c>
      <c r="ED49" s="224">
        <f>EC49+2</f>
        <v>17</v>
      </c>
      <c r="EE49" s="422">
        <f>DATEDIF(EA49,EN49,"M")</f>
        <v>15</v>
      </c>
      <c r="EF49" s="422">
        <f>DATEDIF(EA49,EV49,"M")</f>
        <v>18</v>
      </c>
      <c r="EG49" s="422">
        <f>EE49-EC49</f>
        <v>0</v>
      </c>
      <c r="EH49" s="422"/>
      <c r="EI49" s="411">
        <f>100499.898263388/12</f>
        <v>8374.9915219489994</v>
      </c>
      <c r="EJ49" s="411"/>
      <c r="EK49" s="224"/>
      <c r="EL49" s="223"/>
      <c r="EM49" s="223"/>
      <c r="EN49" s="210">
        <f>DATE(YEAR(EA49),MONTH(EA49)+EC49,DAY(EA49))</f>
        <v>43383</v>
      </c>
      <c r="EO49" s="210">
        <f>DATE(YEAR(DV49)+2,MONTH(DV49),DAY(DV49))</f>
        <v>731</v>
      </c>
      <c r="EP49" s="223"/>
      <c r="EQ49" s="210"/>
      <c r="ER49" s="210"/>
      <c r="ES49" s="223"/>
      <c r="ET49" s="223"/>
      <c r="EU49" s="334">
        <f>DATE(YEAR(EN49),MONTH(EN49)+2,DAY(EN49))</f>
        <v>43444</v>
      </c>
      <c r="EV49" s="206">
        <f>DATE(YEAR(EU49),MONTH(EU49)+1,DAY(EU49))</f>
        <v>43475</v>
      </c>
      <c r="EW49" s="206"/>
      <c r="EX49" s="209"/>
      <c r="EY49" s="212"/>
      <c r="EZ49" s="212"/>
      <c r="FA49" s="212"/>
      <c r="FB49" s="212"/>
      <c r="FC49" s="212"/>
      <c r="FD49" s="110"/>
      <c r="FE49" s="110"/>
      <c r="FF49" s="110"/>
      <c r="FG49" s="110"/>
      <c r="FH49" s="110"/>
      <c r="FI49" s="110"/>
      <c r="FJ49" s="110"/>
      <c r="FK49" s="110"/>
      <c r="FL49" s="110"/>
      <c r="FM49" s="110"/>
      <c r="FN49" s="110"/>
      <c r="FO49" s="110"/>
      <c r="FP49" s="195"/>
      <c r="FQ49" s="23">
        <f>+GA49+GE49+GL49+HF49</f>
        <v>3880305.71</v>
      </c>
      <c r="FR49" s="24">
        <f>GB49+GF49+GK49+GM49+GQ49+HF49</f>
        <v>3922816.6100000003</v>
      </c>
      <c r="FS49" s="25">
        <f>FR49-FQ49</f>
        <v>42510.900000000373</v>
      </c>
      <c r="FT49" s="50">
        <f>FR49/AG49</f>
        <v>2600.8026267809669</v>
      </c>
      <c r="FU49" s="50">
        <f>FR49/AD49</f>
        <v>186800.79095238098</v>
      </c>
      <c r="FV49" s="23">
        <v>2877228</v>
      </c>
      <c r="FW49" s="24">
        <v>2855004</v>
      </c>
      <c r="FX49" s="25">
        <f>FW49-FV49</f>
        <v>-22224</v>
      </c>
      <c r="FY49" s="231">
        <f>FW49*1.021/FR49</f>
        <v>0.74307809255452284</v>
      </c>
      <c r="FZ49" s="232"/>
      <c r="GA49" s="23">
        <v>840305.59</v>
      </c>
      <c r="GB49" s="24">
        <v>1157346.49</v>
      </c>
      <c r="GC49" s="50">
        <f>GB49/AD49</f>
        <v>55111.737619047621</v>
      </c>
      <c r="GD49" s="73">
        <f>GB49-GA49</f>
        <v>317040.90000000002</v>
      </c>
      <c r="GE49" s="23">
        <f>GG49+GH49</f>
        <v>1784577</v>
      </c>
      <c r="GF49" s="24">
        <f>GH49+GG49</f>
        <v>1784577</v>
      </c>
      <c r="GG49" s="26">
        <v>599672</v>
      </c>
      <c r="GH49" s="26">
        <v>1184905</v>
      </c>
      <c r="GI49" s="73">
        <f>GF49-GE49</f>
        <v>0</v>
      </c>
      <c r="GJ49" s="50">
        <f>GF49/AD49</f>
        <v>84979.857142857145</v>
      </c>
      <c r="GK49" s="24"/>
      <c r="GL49" s="23">
        <v>717280</v>
      </c>
      <c r="GM49" s="66">
        <v>442750</v>
      </c>
      <c r="GN49" s="129">
        <v>0</v>
      </c>
      <c r="GO49" s="76">
        <f>GM49/FR49</f>
        <v>0.11286533223891901</v>
      </c>
      <c r="GP49" s="590"/>
      <c r="GQ49" s="24">
        <v>0</v>
      </c>
      <c r="GR49" s="51">
        <f>GM49-GL49</f>
        <v>-274530</v>
      </c>
      <c r="GS49" s="95">
        <f>GM49/AD49</f>
        <v>21083.333333333332</v>
      </c>
      <c r="GT49" s="138">
        <f>(GB49+GM49)/AD49</f>
        <v>76195.070952380949</v>
      </c>
      <c r="GU49" s="51">
        <f>GR49/AD49</f>
        <v>-13072.857142857143</v>
      </c>
      <c r="GV49" s="96">
        <v>5.15</v>
      </c>
      <c r="GW49" s="96">
        <v>5</v>
      </c>
      <c r="GX49" s="75">
        <v>1512119.8533942373</v>
      </c>
      <c r="GY49" s="75">
        <f>15000*AD49</f>
        <v>315000</v>
      </c>
      <c r="GZ49" s="50"/>
      <c r="HA49" s="75">
        <v>292222.2</v>
      </c>
      <c r="HB49" s="50"/>
      <c r="HC49" s="99">
        <f>(GB49+GM49+GY49+HA49)/(GX49+FR49-HD49)</f>
        <v>0.41981487205439366</v>
      </c>
      <c r="HD49" s="75">
        <v>177098.21865</v>
      </c>
      <c r="HE49" s="75"/>
      <c r="HF49" s="631">
        <v>538143.12</v>
      </c>
      <c r="HG49" s="77">
        <f>FR49+GX49</f>
        <v>5434936.4633942377</v>
      </c>
      <c r="HH49" s="491">
        <v>191949.3517696585</v>
      </c>
      <c r="HI49" s="491">
        <f>HK49+ID49+IH49+IS49+JD49</f>
        <v>67849</v>
      </c>
      <c r="HJ49" s="494">
        <v>40814</v>
      </c>
      <c r="HK49" s="491">
        <v>24368</v>
      </c>
      <c r="HL49" s="415"/>
      <c r="HM49" s="415"/>
      <c r="HN49" s="415"/>
      <c r="HO49" s="497" t="str">
        <f>IF(AND(HM49&gt;0,HN49&gt;0),HN49-HM49,"0")</f>
        <v>0</v>
      </c>
      <c r="HP49" s="415">
        <v>40934</v>
      </c>
      <c r="HQ49" s="481" t="str">
        <f>IF(AND(HN49&gt;0,HP49&gt;0),HP49-HN49,"0")</f>
        <v>0</v>
      </c>
      <c r="HR49" s="497">
        <f>+HQ49-30</f>
        <v>-30</v>
      </c>
      <c r="HS49" s="506" t="str">
        <f>IF(AND(HL49&gt;0,HP49&gt;0),HP49-HL49,"0")</f>
        <v>0</v>
      </c>
      <c r="HT49" s="415"/>
      <c r="HU49" s="497" t="str">
        <f>IF(AND(HP49&gt;0,HT49&gt;0),HT49-HP49,"0")</f>
        <v>0</v>
      </c>
      <c r="HV49" s="415"/>
      <c r="HW49" s="415"/>
      <c r="HX49" s="497" t="str">
        <f>IF(AND(HV49&gt;0,HW49&gt;0),HW49-HV49,"0")</f>
        <v>0</v>
      </c>
      <c r="HY49" s="415">
        <v>40918</v>
      </c>
      <c r="HZ49" s="481" t="str">
        <f>IF(AND(HW49&gt;0,HY49&gt;0),HY49-HW49,"0")</f>
        <v>0</v>
      </c>
      <c r="IA49" s="497">
        <f>+HZ49-30</f>
        <v>-30</v>
      </c>
      <c r="IB49" s="506" t="str">
        <f>IF(AND(HT49&gt;0,HY49&gt;0),HY49-HT49,"0")</f>
        <v>0</v>
      </c>
      <c r="IC49" s="490"/>
      <c r="ID49" s="491"/>
      <c r="IE49" s="415"/>
      <c r="IF49" s="415">
        <v>41676</v>
      </c>
      <c r="IG49" s="494">
        <v>41676</v>
      </c>
      <c r="IH49" s="491">
        <v>17298</v>
      </c>
      <c r="II49" s="347"/>
      <c r="IJ49" s="497" t="str">
        <f>IF(AND(HY49&gt;0,II49&gt;0),II49-HY49,"0")</f>
        <v>0</v>
      </c>
      <c r="IK49" s="347"/>
      <c r="IL49" s="347"/>
      <c r="IM49" s="497" t="str">
        <f>IF(AND(IK49&gt;0,IL49&gt;0),IL49-IK49,"0")</f>
        <v>0</v>
      </c>
      <c r="IN49" s="347">
        <v>40998</v>
      </c>
      <c r="IO49" s="481" t="str">
        <f>IF(AND(IL49&gt;0,IN49&gt;0),IN49-IL49,"0")</f>
        <v>0</v>
      </c>
      <c r="IP49" s="497">
        <f>+IO49-30</f>
        <v>-30</v>
      </c>
      <c r="IQ49" s="506" t="str">
        <f>IF(AND(II49&gt;0,IN49&gt;0),IN49-II49,"0")</f>
        <v>0</v>
      </c>
      <c r="IR49" s="490"/>
      <c r="IS49" s="491"/>
      <c r="IT49" s="347">
        <v>41753</v>
      </c>
      <c r="IU49" s="498">
        <f>IF(AND(IN49&gt;0,IT49&gt;0),IT49-IN49,"0")</f>
        <v>755</v>
      </c>
      <c r="IV49" s="347">
        <f>DATE(YEAR(IT49),MONTH(IT49),DAY(IT49)+30)</f>
        <v>41783</v>
      </c>
      <c r="IW49" s="347">
        <v>41885</v>
      </c>
      <c r="IX49" s="498">
        <f>IF(AND(IV49&gt;0,IW49&gt;0),IW49-IV49,"0")</f>
        <v>102</v>
      </c>
      <c r="IY49" s="347">
        <v>42164</v>
      </c>
      <c r="IZ49" s="482">
        <f>IF(AND(IW49&gt;0,IY49&gt;0),IY49-IW49,"0")</f>
        <v>279</v>
      </c>
      <c r="JA49" s="498">
        <f>IZ49-30</f>
        <v>249</v>
      </c>
      <c r="JB49" s="508">
        <f>IF(AND(IT49&gt;0,IY49&gt;0),IY49-IT49,"0")</f>
        <v>411</v>
      </c>
      <c r="JC49" s="490">
        <v>41992</v>
      </c>
      <c r="JD49" s="491">
        <v>26183</v>
      </c>
      <c r="JE49" s="347">
        <v>41753</v>
      </c>
      <c r="JF49" s="487">
        <f>IF(AND(IY49&gt;0,JE49&gt;0),JE49-IY49,"0")</f>
        <v>-411</v>
      </c>
      <c r="JG49" s="347">
        <f>DATE(YEAR(JE49),MONTH(JE49),DAY(JE49)+15)</f>
        <v>41768</v>
      </c>
      <c r="JH49" s="347">
        <v>41885</v>
      </c>
      <c r="JI49" s="487">
        <f>IF(AND(JG49&gt;0,JH49&gt;0),JH49-JG49,"0")</f>
        <v>117</v>
      </c>
      <c r="JJ49" s="347">
        <f>DATE(YEAR(JH49),MONTH(JH49),DAY(JH49)+15)</f>
        <v>41900</v>
      </c>
      <c r="JK49" s="347">
        <v>42164</v>
      </c>
      <c r="JL49" s="487">
        <f>IF(AND(JJ49&gt;0,JK49&gt;0),JK49-JJ49,"0")</f>
        <v>264</v>
      </c>
      <c r="JM49" s="509">
        <f>IF(AND(JE49&gt;0,JK49&gt;0),JK49-JE49,"0")</f>
        <v>411</v>
      </c>
      <c r="JN49" s="347">
        <v>42244</v>
      </c>
      <c r="JO49" s="501">
        <f>IF(AND(JK49&gt;0,JN49&gt;0),JN49-JK49,"0")</f>
        <v>80</v>
      </c>
      <c r="JP49" s="498">
        <f>JO49-60</f>
        <v>20</v>
      </c>
      <c r="JQ49" s="482">
        <f>291/30</f>
        <v>9.6999999999999993</v>
      </c>
      <c r="JR49" s="504">
        <f>((+HS49+HU49+IB49+IJ49+IQ49+IU49+JB49+JI49+JF49)/30)-JQ49</f>
        <v>19.366666666666667</v>
      </c>
      <c r="JS49" s="490"/>
      <c r="JT49" s="505"/>
      <c r="JU49" s="490"/>
      <c r="JV49" s="505"/>
      <c r="JW49" s="587"/>
      <c r="JX49" s="587"/>
      <c r="JY49" s="587"/>
      <c r="JZ49" s="587"/>
    </row>
    <row r="50" spans="1:286" s="84" customFormat="1" ht="30" hidden="1" customHeight="1" x14ac:dyDescent="0.25">
      <c r="A50" s="19" t="s">
        <v>382</v>
      </c>
      <c r="B50" s="20" t="s">
        <v>53</v>
      </c>
      <c r="C50" s="20" t="s">
        <v>159</v>
      </c>
      <c r="D50" s="20">
        <v>2015</v>
      </c>
      <c r="E50" s="20" t="s">
        <v>387</v>
      </c>
      <c r="F50" s="20" t="s">
        <v>637</v>
      </c>
      <c r="G50" s="20" t="s">
        <v>278</v>
      </c>
      <c r="H50" s="20" t="s">
        <v>246</v>
      </c>
      <c r="I50" s="110"/>
      <c r="J50" s="110"/>
      <c r="K50" s="453"/>
      <c r="L50" s="303" t="s">
        <v>80</v>
      </c>
      <c r="M50" s="190" t="s">
        <v>188</v>
      </c>
      <c r="N50" s="191"/>
      <c r="O50" s="379">
        <v>1263</v>
      </c>
      <c r="P50" s="379"/>
      <c r="Q50" s="379">
        <v>126500</v>
      </c>
      <c r="R50" s="379">
        <f>P50/AD50</f>
        <v>0</v>
      </c>
      <c r="S50" s="379">
        <f>P50/O50</f>
        <v>0</v>
      </c>
      <c r="T50" s="387">
        <f>Q50/O50</f>
        <v>100.15835312747427</v>
      </c>
      <c r="U50" s="387">
        <f>Q50/AH50</f>
        <v>86.456710134230022</v>
      </c>
      <c r="V50" s="387">
        <f>Q50/AD50</f>
        <v>7027.7777777777774</v>
      </c>
      <c r="W50" s="379">
        <f>O50/AD50</f>
        <v>70.166666666666671</v>
      </c>
      <c r="X50" s="380"/>
      <c r="Y50" s="381">
        <f>AH50/O50</f>
        <v>1.158479809976247</v>
      </c>
      <c r="Z50" s="380"/>
      <c r="AA50" s="382"/>
      <c r="AB50" s="383"/>
      <c r="AC50" s="47" t="s">
        <v>26</v>
      </c>
      <c r="AD50" s="640">
        <f>(AE50+AF50)</f>
        <v>18</v>
      </c>
      <c r="AE50" s="21"/>
      <c r="AF50" s="20">
        <v>18</v>
      </c>
      <c r="AG50" s="22">
        <v>1509.87</v>
      </c>
      <c r="AH50" s="140">
        <v>1463.16</v>
      </c>
      <c r="AI50" s="22">
        <f>AH50/AD50</f>
        <v>81.286666666666676</v>
      </c>
      <c r="AJ50" s="135">
        <v>0</v>
      </c>
      <c r="AK50" s="135">
        <f>6/AD50</f>
        <v>0.33333333333333331</v>
      </c>
      <c r="AL50" s="135">
        <f>6/AD50</f>
        <v>0.33333333333333331</v>
      </c>
      <c r="AM50" s="135">
        <f>6/AD50</f>
        <v>0.33333333333333331</v>
      </c>
      <c r="AN50" s="135">
        <v>0</v>
      </c>
      <c r="AO50" s="22"/>
      <c r="AP50" s="133">
        <v>0</v>
      </c>
      <c r="AQ50" s="135">
        <v>0</v>
      </c>
      <c r="AR50" s="116">
        <v>3</v>
      </c>
      <c r="AS50" s="20"/>
      <c r="AT50" s="110" t="s">
        <v>316</v>
      </c>
      <c r="AU50" s="110" t="s">
        <v>168</v>
      </c>
      <c r="AV50" s="20" t="s">
        <v>168</v>
      </c>
      <c r="AW50" s="332">
        <v>41989</v>
      </c>
      <c r="AX50" s="332">
        <v>42047</v>
      </c>
      <c r="AY50" s="110"/>
      <c r="AZ50" s="475">
        <v>42010</v>
      </c>
      <c r="BA50" s="540" t="s">
        <v>754</v>
      </c>
      <c r="BB50" s="415" t="s">
        <v>758</v>
      </c>
      <c r="BC50" s="415" t="s">
        <v>757</v>
      </c>
      <c r="BD50" s="415" t="s">
        <v>802</v>
      </c>
      <c r="BE50" s="332">
        <v>42073</v>
      </c>
      <c r="BF50" s="332">
        <v>42118</v>
      </c>
      <c r="BG50" s="332">
        <v>42146</v>
      </c>
      <c r="BH50" s="332">
        <v>42179</v>
      </c>
      <c r="BI50" s="110"/>
      <c r="BJ50" s="110"/>
      <c r="BK50" s="110"/>
      <c r="BL50" s="110"/>
      <c r="BM50" s="110"/>
      <c r="BN50" s="194" t="s">
        <v>378</v>
      </c>
      <c r="BO50" s="194"/>
      <c r="BP50" s="196"/>
      <c r="BQ50" s="194"/>
      <c r="BR50" s="194"/>
      <c r="BS50" s="194" t="s">
        <v>444</v>
      </c>
      <c r="BT50" s="67"/>
      <c r="BU50" s="160">
        <v>42298</v>
      </c>
      <c r="BV50" s="160"/>
      <c r="BW50" s="160">
        <v>42310</v>
      </c>
      <c r="BX50" s="160"/>
      <c r="BY50" s="160"/>
      <c r="BZ50" s="376"/>
      <c r="CA50" s="160"/>
      <c r="CB50" s="301"/>
      <c r="CC50" s="372"/>
      <c r="CD50" s="302"/>
      <c r="CE50" s="302"/>
      <c r="CF50" s="161"/>
      <c r="CG50" s="336">
        <f>DATE(YEAR(CF50),MONTH(CF50)+24,DAY(CF50))</f>
        <v>731</v>
      </c>
      <c r="CH50" s="336">
        <f>DATE(YEAR(CF50),MONTH(CF50)+36,DAY(CF50))</f>
        <v>1096</v>
      </c>
      <c r="CI50" s="336"/>
      <c r="CJ50" s="301"/>
      <c r="CK50" s="306"/>
      <c r="CL50" s="82"/>
      <c r="CM50" s="370"/>
      <c r="CN50" s="82"/>
      <c r="CO50" s="161"/>
      <c r="CP50" s="81"/>
      <c r="CQ50" s="365"/>
      <c r="CR50" s="81"/>
      <c r="CS50" s="162"/>
      <c r="CT50" s="81"/>
      <c r="CU50" s="365"/>
      <c r="CV50" s="81"/>
      <c r="CW50" s="162"/>
      <c r="CX50" s="81"/>
      <c r="CY50" s="365"/>
      <c r="CZ50" s="81"/>
      <c r="DA50" s="162"/>
      <c r="DB50" s="296" t="s">
        <v>195</v>
      </c>
      <c r="DC50" s="296"/>
      <c r="DD50" s="296"/>
      <c r="DE50" s="304">
        <v>42647</v>
      </c>
      <c r="DF50" s="296" t="s">
        <v>370</v>
      </c>
      <c r="DG50" s="296"/>
      <c r="DH50" s="299" t="s">
        <v>795</v>
      </c>
      <c r="DI50" s="296"/>
      <c r="DJ50" s="296"/>
      <c r="DK50" s="304">
        <v>42472</v>
      </c>
      <c r="DL50" s="298" t="s">
        <v>178</v>
      </c>
      <c r="DM50" s="298" t="s">
        <v>178</v>
      </c>
      <c r="DN50" s="297" t="s">
        <v>782</v>
      </c>
      <c r="DO50" s="298" t="s">
        <v>778</v>
      </c>
      <c r="DP50" s="293"/>
      <c r="DQ50" s="304"/>
      <c r="DR50" s="443"/>
      <c r="DS50" s="443"/>
      <c r="DT50" s="297"/>
      <c r="DU50" s="304">
        <f>DATE(YEAR(DQ50),MONTH(DQ50)+18,DAY(DQ50))</f>
        <v>547</v>
      </c>
      <c r="DV50" s="443"/>
      <c r="DW50" s="443"/>
      <c r="DX50" s="423"/>
      <c r="DY50" s="423"/>
      <c r="DZ50" s="423"/>
      <c r="EA50" s="434">
        <v>42931</v>
      </c>
      <c r="EB50" s="423"/>
      <c r="EC50" s="430">
        <v>14</v>
      </c>
      <c r="ED50" s="430">
        <f>EC50+2</f>
        <v>16</v>
      </c>
      <c r="EE50" s="422">
        <f>DATEDIF(EA50,EN50,"M")</f>
        <v>14</v>
      </c>
      <c r="EF50" s="422">
        <f>DATEDIF(EA50,EV50,"M")</f>
        <v>15</v>
      </c>
      <c r="EG50" s="422">
        <f>EE50-EC50</f>
        <v>0</v>
      </c>
      <c r="EH50" s="422"/>
      <c r="EI50" s="431"/>
      <c r="EJ50" s="431"/>
      <c r="EK50" s="423"/>
      <c r="EL50" s="423"/>
      <c r="EM50" s="423"/>
      <c r="EN50" s="210">
        <f>DATE(YEAR(EA50),MONTH(EA50)+EC50,DAY(EA50))</f>
        <v>43358</v>
      </c>
      <c r="EO50" s="210">
        <f>DATE(YEAR(DV50)+2,MONTH(DV50),DAY(DV50))</f>
        <v>731</v>
      </c>
      <c r="EP50" s="423"/>
      <c r="EQ50" s="423"/>
      <c r="ER50" s="423"/>
      <c r="ES50" s="423"/>
      <c r="ET50" s="423"/>
      <c r="EU50" s="334">
        <f>DATE(YEAR(EN50),MONTH(EN50)+1,DAY(EN50))</f>
        <v>43388</v>
      </c>
      <c r="EV50" s="206">
        <f>EU50</f>
        <v>43388</v>
      </c>
      <c r="EW50" s="206"/>
      <c r="EX50" s="209"/>
      <c r="EY50" s="434"/>
      <c r="EZ50" s="212"/>
      <c r="FA50" s="212"/>
      <c r="FB50" s="212"/>
      <c r="FC50" s="212"/>
      <c r="FD50" s="110"/>
      <c r="FE50" s="110"/>
      <c r="FF50" s="110"/>
      <c r="FG50" s="110"/>
      <c r="FH50" s="110"/>
      <c r="FI50" s="110"/>
      <c r="FJ50" s="110"/>
      <c r="FK50" s="110"/>
      <c r="FL50" s="110"/>
      <c r="FM50" s="110"/>
      <c r="FN50" s="110"/>
      <c r="FO50" s="110"/>
      <c r="FP50" s="195"/>
      <c r="FQ50" s="23">
        <f>GA50+GE50+GL50</f>
        <v>3031790</v>
      </c>
      <c r="FR50" s="24">
        <f>GB50+GF50+GK50+GM50+GQ50</f>
        <v>2996921.73</v>
      </c>
      <c r="FS50" s="25">
        <f>FR50-FQ50</f>
        <v>-34868.270000000019</v>
      </c>
      <c r="FT50" s="50">
        <f>FR50/AG50</f>
        <v>1984.8872618172427</v>
      </c>
      <c r="FU50" s="50">
        <f>FR50/AD50</f>
        <v>166495.65166666667</v>
      </c>
      <c r="FV50" s="23">
        <v>2583163.1920000003</v>
      </c>
      <c r="FW50" s="24">
        <v>2614548</v>
      </c>
      <c r="FX50" s="25">
        <f>FW50-FV50</f>
        <v>31384.807999999728</v>
      </c>
      <c r="FY50" s="231">
        <f>FW50*1.021/FR50</f>
        <v>0.89073180699984444</v>
      </c>
      <c r="FZ50" s="234">
        <v>0.39750000000000002</v>
      </c>
      <c r="GA50" s="23">
        <v>883707</v>
      </c>
      <c r="GB50" s="24">
        <v>896639.9</v>
      </c>
      <c r="GC50" s="50">
        <f>GB50/AD50</f>
        <v>49813.327777777777</v>
      </c>
      <c r="GD50" s="73">
        <f>GB50-GA50</f>
        <v>12932.900000000023</v>
      </c>
      <c r="GE50" s="23">
        <v>1788083</v>
      </c>
      <c r="GF50" s="24">
        <v>1740281.83</v>
      </c>
      <c r="GG50" s="26"/>
      <c r="GH50" s="26"/>
      <c r="GI50" s="73">
        <f>GF50-GE50</f>
        <v>-47801.169999999925</v>
      </c>
      <c r="GJ50" s="50">
        <f>GF50/AD50</f>
        <v>96682.323888888888</v>
      </c>
      <c r="GK50" s="24"/>
      <c r="GL50" s="23">
        <v>360000</v>
      </c>
      <c r="GM50" s="24">
        <v>360000</v>
      </c>
      <c r="GN50" s="124"/>
      <c r="GO50" s="76">
        <f>GM50/FR50</f>
        <v>0.12012325727305531</v>
      </c>
      <c r="GP50" s="590"/>
      <c r="GQ50" s="24">
        <v>0</v>
      </c>
      <c r="GR50" s="51">
        <f>GM50-GL50</f>
        <v>0</v>
      </c>
      <c r="GS50" s="50">
        <f>GM50/AD50</f>
        <v>20000</v>
      </c>
      <c r="GT50" s="138">
        <f>(GB50+GM50)/AD50</f>
        <v>69813.327777777769</v>
      </c>
      <c r="GU50" s="51">
        <f>GR50/AD50</f>
        <v>0</v>
      </c>
      <c r="GV50" s="97">
        <v>5.19</v>
      </c>
      <c r="GW50" s="97">
        <v>5.13</v>
      </c>
      <c r="GX50" s="75">
        <v>0</v>
      </c>
      <c r="GY50" s="75">
        <v>0</v>
      </c>
      <c r="GZ50" s="50">
        <f>(GB50+GM50+GY50)/AD50</f>
        <v>69813.327777777769</v>
      </c>
      <c r="HA50" s="75">
        <v>0</v>
      </c>
      <c r="HB50" s="50">
        <f>(GB50+GM50+GY50+HA50)/AD50</f>
        <v>69813.327777777769</v>
      </c>
      <c r="HC50" s="99">
        <f>(GB50+GM50+GY50+HA50)/(GX50+FR50-HD50)</f>
        <v>0.41931021668690693</v>
      </c>
      <c r="HD50" s="75">
        <v>0</v>
      </c>
      <c r="HE50" s="75"/>
      <c r="HF50" s="24">
        <v>0</v>
      </c>
      <c r="HG50" s="77">
        <f>FR50+GX50</f>
        <v>2996921.73</v>
      </c>
      <c r="HH50" s="491">
        <v>143558</v>
      </c>
      <c r="HI50" s="491">
        <f>HK50+ID50+IH50+IS50+JD50</f>
        <v>71779</v>
      </c>
      <c r="HJ50" s="494">
        <v>41990</v>
      </c>
      <c r="HK50" s="491">
        <v>14522</v>
      </c>
      <c r="HL50" s="415">
        <v>41955</v>
      </c>
      <c r="HM50" s="415">
        <f>DATE(YEAR(HL50),MONTH(HL50),DAY(HL50)+21)</f>
        <v>41976</v>
      </c>
      <c r="HN50" s="415">
        <v>41985</v>
      </c>
      <c r="HO50" s="497">
        <f>IF(AND(HM50&gt;0,HN50&gt;0),HN50-HM50,"0")</f>
        <v>9</v>
      </c>
      <c r="HP50" s="415">
        <v>42015</v>
      </c>
      <c r="HQ50" s="481">
        <f>IF(AND(HN50&gt;0,HP50&gt;0),HP50-HN50,"0")</f>
        <v>30</v>
      </c>
      <c r="HR50" s="497">
        <f>+HQ50-30</f>
        <v>0</v>
      </c>
      <c r="HS50" s="506">
        <f>IF(AND(HL50&gt;0,HP50&gt;0),HP50-HL50,"0")</f>
        <v>60</v>
      </c>
      <c r="HT50" s="415">
        <v>42015</v>
      </c>
      <c r="HU50" s="497">
        <f>IF(AND(HP50&gt;0,HT50&gt;0),HT50-HP50,"0")</f>
        <v>0</v>
      </c>
      <c r="HV50" s="415">
        <f>DATE(YEAR(HT50),MONTH(HT50),DAY(HT50)+21)</f>
        <v>42036</v>
      </c>
      <c r="HW50" s="415">
        <v>42010</v>
      </c>
      <c r="HX50" s="497">
        <f>IF(AND(HV50&gt;0,HW50&gt;0),HW50-HV50,"0")</f>
        <v>-26</v>
      </c>
      <c r="HY50" s="415">
        <v>42033</v>
      </c>
      <c r="HZ50" s="481">
        <f>IF(AND(HW50&gt;0,HY50&gt;0),HY50-HW50,"0")</f>
        <v>23</v>
      </c>
      <c r="IA50" s="497">
        <f>+HZ50-30</f>
        <v>-7</v>
      </c>
      <c r="IB50" s="506">
        <f>IF(AND(HT50&gt;0,HY50&gt;0),HY50-HT50,"0")</f>
        <v>18</v>
      </c>
      <c r="IC50" s="490">
        <v>41992</v>
      </c>
      <c r="ID50" s="491"/>
      <c r="IE50" s="416">
        <v>42005</v>
      </c>
      <c r="IF50" s="415">
        <v>42012</v>
      </c>
      <c r="IG50" s="494"/>
      <c r="IH50" s="491">
        <v>21783</v>
      </c>
      <c r="II50" s="347">
        <v>42033</v>
      </c>
      <c r="IJ50" s="497">
        <f>IF(AND(HY50&gt;0,II50&gt;0),II50-HY50,"0")</f>
        <v>0</v>
      </c>
      <c r="IK50" s="347">
        <f>DATE(YEAR(II50),MONTH(II50),DAY(II50)+30)</f>
        <v>42063</v>
      </c>
      <c r="IL50" s="347">
        <v>42068</v>
      </c>
      <c r="IM50" s="497">
        <f>IF(AND(IK50&gt;0,IL50&gt;0),IL50-IK50,"0")</f>
        <v>5</v>
      </c>
      <c r="IN50" s="347">
        <v>42109</v>
      </c>
      <c r="IO50" s="481">
        <f>IF(AND(IL50&gt;0,IN50&gt;0),IN50-IL50,"0")</f>
        <v>41</v>
      </c>
      <c r="IP50" s="497">
        <f>+IO50-30</f>
        <v>11</v>
      </c>
      <c r="IQ50" s="506">
        <f>IF(AND(II50&gt;0,IN50&gt;0),IN50-II50,"0")</f>
        <v>76</v>
      </c>
      <c r="IR50" s="490">
        <v>42086</v>
      </c>
      <c r="IS50" s="491">
        <v>13917</v>
      </c>
      <c r="IT50" s="347">
        <v>42109</v>
      </c>
      <c r="IU50" s="498">
        <f>IF(AND(IN50&gt;0,IT50&gt;0),IT50-IN50,"0")</f>
        <v>0</v>
      </c>
      <c r="IV50" s="347">
        <f>DATE(YEAR(IT50),MONTH(IT50),DAY(IT50)+30)</f>
        <v>42139</v>
      </c>
      <c r="IW50" s="347">
        <v>42144</v>
      </c>
      <c r="IX50" s="498">
        <f>IF(AND(IV50&gt;0,IW50&gt;0),IW50-IV50,"0")</f>
        <v>5</v>
      </c>
      <c r="IY50" s="347">
        <v>42174</v>
      </c>
      <c r="IZ50" s="482">
        <f>IF(AND(IW50&gt;0,IY50&gt;0),IY50-IW50,"0")</f>
        <v>30</v>
      </c>
      <c r="JA50" s="498">
        <f>IZ50-30</f>
        <v>0</v>
      </c>
      <c r="JB50" s="508">
        <f>IF(AND(IT50&gt;0,IY50&gt;0),IY50-IT50,"0")</f>
        <v>65</v>
      </c>
      <c r="JC50" s="490">
        <v>42202</v>
      </c>
      <c r="JD50" s="491">
        <v>21557</v>
      </c>
      <c r="JE50" s="347">
        <v>42174</v>
      </c>
      <c r="JF50" s="487">
        <f>IF(AND(IY50&gt;0,JE50&gt;0),JE50-IY50,"0")</f>
        <v>0</v>
      </c>
      <c r="JG50" s="347">
        <f>DATE(YEAR(JE50),MONTH(JE50),DAY(JE50)+15)</f>
        <v>42189</v>
      </c>
      <c r="JH50" s="347">
        <v>42208</v>
      </c>
      <c r="JI50" s="487">
        <f>IF(AND(JG50&gt;0,JH50&gt;0),JH50-JG50,"0")</f>
        <v>19</v>
      </c>
      <c r="JJ50" s="347">
        <f>DATE(YEAR(JH50),MONTH(JH50),DAY(JH50)+15)</f>
        <v>42223</v>
      </c>
      <c r="JK50" s="347">
        <v>42356</v>
      </c>
      <c r="JL50" s="487">
        <f>IF(AND(JJ50&gt;0,JK50&gt;0),JK50-JJ50,"0")</f>
        <v>133</v>
      </c>
      <c r="JM50" s="509">
        <f>IF(AND(JE50&gt;0,JK50&gt;0),JK50-JE50,"0")</f>
        <v>182</v>
      </c>
      <c r="JN50" s="347">
        <v>42472</v>
      </c>
      <c r="JO50" s="501">
        <f>IF(AND(JK50&gt;0,JN50&gt;0),JN50-JK50,"0")</f>
        <v>116</v>
      </c>
      <c r="JP50" s="498">
        <f>JO50-60</f>
        <v>56</v>
      </c>
      <c r="JQ50" s="482">
        <f>291/30</f>
        <v>9.6999999999999993</v>
      </c>
      <c r="JR50" s="504">
        <f>((+HS50+HU50+IB50+IJ50+IQ50+IU50+JB50+JI50+JF50)/30)-JQ50</f>
        <v>-1.7666666666666657</v>
      </c>
      <c r="JS50" s="490"/>
      <c r="JT50" s="491"/>
      <c r="JU50" s="490"/>
      <c r="JV50" s="491"/>
      <c r="JW50" s="587"/>
      <c r="JX50" s="587"/>
      <c r="JY50" s="587"/>
      <c r="JZ50" s="587"/>
    </row>
    <row r="51" spans="1:286" s="84" customFormat="1" ht="72" hidden="1" customHeight="1" x14ac:dyDescent="0.25">
      <c r="A51" s="141" t="s">
        <v>407</v>
      </c>
      <c r="B51" s="47" t="s">
        <v>41</v>
      </c>
      <c r="C51" s="47" t="s">
        <v>157</v>
      </c>
      <c r="D51" s="47">
        <v>2015</v>
      </c>
      <c r="E51" s="47" t="s">
        <v>390</v>
      </c>
      <c r="F51" s="47" t="s">
        <v>40</v>
      </c>
      <c r="G51" s="47" t="s">
        <v>277</v>
      </c>
      <c r="H51" s="47" t="s">
        <v>246</v>
      </c>
      <c r="I51" s="111"/>
      <c r="J51" s="111"/>
      <c r="K51" s="453" t="s">
        <v>944</v>
      </c>
      <c r="L51" s="303" t="s">
        <v>79</v>
      </c>
      <c r="M51" s="190" t="s">
        <v>430</v>
      </c>
      <c r="N51" s="191"/>
      <c r="O51" s="386">
        <v>3547</v>
      </c>
      <c r="P51" s="386">
        <v>319230</v>
      </c>
      <c r="Q51" s="386">
        <v>132491.5</v>
      </c>
      <c r="R51" s="379">
        <f>P51/AD51</f>
        <v>16801.57894736842</v>
      </c>
      <c r="S51" s="379">
        <f>P51/O51</f>
        <v>90</v>
      </c>
      <c r="T51" s="387">
        <f>Q51/O51</f>
        <v>37.353115308711587</v>
      </c>
      <c r="U51" s="387">
        <f>Q51/AH51</f>
        <v>110.40406313017682</v>
      </c>
      <c r="V51" s="387">
        <f>Q51/AD51</f>
        <v>6973.2368421052633</v>
      </c>
      <c r="W51" s="379">
        <f>O51/AD51</f>
        <v>186.68421052631578</v>
      </c>
      <c r="X51" s="388"/>
      <c r="Y51" s="389"/>
      <c r="Z51" s="388" t="s">
        <v>309</v>
      </c>
      <c r="AA51" s="384"/>
      <c r="AB51" s="385"/>
      <c r="AC51" s="47" t="s">
        <v>26</v>
      </c>
      <c r="AD51" s="640">
        <f>(AE51+AF51)</f>
        <v>19</v>
      </c>
      <c r="AE51" s="101"/>
      <c r="AF51" s="47">
        <v>19</v>
      </c>
      <c r="AG51" s="54">
        <v>1222.18</v>
      </c>
      <c r="AH51" s="140">
        <v>1200.06</v>
      </c>
      <c r="AI51" s="22">
        <f>AH51/AD51</f>
        <v>63.161052631578947</v>
      </c>
      <c r="AJ51" s="117">
        <v>0</v>
      </c>
      <c r="AK51" s="136">
        <f>13/AD51</f>
        <v>0.68421052631578949</v>
      </c>
      <c r="AL51" s="136">
        <f>5/AD51</f>
        <v>0.26315789473684209</v>
      </c>
      <c r="AM51" s="136">
        <f>2/AD51</f>
        <v>0.10526315789473684</v>
      </c>
      <c r="AN51" s="136">
        <v>0</v>
      </c>
      <c r="AO51" s="54"/>
      <c r="AP51" s="134" t="s">
        <v>515</v>
      </c>
      <c r="AQ51" s="136"/>
      <c r="AR51" s="117">
        <v>2</v>
      </c>
      <c r="AS51" s="47"/>
      <c r="AT51" s="111" t="s">
        <v>316</v>
      </c>
      <c r="AU51" s="111"/>
      <c r="AV51" s="47"/>
      <c r="AW51" s="338">
        <v>41989</v>
      </c>
      <c r="AX51" s="338">
        <v>42031</v>
      </c>
      <c r="AY51" s="111"/>
      <c r="AZ51" s="111"/>
      <c r="BA51" s="415" t="s">
        <v>759</v>
      </c>
      <c r="BB51" s="415" t="s">
        <v>806</v>
      </c>
      <c r="BC51" s="415" t="s">
        <v>757</v>
      </c>
      <c r="BD51" s="111"/>
      <c r="BE51" s="338">
        <v>42166</v>
      </c>
      <c r="BF51" s="338">
        <v>42210</v>
      </c>
      <c r="BG51" s="338">
        <v>42234</v>
      </c>
      <c r="BH51" s="338">
        <v>42272</v>
      </c>
      <c r="BI51" s="111"/>
      <c r="BJ51" s="111"/>
      <c r="BK51" s="111"/>
      <c r="BL51" s="111"/>
      <c r="BM51" s="111"/>
      <c r="BN51" s="194" t="s">
        <v>17</v>
      </c>
      <c r="BO51" s="345">
        <v>42144</v>
      </c>
      <c r="BP51" s="358">
        <v>42510</v>
      </c>
      <c r="BQ51" s="194" t="s">
        <v>174</v>
      </c>
      <c r="BR51" s="194" t="s">
        <v>174</v>
      </c>
      <c r="BS51" s="194" t="s">
        <v>532</v>
      </c>
      <c r="BT51" s="67"/>
      <c r="BU51" s="160">
        <v>42248</v>
      </c>
      <c r="BV51" s="160"/>
      <c r="BW51" s="160">
        <v>42261</v>
      </c>
      <c r="BX51" s="160" t="s">
        <v>178</v>
      </c>
      <c r="BY51" s="160">
        <v>42536</v>
      </c>
      <c r="BZ51" s="376">
        <v>42538</v>
      </c>
      <c r="CA51" s="160">
        <v>42541</v>
      </c>
      <c r="CB51" s="301">
        <v>42548</v>
      </c>
      <c r="CC51" s="372">
        <v>42559</v>
      </c>
      <c r="CD51" s="307" t="s">
        <v>780</v>
      </c>
      <c r="CE51" s="302">
        <v>42235</v>
      </c>
      <c r="CF51" s="161"/>
      <c r="CG51" s="336">
        <f>DATE(YEAR(CF51),MONTH(CF51)+24,DAY(CF51))</f>
        <v>731</v>
      </c>
      <c r="CH51" s="336">
        <f>DATE(YEAR(CF51),MONTH(CF51)+36,DAY(CF51))</f>
        <v>1096</v>
      </c>
      <c r="CI51" s="336"/>
      <c r="CJ51" s="301">
        <v>42564</v>
      </c>
      <c r="CK51" s="71" t="s">
        <v>1044</v>
      </c>
      <c r="CL51" s="82">
        <v>42600</v>
      </c>
      <c r="CM51" s="370">
        <v>42711</v>
      </c>
      <c r="CN51" s="82">
        <v>42730</v>
      </c>
      <c r="CO51" s="161">
        <v>42747</v>
      </c>
      <c r="CP51" s="81">
        <v>42611</v>
      </c>
      <c r="CQ51" s="366" t="s">
        <v>960</v>
      </c>
      <c r="CR51" s="81">
        <v>42683</v>
      </c>
      <c r="CS51" s="162">
        <v>42683</v>
      </c>
      <c r="CT51" s="81">
        <v>42599</v>
      </c>
      <c r="CU51" s="365">
        <v>42636</v>
      </c>
      <c r="CV51" s="80">
        <v>42725</v>
      </c>
      <c r="CW51" s="162">
        <v>42753</v>
      </c>
      <c r="CX51" s="81">
        <v>42600</v>
      </c>
      <c r="CY51" s="366">
        <v>42703</v>
      </c>
      <c r="CZ51" s="81">
        <v>42717</v>
      </c>
      <c r="DA51" s="162">
        <v>42719</v>
      </c>
      <c r="DB51" s="296" t="s">
        <v>88</v>
      </c>
      <c r="DC51" s="300"/>
      <c r="DD51" s="296"/>
      <c r="DE51" s="304">
        <v>42600</v>
      </c>
      <c r="DF51" s="296" t="s">
        <v>781</v>
      </c>
      <c r="DG51" s="296"/>
      <c r="DH51" s="299" t="s">
        <v>795</v>
      </c>
      <c r="DI51" s="296"/>
      <c r="DJ51" s="296"/>
      <c r="DK51" s="575">
        <v>42514</v>
      </c>
      <c r="DL51" s="573" t="s">
        <v>797</v>
      </c>
      <c r="DM51" s="298" t="s">
        <v>963</v>
      </c>
      <c r="DN51" s="574" t="s">
        <v>178</v>
      </c>
      <c r="DO51" s="573" t="s">
        <v>777</v>
      </c>
      <c r="DP51" s="573" t="s">
        <v>178</v>
      </c>
      <c r="DQ51" s="304" t="s">
        <v>964</v>
      </c>
      <c r="DR51" s="443"/>
      <c r="DS51" s="443"/>
      <c r="DT51" s="297"/>
      <c r="DU51" s="304" t="e">
        <f>DATE(YEAR(DQ51),MONTH(DQ51)+18,DAY(DQ51))</f>
        <v>#VALUE!</v>
      </c>
      <c r="DV51" s="443"/>
      <c r="DW51" s="443"/>
      <c r="DX51" s="423"/>
      <c r="DY51" s="423"/>
      <c r="DZ51" s="423"/>
      <c r="EA51" s="434">
        <v>42931</v>
      </c>
      <c r="EB51" s="423"/>
      <c r="EC51" s="430">
        <v>16</v>
      </c>
      <c r="ED51" s="430">
        <f>EC51+2</f>
        <v>18</v>
      </c>
      <c r="EE51" s="422">
        <f>DATEDIF(EA51,EN51,"M")</f>
        <v>16</v>
      </c>
      <c r="EF51" s="422">
        <f>DATEDIF(EA51,EV51,"M")</f>
        <v>17</v>
      </c>
      <c r="EG51" s="422">
        <f>EE51-EC51</f>
        <v>0</v>
      </c>
      <c r="EH51" s="422"/>
      <c r="EI51" s="431"/>
      <c r="EJ51" s="431"/>
      <c r="EK51" s="423"/>
      <c r="EL51" s="423"/>
      <c r="EM51" s="423"/>
      <c r="EN51" s="210">
        <f>DATE(YEAR(EA51),MONTH(EA51)+EC51,DAY(EA51))</f>
        <v>43419</v>
      </c>
      <c r="EO51" s="210">
        <f>DATE(YEAR(DV51)+2,MONTH(DV51),DAY(DV51))</f>
        <v>731</v>
      </c>
      <c r="EP51" s="423"/>
      <c r="EQ51" s="423"/>
      <c r="ER51" s="423"/>
      <c r="ES51" s="423"/>
      <c r="ET51" s="423"/>
      <c r="EU51" s="334">
        <f>DATE(YEAR(EN51),MONTH(EN51)+1,DAY(EN51))</f>
        <v>43449</v>
      </c>
      <c r="EV51" s="206">
        <f>EU51</f>
        <v>43449</v>
      </c>
      <c r="EW51" s="206"/>
      <c r="EX51" s="209"/>
      <c r="EY51" s="434"/>
      <c r="EZ51" s="218"/>
      <c r="FA51" s="218"/>
      <c r="FB51" s="218"/>
      <c r="FC51" s="218"/>
      <c r="FD51" s="111"/>
      <c r="FE51" s="111"/>
      <c r="FF51" s="111"/>
      <c r="FG51" s="111"/>
      <c r="FH51" s="111"/>
      <c r="FI51" s="111"/>
      <c r="FJ51" s="111"/>
      <c r="FK51" s="111"/>
      <c r="FL51" s="111"/>
      <c r="FM51" s="111"/>
      <c r="FN51" s="111"/>
      <c r="FO51" s="111"/>
      <c r="FP51" s="195"/>
      <c r="FQ51" s="23">
        <f>GA51+GE51+GL51</f>
        <v>2660388.3050338021</v>
      </c>
      <c r="FR51" s="24">
        <f>GB51+GF51+GK51+GM51+GQ51+HF51</f>
        <v>1495582.7493315674</v>
      </c>
      <c r="FS51" s="25">
        <f>FR51-FQ51</f>
        <v>-1164805.5557022346</v>
      </c>
      <c r="FT51" s="50">
        <f>FR51/AG51</f>
        <v>1223.7008863928122</v>
      </c>
      <c r="FU51" s="50">
        <f>FR51/AD51</f>
        <v>78714.881543766707</v>
      </c>
      <c r="FV51" s="23">
        <v>2613042.4974093148</v>
      </c>
      <c r="FW51" s="24">
        <v>1858695.408962426</v>
      </c>
      <c r="FX51" s="25">
        <f>FW51-FV51</f>
        <v>-754347.08844688884</v>
      </c>
      <c r="FY51" s="231">
        <f>FW51*1.021/FR51</f>
        <v>1.2688886745977803</v>
      </c>
      <c r="FZ51" s="234">
        <v>0.39772600000000002</v>
      </c>
      <c r="GA51" s="23">
        <v>780309.39272020268</v>
      </c>
      <c r="GB51" s="24">
        <v>771141</v>
      </c>
      <c r="GC51" s="50">
        <f>GB51/AD51</f>
        <v>40586.368421052633</v>
      </c>
      <c r="GD51" s="73">
        <f>GB51-GA51</f>
        <v>-9168.3927202026825</v>
      </c>
      <c r="GE51" s="23">
        <v>1460078.9123135994</v>
      </c>
      <c r="GF51" s="24">
        <f>SUBTOTAL(9,GG51:GH51)</f>
        <v>0</v>
      </c>
      <c r="GG51" s="26">
        <v>307278</v>
      </c>
      <c r="GH51" s="26">
        <v>1052044</v>
      </c>
      <c r="GI51" s="73">
        <f>GF51-GE51</f>
        <v>-1460078.9123135994</v>
      </c>
      <c r="GJ51" s="50">
        <f>GF51/AD51</f>
        <v>0</v>
      </c>
      <c r="GK51" s="24"/>
      <c r="GL51" s="49">
        <v>420000</v>
      </c>
      <c r="GM51" s="24">
        <v>420000</v>
      </c>
      <c r="GN51" s="124"/>
      <c r="GO51" s="76">
        <f>GM51/FR51</f>
        <v>0.28082698880266832</v>
      </c>
      <c r="GP51" s="590"/>
      <c r="GQ51" s="24">
        <v>16912</v>
      </c>
      <c r="GR51" s="51">
        <f>GM51-GL51</f>
        <v>0</v>
      </c>
      <c r="GS51" s="50">
        <f>GM51/AD51</f>
        <v>22105.263157894737</v>
      </c>
      <c r="GT51" s="138">
        <f>(GB51+GM51)/AD51</f>
        <v>62691.631578947367</v>
      </c>
      <c r="GU51" s="51">
        <f>GR51/AD51</f>
        <v>0</v>
      </c>
      <c r="GV51" s="97">
        <v>5.65</v>
      </c>
      <c r="GW51" s="97">
        <v>5.65</v>
      </c>
      <c r="GX51" s="75">
        <v>510850.13361374999</v>
      </c>
      <c r="GY51" s="75">
        <v>380000</v>
      </c>
      <c r="GZ51" s="50">
        <f>(GB51+GM51+GY51)/AD51</f>
        <v>82691.631578947374</v>
      </c>
      <c r="HA51" s="75">
        <v>0</v>
      </c>
      <c r="HB51" s="50">
        <f>(GB51+GM51+GY51+HA51)/AD51</f>
        <v>82691.631578947374</v>
      </c>
      <c r="HC51" s="99">
        <f>(GB51+GM51+GY51+HA51)/(GX51+FR51-HD51)</f>
        <v>0.82914939711624391</v>
      </c>
      <c r="HD51" s="75">
        <v>111550</v>
      </c>
      <c r="HE51" s="75"/>
      <c r="HF51" s="631">
        <v>287529.74933156744</v>
      </c>
      <c r="HG51" s="77">
        <f>FR51+GX51</f>
        <v>2006432.8829453173</v>
      </c>
      <c r="HH51" s="491">
        <v>139200</v>
      </c>
      <c r="HI51" s="491">
        <f>HK51+ID51+IH51+IS51+JD51+JT51+JV51</f>
        <v>90480</v>
      </c>
      <c r="HJ51" s="494">
        <v>41992</v>
      </c>
      <c r="HK51" s="491">
        <v>13467</v>
      </c>
      <c r="HL51" s="415">
        <v>41977</v>
      </c>
      <c r="HM51" s="415">
        <f>DATE(YEAR(HL51),MONTH(HL51),DAY(HL51)+21)</f>
        <v>41998</v>
      </c>
      <c r="HN51" s="415">
        <v>41988</v>
      </c>
      <c r="HO51" s="497">
        <f>IF(AND(HM51&gt;0,HN51&gt;0),HN51-HM51,"0")</f>
        <v>-10</v>
      </c>
      <c r="HP51" s="415">
        <v>42026</v>
      </c>
      <c r="HQ51" s="481">
        <f>IF(AND(HN51&gt;0,HP51&gt;0),HP51-HN51,"0")</f>
        <v>38</v>
      </c>
      <c r="HR51" s="497">
        <f>+HQ51-30</f>
        <v>8</v>
      </c>
      <c r="HS51" s="506">
        <f>IF(AND(HL51&gt;0,HP51&gt;0),HP51-HL51,"0")</f>
        <v>49</v>
      </c>
      <c r="HT51" s="415">
        <v>42026</v>
      </c>
      <c r="HU51" s="497">
        <f>IF(AND(HP51&gt;0,HT51&gt;0),HT51-HP51,"0")</f>
        <v>0</v>
      </c>
      <c r="HV51" s="415">
        <f>DATE(YEAR(HT51),MONTH(HT51),DAY(HT51)+21)</f>
        <v>42047</v>
      </c>
      <c r="HW51" s="415">
        <v>42061</v>
      </c>
      <c r="HX51" s="497">
        <f>IF(AND(HV51&gt;0,HW51&gt;0),HW51-HV51,"0")</f>
        <v>14</v>
      </c>
      <c r="HY51" s="415">
        <v>42079</v>
      </c>
      <c r="HZ51" s="481">
        <f>IF(AND(HW51&gt;0,HY51&gt;0),HY51-HW51,"0")</f>
        <v>18</v>
      </c>
      <c r="IA51" s="497">
        <f>+HZ51-30</f>
        <v>-12</v>
      </c>
      <c r="IB51" s="506">
        <f>IF(AND(HT51&gt;0,HY51&gt;0),HY51-HT51,"0")</f>
        <v>53</v>
      </c>
      <c r="IC51" s="490">
        <v>42082</v>
      </c>
      <c r="ID51" s="491">
        <v>4987</v>
      </c>
      <c r="IE51" s="415"/>
      <c r="IF51" s="415">
        <v>42041</v>
      </c>
      <c r="IG51" s="494">
        <v>41764</v>
      </c>
      <c r="IH51" s="491">
        <v>14412</v>
      </c>
      <c r="II51" s="347">
        <v>42079</v>
      </c>
      <c r="IJ51" s="497">
        <f>IF(AND(HY51&gt;0,II51&gt;0),II51-HY51,"0")</f>
        <v>0</v>
      </c>
      <c r="IK51" s="347">
        <f>DATE(YEAR(II51),MONTH(II51),DAY(II51)+30)</f>
        <v>42109</v>
      </c>
      <c r="IL51" s="347">
        <v>42135</v>
      </c>
      <c r="IM51" s="497">
        <f>IF(AND(IK51&gt;0,IL51&gt;0),IL51-IK51,"0")</f>
        <v>26</v>
      </c>
      <c r="IN51" s="347">
        <v>42177</v>
      </c>
      <c r="IO51" s="481">
        <f>IF(AND(IL51&gt;0,IN51&gt;0),IN51-IL51,"0")</f>
        <v>42</v>
      </c>
      <c r="IP51" s="497">
        <f>+IO51-30</f>
        <v>12</v>
      </c>
      <c r="IQ51" s="506">
        <f>IF(AND(II51&gt;0,IN51&gt;0),IN51-II51,"0")</f>
        <v>98</v>
      </c>
      <c r="IR51" s="490">
        <v>42247</v>
      </c>
      <c r="IS51" s="491">
        <v>13125</v>
      </c>
      <c r="IT51" s="347">
        <v>42352</v>
      </c>
      <c r="IU51" s="498">
        <f>IF(AND(IN51&gt;0,IT51&gt;0),IT51-IN51,"0")</f>
        <v>175</v>
      </c>
      <c r="IV51" s="347">
        <f>DATE(YEAR(IT51),MONTH(IT51),DAY(IT51)+30)</f>
        <v>42382</v>
      </c>
      <c r="IW51" s="347">
        <v>42426</v>
      </c>
      <c r="IX51" s="498">
        <f>IF(AND(IV51&gt;0,IW51&gt;0),IW51-IV51,"0")</f>
        <v>44</v>
      </c>
      <c r="IY51" s="347">
        <v>42444</v>
      </c>
      <c r="IZ51" s="482">
        <f>IF(AND(IW51&gt;0,IY51&gt;0),IY51-IW51,"0")</f>
        <v>18</v>
      </c>
      <c r="JA51" s="498">
        <f>IZ51-30</f>
        <v>-12</v>
      </c>
      <c r="JB51" s="508">
        <f>IF(AND(IT51&gt;0,IY51&gt;0),IY51-IT51,"0")</f>
        <v>92</v>
      </c>
      <c r="JC51" s="490">
        <v>42487</v>
      </c>
      <c r="JD51" s="491">
        <v>26102</v>
      </c>
      <c r="JE51" s="347">
        <v>42444</v>
      </c>
      <c r="JF51" s="487">
        <f>IF(AND(IY51&gt;0,JE51&gt;0),JE51-IY51,"0")</f>
        <v>0</v>
      </c>
      <c r="JG51" s="347">
        <f>DATE(YEAR(JE51),MONTH(JE51),DAY(JE51)+15)</f>
        <v>42459</v>
      </c>
      <c r="JH51" s="347">
        <v>42466</v>
      </c>
      <c r="JI51" s="487">
        <f>IF(AND(JG51&gt;0,JH51&gt;0),JH51-JG51,"0")</f>
        <v>7</v>
      </c>
      <c r="JJ51" s="347">
        <f>DATE(YEAR(JH51),MONTH(JH51),DAY(JH51)+15)</f>
        <v>42481</v>
      </c>
      <c r="JK51" s="347">
        <v>42468</v>
      </c>
      <c r="JL51" s="487">
        <f>IF(AND(JJ51&gt;0,JK51&gt;0),JK51-JJ51,"0")</f>
        <v>-13</v>
      </c>
      <c r="JM51" s="509">
        <f>IF(AND(JE51&gt;0,JK51&gt;0),JK51-JE51,"0")</f>
        <v>24</v>
      </c>
      <c r="JN51" s="347">
        <v>42514</v>
      </c>
      <c r="JO51" s="501">
        <f>IF(AND(JK51&gt;0,JN51&gt;0),JN51-JK51,"0")</f>
        <v>46</v>
      </c>
      <c r="JP51" s="498">
        <f>JO51-60</f>
        <v>-14</v>
      </c>
      <c r="JQ51" s="482">
        <f>291/30</f>
        <v>9.6999999999999993</v>
      </c>
      <c r="JR51" s="504">
        <f>((+HS51+HU51+IB51+IJ51+IQ51+IU51+JB51+JI51+JF51)/30)-JQ51</f>
        <v>6.1000000000000014</v>
      </c>
      <c r="JS51" s="490">
        <v>42726</v>
      </c>
      <c r="JT51" s="491"/>
      <c r="JU51" s="490">
        <v>42726</v>
      </c>
      <c r="JV51" s="491">
        <v>18387</v>
      </c>
      <c r="JW51" s="586"/>
      <c r="JX51" s="586"/>
      <c r="JY51" s="586"/>
      <c r="JZ51" s="586"/>
    </row>
    <row r="52" spans="1:286" ht="67.5" hidden="1" customHeight="1" x14ac:dyDescent="0.25">
      <c r="A52" s="19" t="s">
        <v>571</v>
      </c>
      <c r="B52" s="20" t="s">
        <v>46</v>
      </c>
      <c r="C52" s="20" t="s">
        <v>157</v>
      </c>
      <c r="D52" s="20">
        <v>2016</v>
      </c>
      <c r="E52" s="20" t="s">
        <v>447</v>
      </c>
      <c r="F52" s="20" t="s">
        <v>630</v>
      </c>
      <c r="G52" s="20" t="s">
        <v>278</v>
      </c>
      <c r="H52" s="20" t="s">
        <v>1042</v>
      </c>
      <c r="I52" s="110"/>
      <c r="J52" s="110" t="s">
        <v>520</v>
      </c>
      <c r="K52" s="453" t="s">
        <v>945</v>
      </c>
      <c r="L52" s="303"/>
      <c r="M52" s="190"/>
      <c r="N52" s="191"/>
      <c r="O52" s="379">
        <v>785</v>
      </c>
      <c r="P52" s="379">
        <v>550000</v>
      </c>
      <c r="Q52" s="379">
        <v>55000</v>
      </c>
      <c r="R52" s="379">
        <f>P52/AD52</f>
        <v>25000</v>
      </c>
      <c r="S52" s="379">
        <f>P52/O52</f>
        <v>700.63694267515928</v>
      </c>
      <c r="T52" s="387">
        <f>Q52/O52</f>
        <v>70.063694267515928</v>
      </c>
      <c r="U52" s="387">
        <f>Q52/AH52</f>
        <v>32.566153700403227</v>
      </c>
      <c r="V52" s="387">
        <f>Q52/AD52</f>
        <v>2500</v>
      </c>
      <c r="W52" s="379">
        <f>O52/AD52</f>
        <v>35.68181818181818</v>
      </c>
      <c r="X52" s="380"/>
      <c r="Y52" s="390">
        <f>AH52/O52</f>
        <v>2.1514267515923566</v>
      </c>
      <c r="Z52" s="380" t="s">
        <v>328</v>
      </c>
      <c r="AA52" s="382">
        <v>500</v>
      </c>
      <c r="AB52" s="383"/>
      <c r="AC52" s="20" t="s">
        <v>26</v>
      </c>
      <c r="AD52" s="640">
        <f>AE52+AF52</f>
        <v>22</v>
      </c>
      <c r="AE52" s="21"/>
      <c r="AF52" s="20">
        <v>22</v>
      </c>
      <c r="AG52" s="22"/>
      <c r="AH52" s="401">
        <v>1688.87</v>
      </c>
      <c r="AI52" s="22">
        <v>1746</v>
      </c>
      <c r="AJ52" s="135"/>
      <c r="AK52" s="135">
        <f>10/AD52</f>
        <v>0.45454545454545453</v>
      </c>
      <c r="AL52" s="135">
        <f>6/AD52</f>
        <v>0.27272727272727271</v>
      </c>
      <c r="AM52" s="135">
        <f>5/AD52</f>
        <v>0.22727272727272727</v>
      </c>
      <c r="AN52" s="135">
        <f>1/AD52</f>
        <v>4.5454545454545456E-2</v>
      </c>
      <c r="AO52" s="22"/>
      <c r="AP52" s="133">
        <v>0</v>
      </c>
      <c r="AQ52" s="135">
        <v>0</v>
      </c>
      <c r="AR52" s="114">
        <v>7</v>
      </c>
      <c r="AS52" s="20">
        <v>2</v>
      </c>
      <c r="AT52" s="110"/>
      <c r="AU52" s="110"/>
      <c r="AV52" s="20" t="s">
        <v>168</v>
      </c>
      <c r="AW52" s="415">
        <v>42388</v>
      </c>
      <c r="AX52" s="415">
        <v>42396</v>
      </c>
      <c r="AY52" s="415">
        <v>42475</v>
      </c>
      <c r="AZ52" s="415">
        <v>42481</v>
      </c>
      <c r="BA52" s="415" t="s">
        <v>754</v>
      </c>
      <c r="BB52" s="415" t="s">
        <v>758</v>
      </c>
      <c r="BC52" s="415" t="s">
        <v>757</v>
      </c>
      <c r="BD52" s="332"/>
      <c r="BE52" s="415">
        <v>42499</v>
      </c>
      <c r="BF52" s="415">
        <v>42513</v>
      </c>
      <c r="BG52" s="415">
        <v>42544</v>
      </c>
      <c r="BH52" s="415">
        <v>42587</v>
      </c>
      <c r="BI52" s="110"/>
      <c r="BJ52" s="110"/>
      <c r="BK52" s="110"/>
      <c r="BL52" s="110"/>
      <c r="BM52" s="110"/>
      <c r="BN52" s="194"/>
      <c r="BO52" s="194"/>
      <c r="BP52" s="196"/>
      <c r="BQ52" s="194"/>
      <c r="BR52" s="194"/>
      <c r="BS52" s="194"/>
      <c r="BT52" s="67"/>
      <c r="BU52" s="160">
        <v>42606</v>
      </c>
      <c r="BV52" s="160">
        <v>42646</v>
      </c>
      <c r="BW52" s="160">
        <v>42614</v>
      </c>
      <c r="BX52" s="160" t="s">
        <v>230</v>
      </c>
      <c r="BY52" s="160" t="s">
        <v>230</v>
      </c>
      <c r="BZ52" s="376" t="s">
        <v>230</v>
      </c>
      <c r="CA52" s="160" t="s">
        <v>230</v>
      </c>
      <c r="CB52" s="301"/>
      <c r="CC52" s="372"/>
      <c r="CD52" s="302"/>
      <c r="CE52" s="302"/>
      <c r="CF52" s="161"/>
      <c r="CG52" s="336">
        <f>DATE(YEAR(CF52),MONTH(CF52)+24,DAY(CF52))</f>
        <v>731</v>
      </c>
      <c r="CH52" s="336">
        <f>DATE(YEAR(CF52),MONTH(CF52)+36,DAY(CF52))</f>
        <v>1096</v>
      </c>
      <c r="CI52" s="336"/>
      <c r="CJ52" s="301"/>
      <c r="CK52" s="306"/>
      <c r="CL52" s="82"/>
      <c r="CM52" s="371"/>
      <c r="CN52" s="82"/>
      <c r="CO52" s="161"/>
      <c r="CP52" s="81"/>
      <c r="CQ52" s="365"/>
      <c r="CR52" s="81"/>
      <c r="CS52" s="162"/>
      <c r="CT52" s="81"/>
      <c r="CU52" s="365"/>
      <c r="CV52" s="81"/>
      <c r="CW52" s="162"/>
      <c r="CX52" s="81"/>
      <c r="CY52" s="367"/>
      <c r="CZ52" s="81"/>
      <c r="DA52" s="162"/>
      <c r="DB52" s="296"/>
      <c r="DC52" s="296"/>
      <c r="DD52" s="296"/>
      <c r="DE52" s="291"/>
      <c r="DF52" s="291"/>
      <c r="DG52" s="291"/>
      <c r="DH52" s="312"/>
      <c r="DI52" s="291"/>
      <c r="DJ52" s="291"/>
      <c r="DK52" s="292"/>
      <c r="DL52" s="293"/>
      <c r="DM52" s="293"/>
      <c r="DN52" s="292"/>
      <c r="DO52" s="292"/>
      <c r="DP52" s="293"/>
      <c r="DQ52" s="304"/>
      <c r="DR52" s="443"/>
      <c r="DS52" s="443"/>
      <c r="DT52" s="297"/>
      <c r="DU52" s="304">
        <f>DATE(YEAR(DQ52),MONTH(DQ52)+18,DAY(DQ52))</f>
        <v>547</v>
      </c>
      <c r="DV52" s="443"/>
      <c r="DW52" s="443"/>
      <c r="DX52" s="423"/>
      <c r="DY52" s="423"/>
      <c r="DZ52" s="423"/>
      <c r="EA52" s="434">
        <v>43040</v>
      </c>
      <c r="EB52" s="423"/>
      <c r="EC52" s="430">
        <v>16</v>
      </c>
      <c r="ED52" s="430">
        <f>EC52+2</f>
        <v>18</v>
      </c>
      <c r="EE52" s="422">
        <f>DATEDIF(EA52,EN52,"M")</f>
        <v>16</v>
      </c>
      <c r="EF52" s="422">
        <f>DATEDIF(EA52,EV52,"M")</f>
        <v>17</v>
      </c>
      <c r="EG52" s="422">
        <f>EE52-EC52</f>
        <v>0</v>
      </c>
      <c r="EH52" s="422"/>
      <c r="EI52" s="431"/>
      <c r="EJ52" s="431"/>
      <c r="EK52" s="423"/>
      <c r="EL52" s="423"/>
      <c r="EM52" s="423"/>
      <c r="EN52" s="210">
        <f>DATE(YEAR(EA52),MONTH(EA52)+EC52,DAY(EA52))</f>
        <v>43525</v>
      </c>
      <c r="EO52" s="210">
        <f>DATE(YEAR(DV52)+2,MONTH(DV52),DAY(DV52))</f>
        <v>731</v>
      </c>
      <c r="EP52" s="423"/>
      <c r="EQ52" s="423"/>
      <c r="ER52" s="423"/>
      <c r="ES52" s="423"/>
      <c r="ET52" s="423"/>
      <c r="EU52" s="210">
        <f>DATE(YEAR(EN52),MONTH(EN52)+1,DAY(EN52))</f>
        <v>43556</v>
      </c>
      <c r="EV52" s="206">
        <f>EU52</f>
        <v>43556</v>
      </c>
      <c r="EW52" s="484"/>
      <c r="EX52" s="209"/>
      <c r="EY52" s="434"/>
      <c r="EZ52" s="212"/>
      <c r="FA52" s="212"/>
      <c r="FB52" s="212"/>
      <c r="FC52" s="212"/>
      <c r="FD52" s="110"/>
      <c r="FE52" s="110"/>
      <c r="FF52" s="110"/>
      <c r="FG52" s="110"/>
      <c r="FH52" s="110"/>
      <c r="FI52" s="110"/>
      <c r="FJ52" s="110"/>
      <c r="FK52" s="110"/>
      <c r="FL52" s="110"/>
      <c r="FM52" s="110"/>
      <c r="FN52" s="110"/>
      <c r="FO52" s="110"/>
      <c r="FP52" s="195"/>
      <c r="FQ52" s="23">
        <f>+GA52+GE52+GL52+HF52</f>
        <v>3709176.2725294223</v>
      </c>
      <c r="FR52" s="559">
        <f>GB52+GF52+GK52+GM52+GQ52</f>
        <v>3552911</v>
      </c>
      <c r="FS52" s="25">
        <f>FR52-FQ52</f>
        <v>-156265.27252942231</v>
      </c>
      <c r="FT52" s="50" t="e">
        <f>FR52/AG52</f>
        <v>#DIV/0!</v>
      </c>
      <c r="FU52" s="50">
        <f>FR52/AD52</f>
        <v>161495.95454545456</v>
      </c>
      <c r="FV52" s="23">
        <v>3142057.6116279075</v>
      </c>
      <c r="FW52" s="24">
        <v>3087171</v>
      </c>
      <c r="FX52" s="25">
        <f>FW52-FV52</f>
        <v>-54886.611627907492</v>
      </c>
      <c r="FY52" s="231">
        <f>FW52*1.021/FR52</f>
        <v>0.88716030066612972</v>
      </c>
      <c r="FZ52" s="234">
        <v>0.4</v>
      </c>
      <c r="GA52" s="23">
        <v>1117146.8818248713</v>
      </c>
      <c r="GB52" s="24">
        <v>1092923</v>
      </c>
      <c r="GC52" s="50">
        <f>GB52/AD52</f>
        <v>49678.318181818184</v>
      </c>
      <c r="GD52" s="73">
        <f>GB52-GA52</f>
        <v>-24223.881824871292</v>
      </c>
      <c r="GE52" s="23">
        <v>2192029.3907045508</v>
      </c>
      <c r="GF52" s="24">
        <f>GG52+GH52</f>
        <v>2059988</v>
      </c>
      <c r="GG52" s="26">
        <v>422810</v>
      </c>
      <c r="GH52" s="26">
        <v>1637178</v>
      </c>
      <c r="GI52" s="73">
        <f>GF52-GE52</f>
        <v>-132041.39070455078</v>
      </c>
      <c r="GJ52" s="50">
        <f>GF52/AD52</f>
        <v>93635.818181818177</v>
      </c>
      <c r="GK52" s="24"/>
      <c r="GL52" s="23">
        <v>400000</v>
      </c>
      <c r="GM52" s="559">
        <f>GL52</f>
        <v>400000</v>
      </c>
      <c r="GN52" s="124"/>
      <c r="GO52" s="76">
        <f>GL52/FQ52</f>
        <v>0.1078406553396896</v>
      </c>
      <c r="GP52" s="590"/>
      <c r="GQ52" s="24"/>
      <c r="GR52" s="51">
        <f>GM52-GL52</f>
        <v>0</v>
      </c>
      <c r="GS52" s="50">
        <f>GL52/AD52</f>
        <v>18181.81818181818</v>
      </c>
      <c r="GT52" s="138">
        <f>(GB52+GM52)/AD52</f>
        <v>67860.136363636368</v>
      </c>
      <c r="GU52" s="51">
        <f>GR52/AD52</f>
        <v>0</v>
      </c>
      <c r="GV52" s="97">
        <v>5.32</v>
      </c>
      <c r="GW52" s="97">
        <v>5.29</v>
      </c>
      <c r="GX52" s="75"/>
      <c r="GY52" s="75"/>
      <c r="GZ52" s="50">
        <f>(GA52+GL52+GY52)/AD52</f>
        <v>68961.221901130513</v>
      </c>
      <c r="HA52" s="75"/>
      <c r="HB52" s="50">
        <f>(GB52+GM52+GY52+HA52)/AD52</f>
        <v>67860.136363636368</v>
      </c>
      <c r="HC52" s="99">
        <f>(GA52+GL52+GY52+HA52)/(GX52+FQ52-HD52)</f>
        <v>0.40902528495640184</v>
      </c>
      <c r="HD52" s="75"/>
      <c r="HE52" s="75"/>
      <c r="HF52" s="24"/>
      <c r="HG52" s="77">
        <f>FQ52+GX52</f>
        <v>3709176.2725294223</v>
      </c>
      <c r="HH52" s="491">
        <f>3675224*5%</f>
        <v>183761.2</v>
      </c>
      <c r="HI52" s="491">
        <f>HK52+ID52+IH52+IS52</f>
        <v>60641</v>
      </c>
      <c r="HJ52" s="494">
        <v>42429</v>
      </c>
      <c r="HK52" s="491"/>
      <c r="HL52" s="415">
        <v>42331</v>
      </c>
      <c r="HM52" s="415">
        <f>DATE(YEAR(HL52),MONTH(HL52),DAY(HL52)+21)</f>
        <v>42352</v>
      </c>
      <c r="HN52" s="415">
        <v>42382</v>
      </c>
      <c r="HO52" s="497">
        <f>IF(AND(HM52&gt;0,HN52&gt;0),HN52-HM52,"0")</f>
        <v>30</v>
      </c>
      <c r="HP52" s="415">
        <v>42387</v>
      </c>
      <c r="HQ52" s="481">
        <f>IF(AND(HN52&gt;0,HP52&gt;0),HP52-HN52,"0")</f>
        <v>5</v>
      </c>
      <c r="HR52" s="497">
        <f>+HQ52-30</f>
        <v>-25</v>
      </c>
      <c r="HS52" s="506">
        <f>IF(AND(HL52&gt;0,HP52&gt;0),HP52-HL52,"0")</f>
        <v>56</v>
      </c>
      <c r="HT52" s="415">
        <v>42387</v>
      </c>
      <c r="HU52" s="497">
        <f>IF(AND(HP52&gt;0,HT52&gt;0),HT52-HP52,"0")</f>
        <v>0</v>
      </c>
      <c r="HV52" s="415">
        <f>DATE(YEAR(HT52),MONTH(HT52),DAY(HT52)+21)</f>
        <v>42408</v>
      </c>
      <c r="HW52" s="415">
        <v>42423</v>
      </c>
      <c r="HX52" s="497">
        <f>IF(AND(HV52&gt;0,HW52&gt;0),HW52-HV52,"0")</f>
        <v>15</v>
      </c>
      <c r="HY52" s="415">
        <v>42598</v>
      </c>
      <c r="HZ52" s="481">
        <f>IF(AND(HW52&gt;0,HY52&gt;0),HY52-HW52,"0")</f>
        <v>175</v>
      </c>
      <c r="IA52" s="497">
        <f>+HZ52-30</f>
        <v>145</v>
      </c>
      <c r="IB52" s="506">
        <f>IF(AND(HT52&gt;0,HY52&gt;0),HY52-HT52,"0")</f>
        <v>211</v>
      </c>
      <c r="IC52" s="490">
        <v>42605</v>
      </c>
      <c r="ID52" s="491">
        <v>8765</v>
      </c>
      <c r="IE52" s="415"/>
      <c r="IF52" s="415">
        <v>42415</v>
      </c>
      <c r="IG52" s="494">
        <v>42429</v>
      </c>
      <c r="IH52" s="491">
        <v>36701</v>
      </c>
      <c r="II52" s="414">
        <v>42598</v>
      </c>
      <c r="IJ52" s="497">
        <f>IF(AND(HY52&gt;0,II52&gt;0),II52-HY52,"0")</f>
        <v>0</v>
      </c>
      <c r="IK52" s="414">
        <f>DATE(YEAR(II52),MONTH(II52),DAY(II52)+30)</f>
        <v>42628</v>
      </c>
      <c r="IL52" s="414">
        <v>42646</v>
      </c>
      <c r="IM52" s="497">
        <f>IF(AND(IK52&gt;0,IL52&gt;0),IL52-IK52,"0")</f>
        <v>18</v>
      </c>
      <c r="IN52" s="414">
        <v>42748</v>
      </c>
      <c r="IO52" s="481">
        <f>IF(AND(IL52&gt;0,IN52&gt;0),IN52-IL52,"0")</f>
        <v>102</v>
      </c>
      <c r="IP52" s="497">
        <f>+IO52-30</f>
        <v>72</v>
      </c>
      <c r="IQ52" s="506">
        <f>IF(AND(II52&gt;0,IN52&gt;0),IN52-II52,"0")</f>
        <v>150</v>
      </c>
      <c r="IR52" s="490">
        <v>42716</v>
      </c>
      <c r="IS52" s="511">
        <v>15175</v>
      </c>
      <c r="IT52" s="414">
        <v>42772</v>
      </c>
      <c r="IU52" s="498">
        <f>IF(AND(IN52&gt;0,IT52&gt;0),IT52-IN52,"0")</f>
        <v>24</v>
      </c>
      <c r="IV52" s="206">
        <f>DATE(YEAR(IT52),MONTH(IT52),DAY(IT52)+30)</f>
        <v>42802</v>
      </c>
      <c r="IW52" s="206">
        <f ca="1">IF(IV52&lt;TODAY(),TODAY(),IV52)</f>
        <v>42802</v>
      </c>
      <c r="IX52" s="498">
        <f ca="1">IF(AND(IV52&gt;0,IW52&gt;0),IW52-IV52,"0")</f>
        <v>0</v>
      </c>
      <c r="IY52" s="206">
        <f ca="1">DATE(YEAR(IW52),MONTH(IW52),DAY(IW52)+30)</f>
        <v>42832</v>
      </c>
      <c r="IZ52" s="482">
        <f ca="1">IF(AND(IW52&gt;0,IY52&gt;0),IY52-IW52,"0")</f>
        <v>30</v>
      </c>
      <c r="JA52" s="498">
        <f ca="1">IZ52-30</f>
        <v>0</v>
      </c>
      <c r="JB52" s="508">
        <f ca="1">IF(AND(IT52&gt;0,IY52&gt;0),IY52-IT52,"0")</f>
        <v>60</v>
      </c>
      <c r="JC52" s="490"/>
      <c r="JD52" s="505">
        <f>$JD$1*HH52</f>
        <v>27564.18</v>
      </c>
      <c r="JE52" s="502">
        <f ca="1">IY52</f>
        <v>42832</v>
      </c>
      <c r="JF52" s="487">
        <f ca="1">IF(AND(IY52&gt;0,JE52&gt;0),JE52-IY52,"0")</f>
        <v>0</v>
      </c>
      <c r="JG52" s="502">
        <f ca="1">DATE(YEAR(JE52),MONTH(JE52),DAY(JE52)+15)</f>
        <v>42847</v>
      </c>
      <c r="JH52" s="502">
        <f ca="1">IF(JG52&lt;TODAY(),TODAY(),JG52)</f>
        <v>42847</v>
      </c>
      <c r="JI52" s="487">
        <f ca="1">IF(AND(JG52&gt;0,JH52&gt;0),JH52-JG52,"0")</f>
        <v>0</v>
      </c>
      <c r="JJ52" s="502">
        <f ca="1">DATE(YEAR(JH52),MONTH(JH52),DAY(JH52)+45)</f>
        <v>42892</v>
      </c>
      <c r="JK52" s="502">
        <f ca="1">JJ52</f>
        <v>42892</v>
      </c>
      <c r="JL52" s="487">
        <f ca="1">IF(AND(JJ52&gt;0,JK52&gt;0),JK52-JJ52,"0")</f>
        <v>0</v>
      </c>
      <c r="JM52" s="509">
        <f ca="1">IF(AND(JE52&gt;0,JK52&gt;0),JK52-JE52,"0")</f>
        <v>60</v>
      </c>
      <c r="JN52" s="502">
        <f ca="1">DATE(YEAR(JK52),MONTH(JK52),DAY(JK52)+60)</f>
        <v>42952</v>
      </c>
      <c r="JO52" s="501">
        <f ca="1">IF(AND(JK52&gt;0,JN52&gt;0),JN52-JK52,"0")</f>
        <v>60</v>
      </c>
      <c r="JP52" s="498">
        <f ca="1">JO52-60</f>
        <v>0</v>
      </c>
      <c r="JQ52" s="482">
        <f>291/30</f>
        <v>9.6999999999999993</v>
      </c>
      <c r="JR52" s="504">
        <f ca="1">((+HS52+HU52+IB52+IJ52+IQ52+IU52+JB52+JM52+JF52)/30)-JQ52</f>
        <v>9</v>
      </c>
      <c r="JS52" s="490"/>
      <c r="JT52" s="491"/>
      <c r="JU52" s="490"/>
      <c r="JV52" s="491"/>
      <c r="JW52" s="586"/>
      <c r="JX52" s="586"/>
      <c r="JY52" s="586"/>
      <c r="JZ52" s="586"/>
    </row>
    <row r="53" spans="1:286" s="84" customFormat="1" ht="92.25" hidden="1" customHeight="1" x14ac:dyDescent="0.25">
      <c r="A53" s="19" t="s">
        <v>450</v>
      </c>
      <c r="B53" s="20" t="s">
        <v>59</v>
      </c>
      <c r="C53" s="20" t="s">
        <v>157</v>
      </c>
      <c r="D53" s="20">
        <v>2016</v>
      </c>
      <c r="E53" s="20" t="s">
        <v>489</v>
      </c>
      <c r="F53" s="20" t="s">
        <v>511</v>
      </c>
      <c r="G53" s="20" t="s">
        <v>273</v>
      </c>
      <c r="H53" s="20" t="s">
        <v>383</v>
      </c>
      <c r="I53" s="110"/>
      <c r="J53" s="110" t="s">
        <v>557</v>
      </c>
      <c r="K53" s="453" t="s">
        <v>1014</v>
      </c>
      <c r="L53" s="303"/>
      <c r="M53" s="310"/>
      <c r="N53" s="191"/>
      <c r="O53" s="379">
        <v>2307</v>
      </c>
      <c r="P53" s="379">
        <v>184560</v>
      </c>
      <c r="Q53" s="379">
        <v>184560</v>
      </c>
      <c r="R53" s="379">
        <f>P53/AD53</f>
        <v>10253.333333333334</v>
      </c>
      <c r="S53" s="379">
        <f>P53/O53</f>
        <v>80</v>
      </c>
      <c r="T53" s="387">
        <f>Q53/O53</f>
        <v>80</v>
      </c>
      <c r="U53" s="387">
        <f>Q53/AH53</f>
        <v>136.34953235124632</v>
      </c>
      <c r="V53" s="387">
        <f>Q53/AD53</f>
        <v>10253.333333333334</v>
      </c>
      <c r="W53" s="379">
        <f>O53/AD53</f>
        <v>128.16666666666666</v>
      </c>
      <c r="X53" s="380"/>
      <c r="Y53" s="390">
        <f>AH53/O53</f>
        <v>0.58672735153879496</v>
      </c>
      <c r="Z53" s="380"/>
      <c r="AA53" s="382">
        <v>380</v>
      </c>
      <c r="AB53" s="383"/>
      <c r="AC53" s="20" t="s">
        <v>26</v>
      </c>
      <c r="AD53" s="640">
        <f>(AE53+AF53)</f>
        <v>18</v>
      </c>
      <c r="AE53" s="21"/>
      <c r="AF53" s="20">
        <v>18</v>
      </c>
      <c r="AG53" s="22">
        <v>1427.7</v>
      </c>
      <c r="AH53" s="401">
        <v>1353.58</v>
      </c>
      <c r="AI53" s="22">
        <f>AH53/AD53</f>
        <v>75.198888888888888</v>
      </c>
      <c r="AJ53" s="135">
        <f>2/AD53</f>
        <v>0.1111111111111111</v>
      </c>
      <c r="AK53" s="135">
        <f>6/AD53</f>
        <v>0.33333333333333331</v>
      </c>
      <c r="AL53" s="135">
        <f>7/AD53</f>
        <v>0.3888888888888889</v>
      </c>
      <c r="AM53" s="135">
        <f>3/AD53</f>
        <v>0.16666666666666666</v>
      </c>
      <c r="AN53" s="135"/>
      <c r="AO53" s="22"/>
      <c r="AP53" s="133"/>
      <c r="AQ53" s="135"/>
      <c r="AR53" s="114"/>
      <c r="AS53" s="20"/>
      <c r="AT53" s="110"/>
      <c r="AU53" s="110"/>
      <c r="AV53" s="20"/>
      <c r="AW53" s="415">
        <v>42388</v>
      </c>
      <c r="AX53" s="415">
        <v>42396</v>
      </c>
      <c r="AY53" s="415">
        <v>42475</v>
      </c>
      <c r="AZ53" s="415">
        <v>42481</v>
      </c>
      <c r="BA53" s="415" t="s">
        <v>759</v>
      </c>
      <c r="BB53" s="415" t="s">
        <v>758</v>
      </c>
      <c r="BC53" s="415" t="s">
        <v>757</v>
      </c>
      <c r="BD53" s="415" t="s">
        <v>801</v>
      </c>
      <c r="BE53" s="415">
        <v>42493</v>
      </c>
      <c r="BF53" s="415">
        <v>42555</v>
      </c>
      <c r="BG53" s="415">
        <v>42594</v>
      </c>
      <c r="BH53" s="415">
        <v>42618</v>
      </c>
      <c r="BI53" s="110"/>
      <c r="BJ53" s="110"/>
      <c r="BK53" s="110"/>
      <c r="BL53" s="110"/>
      <c r="BM53" s="110"/>
      <c r="BN53" s="194"/>
      <c r="BO53" s="194"/>
      <c r="BP53" s="196"/>
      <c r="BQ53" s="194"/>
      <c r="BR53" s="194"/>
      <c r="BS53" s="194"/>
      <c r="BT53" s="67"/>
      <c r="BU53" s="557">
        <v>42620</v>
      </c>
      <c r="BV53" s="160">
        <v>42646</v>
      </c>
      <c r="BW53" s="160">
        <v>42626</v>
      </c>
      <c r="BX53" s="160"/>
      <c r="BY53" s="160"/>
      <c r="BZ53" s="376"/>
      <c r="CA53" s="160"/>
      <c r="CB53" s="301"/>
      <c r="CC53" s="372"/>
      <c r="CD53" s="302"/>
      <c r="CE53" s="302"/>
      <c r="CF53" s="161"/>
      <c r="CG53" s="336">
        <f>DATE(YEAR(CF53),MONTH(CF53)+24,DAY(CF53))</f>
        <v>731</v>
      </c>
      <c r="CH53" s="336">
        <f>DATE(YEAR(CF53),MONTH(CF53)+36,DAY(CF53))</f>
        <v>1096</v>
      </c>
      <c r="CI53" s="336"/>
      <c r="CJ53" s="301"/>
      <c r="CK53" s="306"/>
      <c r="CL53" s="82"/>
      <c r="CM53" s="370"/>
      <c r="CN53" s="82"/>
      <c r="CO53" s="161"/>
      <c r="CP53" s="81"/>
      <c r="CQ53" s="365"/>
      <c r="CR53" s="81"/>
      <c r="CS53" s="162"/>
      <c r="CT53" s="81"/>
      <c r="CU53" s="365"/>
      <c r="CV53" s="81"/>
      <c r="CW53" s="162"/>
      <c r="CX53" s="81"/>
      <c r="CY53" s="365"/>
      <c r="CZ53" s="81"/>
      <c r="DA53" s="162"/>
      <c r="DB53" s="296"/>
      <c r="DC53" s="296"/>
      <c r="DD53" s="296"/>
      <c r="DE53" s="291"/>
      <c r="DF53" s="291"/>
      <c r="DG53" s="291"/>
      <c r="DH53" s="312"/>
      <c r="DI53" s="291"/>
      <c r="DJ53" s="291"/>
      <c r="DK53" s="292"/>
      <c r="DL53" s="293"/>
      <c r="DM53" s="293"/>
      <c r="DN53" s="292"/>
      <c r="DO53" s="292"/>
      <c r="DP53" s="293"/>
      <c r="DQ53" s="304"/>
      <c r="DR53" s="443"/>
      <c r="DS53" s="443"/>
      <c r="DT53" s="297"/>
      <c r="DU53" s="304">
        <f>DATE(YEAR(DQ53),MONTH(DQ53)+18,DAY(DQ53))</f>
        <v>547</v>
      </c>
      <c r="DV53" s="443"/>
      <c r="DW53" s="443"/>
      <c r="DX53" s="423"/>
      <c r="DY53" s="423"/>
      <c r="DZ53" s="423"/>
      <c r="EA53" s="434">
        <v>43040</v>
      </c>
      <c r="EB53" s="423"/>
      <c r="EC53" s="430">
        <v>16</v>
      </c>
      <c r="ED53" s="430">
        <f>EC53+2</f>
        <v>18</v>
      </c>
      <c r="EE53" s="422">
        <f>DATEDIF(EA53,EN53,"M")</f>
        <v>16</v>
      </c>
      <c r="EF53" s="422">
        <f>DATEDIF(EA53,EV53,"M")</f>
        <v>17</v>
      </c>
      <c r="EG53" s="422">
        <f>EE53-EC53</f>
        <v>0</v>
      </c>
      <c r="EH53" s="422"/>
      <c r="EI53" s="431"/>
      <c r="EJ53" s="431"/>
      <c r="EK53" s="423"/>
      <c r="EL53" s="423"/>
      <c r="EM53" s="423"/>
      <c r="EN53" s="210">
        <f>DATE(YEAR(EA53),MONTH(EA53)+EC53,DAY(EA53))</f>
        <v>43525</v>
      </c>
      <c r="EO53" s="210">
        <f>DATE(YEAR(DV53)+2,MONTH(DV53),DAY(DV53))</f>
        <v>731</v>
      </c>
      <c r="EP53" s="423"/>
      <c r="EQ53" s="423"/>
      <c r="ER53" s="423"/>
      <c r="ES53" s="423"/>
      <c r="ET53" s="423"/>
      <c r="EU53" s="334">
        <f>DATE(YEAR(EN53),MONTH(EN53)+1,DAY(EN53))</f>
        <v>43556</v>
      </c>
      <c r="EV53" s="206">
        <f>EU53</f>
        <v>43556</v>
      </c>
      <c r="EW53" s="206"/>
      <c r="EX53" s="209"/>
      <c r="EY53" s="434"/>
      <c r="EZ53" s="212"/>
      <c r="FA53" s="212"/>
      <c r="FB53" s="212"/>
      <c r="FC53" s="212"/>
      <c r="FD53" s="110"/>
      <c r="FE53" s="110"/>
      <c r="FF53" s="110"/>
      <c r="FG53" s="110"/>
      <c r="FH53" s="110"/>
      <c r="FI53" s="110"/>
      <c r="FJ53" s="110"/>
      <c r="FK53" s="110"/>
      <c r="FL53" s="110"/>
      <c r="FM53" s="110"/>
      <c r="FN53" s="110"/>
      <c r="FO53" s="110"/>
      <c r="FP53" s="195"/>
      <c r="FQ53" s="23">
        <f>+GA53+GE53+GL53+HF53</f>
        <v>2835176.7292601359</v>
      </c>
      <c r="FR53" s="559">
        <f>GB53+GF53+GK53+GM53+GQ53</f>
        <v>2816165.5285564293</v>
      </c>
      <c r="FS53" s="25">
        <f>FR53-FQ53</f>
        <v>-19011.200703706592</v>
      </c>
      <c r="FT53" s="50">
        <f>FR53/AG53</f>
        <v>1972.5191066445536</v>
      </c>
      <c r="FU53" s="50">
        <f>FR53/AD53</f>
        <v>156453.64047535718</v>
      </c>
      <c r="FV53" s="23">
        <v>2485795.7500000005</v>
      </c>
      <c r="FW53" s="24">
        <v>2579834.0699999998</v>
      </c>
      <c r="FX53" s="25">
        <f>FW53-FV53</f>
        <v>94038.319999999367</v>
      </c>
      <c r="FY53" s="231">
        <f>FW53*1.021/FR53</f>
        <v>0.93531809787480691</v>
      </c>
      <c r="FZ53" s="234">
        <v>0.4</v>
      </c>
      <c r="GA53" s="153">
        <v>896735</v>
      </c>
      <c r="GB53" s="24">
        <v>930919.27</v>
      </c>
      <c r="GC53" s="50">
        <f>GB53/AD53</f>
        <v>51717.737222222226</v>
      </c>
      <c r="GD53" s="73">
        <f>GB53-GA53</f>
        <v>34184.270000000019</v>
      </c>
      <c r="GE53" s="23">
        <v>1668441.7292601359</v>
      </c>
      <c r="GF53" s="24">
        <f>GG53+GH53</f>
        <v>1615246.2585564293</v>
      </c>
      <c r="GG53" s="26">
        <v>307655.4085564292</v>
      </c>
      <c r="GH53" s="26">
        <v>1307590.8500000001</v>
      </c>
      <c r="GI53" s="73">
        <f>GF53-GE53</f>
        <v>-53195.470703706611</v>
      </c>
      <c r="GJ53" s="50">
        <f>GF53/AD53</f>
        <v>89735.903253134966</v>
      </c>
      <c r="GK53" s="24"/>
      <c r="GL53" s="23">
        <v>270000</v>
      </c>
      <c r="GM53" s="559">
        <f>GL53</f>
        <v>270000</v>
      </c>
      <c r="GN53" s="124"/>
      <c r="GO53" s="76">
        <f>GM53/FR53</f>
        <v>9.5875046144181159E-2</v>
      </c>
      <c r="GP53" s="590"/>
      <c r="GQ53" s="24"/>
      <c r="GR53" s="51">
        <f>GM53-GL53</f>
        <v>0</v>
      </c>
      <c r="GS53" s="50">
        <f>GM53/AD53</f>
        <v>15000</v>
      </c>
      <c r="GT53" s="138">
        <f>(GB53+GM53)/AD53</f>
        <v>66717.737222222218</v>
      </c>
      <c r="GU53" s="51">
        <f>GR53/AD53</f>
        <v>0</v>
      </c>
      <c r="GV53" s="97">
        <v>5.36</v>
      </c>
      <c r="GW53" s="97">
        <v>5.36</v>
      </c>
      <c r="GX53" s="75"/>
      <c r="GY53" s="75"/>
      <c r="GZ53" s="50">
        <f>(GA53+GL53+GY53)/AD53</f>
        <v>64818.611111111109</v>
      </c>
      <c r="HA53" s="75"/>
      <c r="HB53" s="50">
        <f>(GB53+GM53+GY53+HA53)/AD53</f>
        <v>66717.737222222218</v>
      </c>
      <c r="HC53" s="99">
        <f>(GA53+GL53+GY53+HA53)/(GX53+FQ53-HD53)</f>
        <v>0.41152108366255874</v>
      </c>
      <c r="HD53" s="75"/>
      <c r="HE53" s="75"/>
      <c r="HF53" s="24"/>
      <c r="HG53" s="77">
        <f>FQ53+GX53</f>
        <v>2835176.7292601359</v>
      </c>
      <c r="HH53" s="491">
        <v>140149</v>
      </c>
      <c r="HI53" s="491">
        <f>HK53+ID53+IH53+IS53+JD53</f>
        <v>59563</v>
      </c>
      <c r="HJ53" s="494">
        <v>42430</v>
      </c>
      <c r="HK53" s="491"/>
      <c r="HL53" s="415">
        <v>42292</v>
      </c>
      <c r="HM53" s="415">
        <f>DATE(YEAR(HL53),MONTH(HL53),DAY(HL53)+21)</f>
        <v>42313</v>
      </c>
      <c r="HN53" s="420">
        <v>42345</v>
      </c>
      <c r="HO53" s="497">
        <f>IF(AND(HM53&gt;0,HN53&gt;0),HN53-HM53,"0")</f>
        <v>32</v>
      </c>
      <c r="HP53" s="415">
        <v>42395</v>
      </c>
      <c r="HQ53" s="481">
        <f>IF(AND(HN53&gt;0,HP53&gt;0),HP53-HN53,"0")</f>
        <v>50</v>
      </c>
      <c r="HR53" s="497">
        <f>+HQ53-30</f>
        <v>20</v>
      </c>
      <c r="HS53" s="506">
        <f>IF(AND(HL53&gt;0,HP53&gt;0),HP53-HL53,"0")</f>
        <v>103</v>
      </c>
      <c r="HT53" s="415">
        <v>42395</v>
      </c>
      <c r="HU53" s="497">
        <f>IF(AND(HP53&gt;0,HT53&gt;0),HT53-HP53,"0")</f>
        <v>0</v>
      </c>
      <c r="HV53" s="415">
        <f>DATE(YEAR(HT53),MONTH(HT53),DAY(HT53)+21)</f>
        <v>42416</v>
      </c>
      <c r="HW53" s="415">
        <v>42478</v>
      </c>
      <c r="HX53" s="497">
        <f>IF(AND(HV53&gt;0,HW53&gt;0),HW53-HV53,"0")</f>
        <v>62</v>
      </c>
      <c r="HY53" s="415">
        <v>42593</v>
      </c>
      <c r="HZ53" s="481">
        <f>IF(AND(HW53&gt;0,HY53&gt;0),HY53-HW53,"0")</f>
        <v>115</v>
      </c>
      <c r="IA53" s="497">
        <f>+HZ53-30</f>
        <v>85</v>
      </c>
      <c r="IB53" s="506">
        <f>IF(AND(HT53&gt;0,HY53&gt;0),HY53-HT53,"0")</f>
        <v>198</v>
      </c>
      <c r="IC53" s="490">
        <v>42501</v>
      </c>
      <c r="ID53" s="491">
        <v>7875</v>
      </c>
      <c r="IE53" s="415"/>
      <c r="IF53" s="415">
        <v>42412</v>
      </c>
      <c r="IG53" s="494">
        <v>42430</v>
      </c>
      <c r="IH53" s="491">
        <v>27162</v>
      </c>
      <c r="II53" s="414">
        <v>42593</v>
      </c>
      <c r="IJ53" s="497">
        <f>IF(AND(HY53&gt;0,II53&gt;0),II53-HY53,"0")</f>
        <v>0</v>
      </c>
      <c r="IK53" s="414">
        <f>DATE(YEAR(II53),MONTH(II53),DAY(II53)+30)</f>
        <v>42623</v>
      </c>
      <c r="IL53" s="414">
        <v>42657</v>
      </c>
      <c r="IM53" s="497">
        <f>IF(AND(IK53&gt;0,IL53&gt;0),IL53-IK53,"0")</f>
        <v>34</v>
      </c>
      <c r="IN53" s="347">
        <v>42669</v>
      </c>
      <c r="IO53" s="481">
        <f>IF(AND(IL53&gt;0,IN53&gt;0),IN53-IL53,"0")</f>
        <v>12</v>
      </c>
      <c r="IP53" s="497">
        <f>+IO53-30</f>
        <v>-18</v>
      </c>
      <c r="IQ53" s="506">
        <f>IF(AND(II53&gt;0,IN53&gt;0),IN53-II53,"0")</f>
        <v>76</v>
      </c>
      <c r="IR53" s="490">
        <v>42669</v>
      </c>
      <c r="IS53" s="491">
        <v>14015</v>
      </c>
      <c r="IT53" s="414">
        <v>42684</v>
      </c>
      <c r="IU53" s="498">
        <f>IF(AND(IN53&gt;0,IT53&gt;0),IT53-IN53,"0")</f>
        <v>15</v>
      </c>
      <c r="IV53" s="206">
        <f>DATE(YEAR(IT53),MONTH(IT53),DAY(IT53)+30)</f>
        <v>42714</v>
      </c>
      <c r="IW53" s="206">
        <f ca="1">IF(IV53&lt;TODAY(),TODAY(),IV53)</f>
        <v>42789</v>
      </c>
      <c r="IX53" s="498">
        <f ca="1">IF(AND(IV53&gt;0,IW53&gt;0),IW53-IV53,"0")</f>
        <v>75</v>
      </c>
      <c r="IY53" s="206">
        <f ca="1">DATE(YEAR(IW53),MONTH(IW53),DAY(IW53)+30)</f>
        <v>42819</v>
      </c>
      <c r="IZ53" s="482">
        <f ca="1">IF(AND(IW53&gt;0,IY53&gt;0),IY53-IW53,"0")</f>
        <v>30</v>
      </c>
      <c r="JA53" s="498">
        <f ca="1">IZ53-30</f>
        <v>0</v>
      </c>
      <c r="JB53" s="508">
        <f ca="1">IF(AND(IT53&gt;0,IY53&gt;0),IY53-IT53,"0")</f>
        <v>135</v>
      </c>
      <c r="JC53" s="490">
        <v>42717</v>
      </c>
      <c r="JD53" s="511">
        <v>10511</v>
      </c>
      <c r="JE53" s="502">
        <f ca="1">IY53</f>
        <v>42819</v>
      </c>
      <c r="JF53" s="487">
        <f ca="1">IF(AND(IY53&gt;0,JE53&gt;0),JE53-IY53,"0")</f>
        <v>0</v>
      </c>
      <c r="JG53" s="502">
        <f ca="1">DATE(YEAR(JE53),MONTH(JE53),DAY(JE53)+15)</f>
        <v>42834</v>
      </c>
      <c r="JH53" s="502">
        <f ca="1">IF(JG53&lt;TODAY(),TODAY(),JG53)</f>
        <v>42834</v>
      </c>
      <c r="JI53" s="487">
        <f ca="1">IF(AND(JG53&gt;0,JH53&gt;0),JH53-JG53,"0")</f>
        <v>0</v>
      </c>
      <c r="JJ53" s="502">
        <f ca="1">DATE(YEAR(JH53),MONTH(JH53),DAY(JH53)+45)</f>
        <v>42879</v>
      </c>
      <c r="JK53" s="502">
        <f ca="1">JJ53</f>
        <v>42879</v>
      </c>
      <c r="JL53" s="487">
        <f ca="1">IF(AND(JJ53&gt;0,JK53&gt;0),JK53-JJ53,"0")</f>
        <v>0</v>
      </c>
      <c r="JM53" s="509">
        <f ca="1">IF(AND(JE53&gt;0,JK53&gt;0),JK53-JE53,"0")</f>
        <v>60</v>
      </c>
      <c r="JN53" s="502">
        <f ca="1">DATE(YEAR(JK53),MONTH(JK53),DAY(JK53)+60)</f>
        <v>42939</v>
      </c>
      <c r="JO53" s="501">
        <f ca="1">IF(AND(JK53&gt;0,JN53&gt;0),JN53-JK53,"0")</f>
        <v>60</v>
      </c>
      <c r="JP53" s="498">
        <f ca="1">JO53-60</f>
        <v>0</v>
      </c>
      <c r="JQ53" s="482">
        <f>291/30</f>
        <v>9.6999999999999993</v>
      </c>
      <c r="JR53" s="504">
        <f ca="1">((+HS53+HU53+IB53+IJ53+IQ53+IU53+JB53+JI53+JF53)/30)-JQ53</f>
        <v>7.8666666666666671</v>
      </c>
      <c r="JS53" s="490"/>
      <c r="JT53" s="491"/>
      <c r="JU53" s="490"/>
      <c r="JV53" s="491"/>
      <c r="JW53" s="586"/>
      <c r="JX53" s="586"/>
      <c r="JY53" s="586"/>
      <c r="JZ53" s="586"/>
    </row>
    <row r="54" spans="1:286" ht="114" hidden="1" customHeight="1" x14ac:dyDescent="0.25">
      <c r="A54" s="444" t="s">
        <v>449</v>
      </c>
      <c r="B54" s="110" t="s">
        <v>59</v>
      </c>
      <c r="C54" s="110" t="s">
        <v>157</v>
      </c>
      <c r="D54" s="110">
        <v>2016</v>
      </c>
      <c r="E54" s="110" t="s">
        <v>488</v>
      </c>
      <c r="F54" s="110" t="s">
        <v>511</v>
      </c>
      <c r="G54" s="110" t="s">
        <v>278</v>
      </c>
      <c r="H54" s="110" t="s">
        <v>383</v>
      </c>
      <c r="I54" s="110"/>
      <c r="J54" s="110" t="s">
        <v>559</v>
      </c>
      <c r="K54" s="453" t="s">
        <v>1015</v>
      </c>
      <c r="L54" s="309"/>
      <c r="M54" s="310"/>
      <c r="N54" s="311"/>
      <c r="O54" s="379">
        <v>8111</v>
      </c>
      <c r="P54" s="379">
        <v>405550</v>
      </c>
      <c r="Q54" s="379">
        <v>405550</v>
      </c>
      <c r="R54" s="379">
        <f>P54/AD54</f>
        <v>11587.142857142857</v>
      </c>
      <c r="S54" s="379">
        <f>P54/O54</f>
        <v>50</v>
      </c>
      <c r="T54" s="387">
        <f>Q54/O54</f>
        <v>50</v>
      </c>
      <c r="U54" s="387">
        <f>Q54/AH54</f>
        <v>175.71642735205677</v>
      </c>
      <c r="V54" s="387">
        <f>Q54/AD54</f>
        <v>11587.142857142857</v>
      </c>
      <c r="W54" s="379">
        <f>O54/AD54</f>
        <v>231.74285714285713</v>
      </c>
      <c r="X54" s="380"/>
      <c r="Y54" s="390">
        <f>AH54/O54</f>
        <v>0.28454937738873137</v>
      </c>
      <c r="Z54" s="380"/>
      <c r="AA54" s="380">
        <v>450</v>
      </c>
      <c r="AB54" s="381"/>
      <c r="AC54" s="110" t="s">
        <v>26</v>
      </c>
      <c r="AD54" s="640">
        <f>(AE54+AF54)</f>
        <v>35</v>
      </c>
      <c r="AE54" s="121"/>
      <c r="AF54" s="110">
        <v>35</v>
      </c>
      <c r="AG54" s="114">
        <v>2214</v>
      </c>
      <c r="AH54" s="401">
        <v>2307.98</v>
      </c>
      <c r="AI54" s="22">
        <f>AH54/AD54</f>
        <v>65.942285714285717</v>
      </c>
      <c r="AJ54" s="135">
        <f>8/AD54</f>
        <v>0.22857142857142856</v>
      </c>
      <c r="AK54" s="135">
        <f>8/AD54</f>
        <v>0.22857142857142856</v>
      </c>
      <c r="AL54" s="135">
        <f>8/AD54</f>
        <v>0.22857142857142856</v>
      </c>
      <c r="AM54" s="135">
        <f>11/AD54</f>
        <v>0.31428571428571428</v>
      </c>
      <c r="AN54" s="135"/>
      <c r="AO54" s="114"/>
      <c r="AP54" s="133"/>
      <c r="AQ54" s="135"/>
      <c r="AR54" s="114"/>
      <c r="AS54" s="110"/>
      <c r="AT54" s="110"/>
      <c r="AU54" s="110"/>
      <c r="AV54" s="110"/>
      <c r="AW54" s="415">
        <v>42353</v>
      </c>
      <c r="AX54" s="415">
        <v>42396</v>
      </c>
      <c r="AY54" s="415">
        <v>42475</v>
      </c>
      <c r="AZ54" s="415">
        <v>42474</v>
      </c>
      <c r="BA54" s="415" t="s">
        <v>754</v>
      </c>
      <c r="BB54" s="415" t="s">
        <v>758</v>
      </c>
      <c r="BC54" s="415" t="s">
        <v>755</v>
      </c>
      <c r="BD54" s="415" t="s">
        <v>800</v>
      </c>
      <c r="BE54" s="415">
        <v>42550</v>
      </c>
      <c r="BF54" s="110"/>
      <c r="BG54" s="110"/>
      <c r="BH54" s="110"/>
      <c r="BI54" s="110"/>
      <c r="BJ54" s="110"/>
      <c r="BK54" s="110"/>
      <c r="BL54" s="110"/>
      <c r="BM54" s="110"/>
      <c r="BN54" s="196"/>
      <c r="BO54" s="196"/>
      <c r="BP54" s="196"/>
      <c r="BQ54" s="196"/>
      <c r="BR54" s="196"/>
      <c r="BS54" s="196"/>
      <c r="BT54" s="158"/>
      <c r="BU54" s="557">
        <v>42660</v>
      </c>
      <c r="BV54" s="160"/>
      <c r="BW54" s="160"/>
      <c r="BX54" s="160"/>
      <c r="BY54" s="160"/>
      <c r="BZ54" s="376"/>
      <c r="CA54" s="160"/>
      <c r="CB54" s="301"/>
      <c r="CC54" s="372"/>
      <c r="CD54" s="302"/>
      <c r="CE54" s="302"/>
      <c r="CF54" s="161"/>
      <c r="CG54" s="336">
        <f>DATE(YEAR(CF54),MONTH(CF54)+24,DAY(CF54))</f>
        <v>731</v>
      </c>
      <c r="CH54" s="336">
        <f>DATE(YEAR(CF54),MONTH(CF54)+36,DAY(CF54))</f>
        <v>1096</v>
      </c>
      <c r="CI54" s="336"/>
      <c r="CJ54" s="301"/>
      <c r="CK54" s="308"/>
      <c r="CL54" s="161"/>
      <c r="CM54" s="371"/>
      <c r="CN54" s="161"/>
      <c r="CO54" s="161"/>
      <c r="CP54" s="162"/>
      <c r="CQ54" s="367"/>
      <c r="CR54" s="162"/>
      <c r="CS54" s="162"/>
      <c r="CT54" s="162"/>
      <c r="CU54" s="367"/>
      <c r="CV54" s="162"/>
      <c r="CW54" s="162"/>
      <c r="CX54" s="162"/>
      <c r="CY54" s="367"/>
      <c r="CZ54" s="162"/>
      <c r="DA54" s="162"/>
      <c r="DB54" s="299"/>
      <c r="DC54" s="299"/>
      <c r="DD54" s="299"/>
      <c r="DE54" s="312"/>
      <c r="DF54" s="312"/>
      <c r="DG54" s="312"/>
      <c r="DH54" s="312"/>
      <c r="DI54" s="312"/>
      <c r="DJ54" s="312"/>
      <c r="DK54" s="293"/>
      <c r="DL54" s="293"/>
      <c r="DM54" s="293"/>
      <c r="DN54" s="293"/>
      <c r="DO54" s="293"/>
      <c r="DP54" s="293"/>
      <c r="DQ54" s="304"/>
      <c r="DR54" s="443"/>
      <c r="DS54" s="443"/>
      <c r="DT54" s="298"/>
      <c r="DU54" s="304">
        <f>DATE(YEAR(DQ54),MONTH(DQ54)+18,DAY(DQ54))</f>
        <v>547</v>
      </c>
      <c r="DV54" s="443"/>
      <c r="DW54" s="443"/>
      <c r="DX54" s="423"/>
      <c r="DY54" s="423"/>
      <c r="DZ54" s="423"/>
      <c r="EA54" s="434">
        <v>43040</v>
      </c>
      <c r="EB54" s="423"/>
      <c r="EC54" s="430">
        <v>16</v>
      </c>
      <c r="ED54" s="430">
        <f>EC54+2</f>
        <v>18</v>
      </c>
      <c r="EE54" s="422">
        <f>DATEDIF(EA54,EN54,"M")</f>
        <v>16</v>
      </c>
      <c r="EF54" s="422">
        <f>DATEDIF(EA54,EV54,"M")</f>
        <v>17</v>
      </c>
      <c r="EG54" s="422">
        <f>EE54-EC54</f>
        <v>0</v>
      </c>
      <c r="EH54" s="422"/>
      <c r="EI54" s="431"/>
      <c r="EJ54" s="431"/>
      <c r="EK54" s="423"/>
      <c r="EL54" s="423"/>
      <c r="EM54" s="423"/>
      <c r="EN54" s="210">
        <f>DATE(YEAR(EA54),MONTH(EA54)+EC54,DAY(EA54))</f>
        <v>43525</v>
      </c>
      <c r="EO54" s="210">
        <f>DATE(YEAR(DV54)+2,MONTH(DV54),DAY(DV54))</f>
        <v>731</v>
      </c>
      <c r="EP54" s="423"/>
      <c r="EQ54" s="423"/>
      <c r="ER54" s="423"/>
      <c r="ES54" s="423"/>
      <c r="ET54" s="423"/>
      <c r="EU54" s="334">
        <f>DATE(YEAR(EN54),MONTH(EN54)+1,DAY(EN54))</f>
        <v>43556</v>
      </c>
      <c r="EV54" s="206">
        <f>EU54</f>
        <v>43556</v>
      </c>
      <c r="EW54" s="206"/>
      <c r="EX54" s="209"/>
      <c r="EY54" s="434"/>
      <c r="EZ54" s="212"/>
      <c r="FA54" s="212"/>
      <c r="FB54" s="212"/>
      <c r="FC54" s="212"/>
      <c r="FD54" s="110"/>
      <c r="FE54" s="110"/>
      <c r="FF54" s="110"/>
      <c r="FG54" s="110"/>
      <c r="FH54" s="110"/>
      <c r="FI54" s="110"/>
      <c r="FJ54" s="110"/>
      <c r="FK54" s="110"/>
      <c r="FL54" s="110"/>
      <c r="FM54" s="110"/>
      <c r="FN54" s="110"/>
      <c r="FO54" s="110"/>
      <c r="FP54" s="199"/>
      <c r="FQ54" s="153">
        <f>+GA54+GE54+GL54+HF54</f>
        <v>4867349.3792960932</v>
      </c>
      <c r="FR54" s="560">
        <f>GB54+GF54+GK54+GM54+GQ54</f>
        <v>5185577.87</v>
      </c>
      <c r="FS54" s="25">
        <f>FR54-FQ54</f>
        <v>318228.49070390686</v>
      </c>
      <c r="FT54" s="50">
        <f>FR54/AG54</f>
        <v>2342.1760930442638</v>
      </c>
      <c r="FU54" s="50">
        <f>FR54/AD54</f>
        <v>148159.36771428571</v>
      </c>
      <c r="FV54" s="153">
        <v>4254582.75</v>
      </c>
      <c r="FW54" s="124">
        <v>4784510</v>
      </c>
      <c r="FX54" s="25">
        <f>FW54-FV54</f>
        <v>529927.25</v>
      </c>
      <c r="FY54" s="231">
        <f>FW54*1.021/FR54</f>
        <v>0.94203285197219488</v>
      </c>
      <c r="FZ54" s="234">
        <v>0.4</v>
      </c>
      <c r="GA54" s="153">
        <v>1361329.3792960932</v>
      </c>
      <c r="GB54" s="24">
        <v>1557378.27</v>
      </c>
      <c r="GC54" s="50">
        <f>GB54/AD54</f>
        <v>44496.521999999997</v>
      </c>
      <c r="GD54" s="73">
        <f>GB54-GA54</f>
        <v>196048.89070390677</v>
      </c>
      <c r="GE54" s="23">
        <v>2561020</v>
      </c>
      <c r="GF54" s="24">
        <v>2683199.6</v>
      </c>
      <c r="GG54" s="26"/>
      <c r="GH54" s="26"/>
      <c r="GI54" s="73">
        <f>GF54-GE54</f>
        <v>122179.60000000009</v>
      </c>
      <c r="GJ54" s="50">
        <f>GF54/AD54</f>
        <v>76662.845714285722</v>
      </c>
      <c r="GK54" s="24"/>
      <c r="GL54" s="23">
        <v>945000</v>
      </c>
      <c r="GM54" s="559">
        <f>GL54</f>
        <v>945000</v>
      </c>
      <c r="GN54" s="124"/>
      <c r="GO54" s="76">
        <f>GM54/FR54</f>
        <v>0.1822361988751699</v>
      </c>
      <c r="GP54" s="590"/>
      <c r="GQ54" s="24"/>
      <c r="GR54" s="51">
        <f>GM54-GL54</f>
        <v>0</v>
      </c>
      <c r="GS54" s="50">
        <f>GM54/AD54</f>
        <v>27000</v>
      </c>
      <c r="GT54" s="138">
        <f>(GB54+GM54)/AD54</f>
        <v>71496.521999999997</v>
      </c>
      <c r="GU54" s="51">
        <f>GR54/AD54</f>
        <v>0</v>
      </c>
      <c r="GV54" s="97">
        <v>5.57</v>
      </c>
      <c r="GW54" s="97">
        <v>5.54</v>
      </c>
      <c r="GX54" s="75"/>
      <c r="GY54" s="75"/>
      <c r="GZ54" s="50">
        <f>(GA54+GL54+GY54)/AD54</f>
        <v>65895.125122745521</v>
      </c>
      <c r="HA54" s="75"/>
      <c r="HB54" s="50">
        <f>(GB54+GM54+GY54+HA54)/AD54</f>
        <v>71496.521999999997</v>
      </c>
      <c r="HC54" s="99">
        <f>(GA54+GL54+GY54+HA54)/(GX54+FQ54-HD54)</f>
        <v>0.47383682566662805</v>
      </c>
      <c r="HD54" s="75"/>
      <c r="HE54" s="75"/>
      <c r="HF54" s="24"/>
      <c r="HG54" s="77">
        <f>FR54+GX54</f>
        <v>5185577.87</v>
      </c>
      <c r="HH54" s="491">
        <v>257024</v>
      </c>
      <c r="HI54" s="491">
        <f>ID54+IH54+IS54+HK54+JD54</f>
        <v>109236</v>
      </c>
      <c r="HJ54" s="494">
        <v>42335</v>
      </c>
      <c r="HK54" s="491">
        <v>26176</v>
      </c>
      <c r="HL54" s="415">
        <v>42296</v>
      </c>
      <c r="HM54" s="415">
        <f>DATE(YEAR(HL54),MONTH(HL54),DAY(HL54)+21)</f>
        <v>42317</v>
      </c>
      <c r="HN54" s="415">
        <v>42027</v>
      </c>
      <c r="HO54" s="497">
        <f>IF(AND(HM54&gt;0,HN54&gt;0),HN54-HM54,"0")</f>
        <v>-290</v>
      </c>
      <c r="HP54" s="415">
        <v>42398</v>
      </c>
      <c r="HQ54" s="481">
        <f>IF(AND(HN54&gt;0,HP54&gt;0),HP54-HN54,"0")</f>
        <v>371</v>
      </c>
      <c r="HR54" s="497">
        <f>+HQ54-30</f>
        <v>341</v>
      </c>
      <c r="HS54" s="506">
        <f>IF(AND(HL54&gt;0,HP54&gt;0),HP54-HL54,"0")</f>
        <v>102</v>
      </c>
      <c r="HT54" s="415">
        <v>42398</v>
      </c>
      <c r="HU54" s="497">
        <f>IF(AND(HP54&gt;0,HT54&gt;0),HT54-HP54,"0")</f>
        <v>0</v>
      </c>
      <c r="HV54" s="415">
        <f>DATE(YEAR(HT54),MONTH(HT54),DAY(HT54)+21)</f>
        <v>42419</v>
      </c>
      <c r="HW54" s="415">
        <v>42448</v>
      </c>
      <c r="HX54" s="497">
        <f>IF(AND(HV54&gt;0,HW54&gt;0),HW54-HV54,"0")</f>
        <v>29</v>
      </c>
      <c r="HY54" s="415">
        <v>42593</v>
      </c>
      <c r="HZ54" s="481">
        <f>IF(AND(HW54&gt;0,HY54&gt;0),HY54-HW54,"0")</f>
        <v>145</v>
      </c>
      <c r="IA54" s="497">
        <f>+HZ54-30</f>
        <v>115</v>
      </c>
      <c r="IB54" s="506">
        <f>IF(AND(HT54&gt;0,HY54&gt;0),HY54-HT54,"0")</f>
        <v>195</v>
      </c>
      <c r="IC54" s="490">
        <v>42501</v>
      </c>
      <c r="ID54" s="491">
        <v>17712</v>
      </c>
      <c r="IE54" s="415"/>
      <c r="IF54" s="415">
        <v>42412</v>
      </c>
      <c r="IG54" s="494">
        <v>42430</v>
      </c>
      <c r="IH54" s="491">
        <v>20368</v>
      </c>
      <c r="II54" s="414">
        <v>42593</v>
      </c>
      <c r="IJ54" s="497">
        <f>IF(AND(HY54&gt;0,II54&gt;0),II54-HY54,"0")</f>
        <v>0</v>
      </c>
      <c r="IK54" s="414">
        <f>DATE(YEAR(II54),MONTH(II54),DAY(II54)+30)</f>
        <v>42623</v>
      </c>
      <c r="IL54" s="414">
        <v>42636</v>
      </c>
      <c r="IM54" s="497">
        <f>IF(AND(IK54&gt;0,IL54&gt;0),IL54-IK54,"0")</f>
        <v>13</v>
      </c>
      <c r="IN54" s="347">
        <v>42655</v>
      </c>
      <c r="IO54" s="481">
        <f>IF(AND(IL54&gt;0,IN54&gt;0),IN54-IL54,"0")</f>
        <v>19</v>
      </c>
      <c r="IP54" s="497">
        <f>+IO54-30</f>
        <v>-11</v>
      </c>
      <c r="IQ54" s="506">
        <f>IF(AND(II54&gt;0,IN54&gt;0),IN54-II54,"0")</f>
        <v>62</v>
      </c>
      <c r="IR54" s="490">
        <v>42670</v>
      </c>
      <c r="IS54" s="491">
        <v>25703</v>
      </c>
      <c r="IT54" s="347">
        <v>42683</v>
      </c>
      <c r="IU54" s="498">
        <f>IF(AND(IN54&gt;0,IT54&gt;0),IT54-IN54,"0")</f>
        <v>28</v>
      </c>
      <c r="IV54" s="206">
        <f>DATE(YEAR(IT54),MONTH(IT54),DAY(IT54)+30)</f>
        <v>42713</v>
      </c>
      <c r="IW54" s="206">
        <f ca="1">IF(IV54&lt;TODAY(),TODAY(),IV54)</f>
        <v>42789</v>
      </c>
      <c r="IX54" s="498">
        <f ca="1">IF(AND(IV54&gt;0,IW54&gt;0),IW54-IV54,"0")</f>
        <v>76</v>
      </c>
      <c r="IY54" s="206">
        <f ca="1">DATE(YEAR(IW54),MONTH(IW54),DAY(IW54)+30)</f>
        <v>42819</v>
      </c>
      <c r="IZ54" s="482">
        <f ca="1">IF(AND(IW54&gt;0,IY54&gt;0),IY54-IW54,"0")</f>
        <v>30</v>
      </c>
      <c r="JA54" s="498">
        <f ca="1">IZ54-30</f>
        <v>0</v>
      </c>
      <c r="JB54" s="508">
        <f ca="1">IF(AND(IT54&gt;0,IY54&gt;0),IY54-IT54,"0")</f>
        <v>136</v>
      </c>
      <c r="JC54" s="490">
        <v>42717</v>
      </c>
      <c r="JD54" s="491">
        <v>19277</v>
      </c>
      <c r="JE54" s="502">
        <f ca="1">IY54</f>
        <v>42819</v>
      </c>
      <c r="JF54" s="487">
        <f ca="1">IF(AND(IY54&gt;0,JE54&gt;0),JE54-IY54,"0")</f>
        <v>0</v>
      </c>
      <c r="JG54" s="502">
        <f ca="1">DATE(YEAR(JE54),MONTH(JE54),DAY(JE54)+15)</f>
        <v>42834</v>
      </c>
      <c r="JH54" s="502">
        <f ca="1">IF(JG54&lt;TODAY(),TODAY(),JG54)</f>
        <v>42834</v>
      </c>
      <c r="JI54" s="487">
        <f ca="1">IF(AND(JG54&gt;0,JH54&gt;0),JH54-JG54,"0")</f>
        <v>0</v>
      </c>
      <c r="JJ54" s="502">
        <f ca="1">DATE(YEAR(JH54),MONTH(JH54),DAY(JH54)+45)</f>
        <v>42879</v>
      </c>
      <c r="JK54" s="502">
        <f ca="1">JJ54</f>
        <v>42879</v>
      </c>
      <c r="JL54" s="487">
        <f ca="1">IF(AND(JJ54&gt;0,JK54&gt;0),JK54-JJ54,"0")</f>
        <v>0</v>
      </c>
      <c r="JM54" s="509">
        <f ca="1">IF(AND(JE54&gt;0,JK54&gt;0),JK54-JE54,"0")</f>
        <v>60</v>
      </c>
      <c r="JN54" s="502">
        <f ca="1">DATE(YEAR(JK54),MONTH(JK54),DAY(JK54)+60)</f>
        <v>42939</v>
      </c>
      <c r="JO54" s="501">
        <f ca="1">IF(AND(JK54&gt;0,JN54&gt;0),JN54-JK54,"0")</f>
        <v>60</v>
      </c>
      <c r="JP54" s="498">
        <f ca="1">JO54-60</f>
        <v>0</v>
      </c>
      <c r="JQ54" s="482">
        <f>291/30</f>
        <v>9.6999999999999993</v>
      </c>
      <c r="JR54" s="504">
        <f ca="1">((+HS54+HU54+IB54+IJ54+IQ54+IU54+JB54+JI54+JF54)/30)-JQ54</f>
        <v>7.7333333333333343</v>
      </c>
      <c r="JS54" s="490"/>
      <c r="JT54" s="505"/>
      <c r="JU54" s="490"/>
      <c r="JV54" s="505"/>
      <c r="JW54" s="587"/>
      <c r="JX54" s="587"/>
      <c r="JY54" s="587"/>
      <c r="JZ54" s="587"/>
    </row>
    <row r="55" spans="1:286" ht="88.5" hidden="1" customHeight="1" x14ac:dyDescent="0.25">
      <c r="A55" s="444" t="s">
        <v>551</v>
      </c>
      <c r="B55" s="110" t="s">
        <v>101</v>
      </c>
      <c r="C55" s="110" t="s">
        <v>159</v>
      </c>
      <c r="D55" s="110">
        <v>2016</v>
      </c>
      <c r="E55" s="110" t="s">
        <v>448</v>
      </c>
      <c r="F55" s="110" t="s">
        <v>40</v>
      </c>
      <c r="G55" s="110" t="s">
        <v>273</v>
      </c>
      <c r="H55" s="110" t="s">
        <v>383</v>
      </c>
      <c r="I55" s="110"/>
      <c r="J55" s="110" t="s">
        <v>560</v>
      </c>
      <c r="K55" s="453" t="s">
        <v>1016</v>
      </c>
      <c r="L55" s="309"/>
      <c r="M55" s="310"/>
      <c r="N55" s="311"/>
      <c r="O55" s="379">
        <v>5130</v>
      </c>
      <c r="P55" s="379">
        <v>425624</v>
      </c>
      <c r="Q55" s="379">
        <v>271768</v>
      </c>
      <c r="R55" s="379">
        <f>P55/AD55</f>
        <v>15200.857142857143</v>
      </c>
      <c r="S55" s="379">
        <f>P55/O55</f>
        <v>82.967641325536064</v>
      </c>
      <c r="T55" s="387">
        <f>Q55/O55</f>
        <v>52.976218323586743</v>
      </c>
      <c r="U55" s="387">
        <f>Q55/AH55</f>
        <v>144.10749415389185</v>
      </c>
      <c r="V55" s="387">
        <f>Q55/AD55</f>
        <v>9706</v>
      </c>
      <c r="W55" s="379">
        <f>O55/AD55</f>
        <v>183.21428571428572</v>
      </c>
      <c r="X55" s="380"/>
      <c r="Y55" s="390">
        <f>AH55/O55</f>
        <v>0.36761598440545806</v>
      </c>
      <c r="Z55" s="380" t="s">
        <v>332</v>
      </c>
      <c r="AA55" s="380">
        <v>675</v>
      </c>
      <c r="AB55" s="381"/>
      <c r="AC55" s="110" t="s">
        <v>26</v>
      </c>
      <c r="AD55" s="640">
        <f>AE55+AF55</f>
        <v>28</v>
      </c>
      <c r="AE55" s="121"/>
      <c r="AF55" s="110">
        <v>28</v>
      </c>
      <c r="AG55" s="114">
        <v>1812.35</v>
      </c>
      <c r="AH55" s="401">
        <v>1885.87</v>
      </c>
      <c r="AI55" s="22">
        <f>AH55/AD55</f>
        <v>67.352499999999992</v>
      </c>
      <c r="AJ55" s="135">
        <f>4/AD55</f>
        <v>0.14285714285714285</v>
      </c>
      <c r="AK55" s="135">
        <f>7/AD55</f>
        <v>0.25</v>
      </c>
      <c r="AL55" s="135">
        <f>10/AD55</f>
        <v>0.35714285714285715</v>
      </c>
      <c r="AM55" s="135">
        <f>7/AD55</f>
        <v>0.25</v>
      </c>
      <c r="AN55" s="135"/>
      <c r="AO55" s="114"/>
      <c r="AP55" s="133"/>
      <c r="AQ55" s="135"/>
      <c r="AR55" s="114">
        <v>2.5</v>
      </c>
      <c r="AS55" s="110"/>
      <c r="AT55" s="110"/>
      <c r="AU55" s="110"/>
      <c r="AV55" s="110"/>
      <c r="AW55" s="415">
        <v>42353</v>
      </c>
      <c r="AX55" s="415">
        <v>42488</v>
      </c>
      <c r="AY55" s="415">
        <v>42475</v>
      </c>
      <c r="AZ55" s="415">
        <v>42450</v>
      </c>
      <c r="BA55" s="415" t="s">
        <v>754</v>
      </c>
      <c r="BB55" s="415" t="s">
        <v>760</v>
      </c>
      <c r="BC55" s="415" t="s">
        <v>757</v>
      </c>
      <c r="BD55" s="415" t="s">
        <v>1060</v>
      </c>
      <c r="BE55" s="415">
        <v>42493</v>
      </c>
      <c r="BF55" s="415">
        <v>42570</v>
      </c>
      <c r="BG55" s="110"/>
      <c r="BH55" s="110"/>
      <c r="BI55" s="110"/>
      <c r="BJ55" s="110"/>
      <c r="BK55" s="110"/>
      <c r="BL55" s="110"/>
      <c r="BM55" s="110"/>
      <c r="BN55" s="196"/>
      <c r="BO55" s="196"/>
      <c r="BP55" s="196"/>
      <c r="BQ55" s="196"/>
      <c r="BR55" s="196"/>
      <c r="BS55" s="196"/>
      <c r="BT55" s="158"/>
      <c r="BU55" s="557">
        <v>42604</v>
      </c>
      <c r="BV55" s="160">
        <v>42646</v>
      </c>
      <c r="BW55" s="160">
        <v>42522</v>
      </c>
      <c r="BX55" s="160"/>
      <c r="BY55" s="160"/>
      <c r="BZ55" s="376"/>
      <c r="CA55" s="160"/>
      <c r="CB55" s="301"/>
      <c r="CC55" s="372"/>
      <c r="CD55" s="302"/>
      <c r="CE55" s="302"/>
      <c r="CF55" s="161"/>
      <c r="CG55" s="336">
        <f>DATE(YEAR(CF55),MONTH(CF55)+24,DAY(CF55))</f>
        <v>731</v>
      </c>
      <c r="CH55" s="336">
        <f>DATE(YEAR(CF55),MONTH(CF55)+36,DAY(CF55))</f>
        <v>1096</v>
      </c>
      <c r="CI55" s="336"/>
      <c r="CJ55" s="301"/>
      <c r="CK55" s="306"/>
      <c r="CL55" s="161"/>
      <c r="CM55" s="371"/>
      <c r="CN55" s="161"/>
      <c r="CO55" s="161"/>
      <c r="CP55" s="162"/>
      <c r="CQ55" s="367"/>
      <c r="CR55" s="162"/>
      <c r="CS55" s="162"/>
      <c r="CT55" s="162"/>
      <c r="CU55" s="367"/>
      <c r="CV55" s="162"/>
      <c r="CW55" s="162"/>
      <c r="CX55" s="162"/>
      <c r="CY55" s="365"/>
      <c r="CZ55" s="81"/>
      <c r="DA55" s="162"/>
      <c r="DB55" s="296"/>
      <c r="DC55" s="299"/>
      <c r="DD55" s="299"/>
      <c r="DE55" s="312"/>
      <c r="DF55" s="312"/>
      <c r="DG55" s="312"/>
      <c r="DH55" s="312"/>
      <c r="DI55" s="312"/>
      <c r="DJ55" s="312"/>
      <c r="DK55" s="293"/>
      <c r="DL55" s="293"/>
      <c r="DM55" s="293"/>
      <c r="DN55" s="293"/>
      <c r="DO55" s="293"/>
      <c r="DP55" s="293"/>
      <c r="DQ55" s="304"/>
      <c r="DR55" s="443"/>
      <c r="DS55" s="443"/>
      <c r="DT55" s="298"/>
      <c r="DU55" s="304">
        <f>DATE(YEAR(DQ55),MONTH(DQ55)+18,DAY(DQ55))</f>
        <v>547</v>
      </c>
      <c r="DV55" s="443"/>
      <c r="DW55" s="443"/>
      <c r="DX55" s="423"/>
      <c r="DY55" s="423"/>
      <c r="DZ55" s="423"/>
      <c r="EA55" s="434">
        <v>43040</v>
      </c>
      <c r="EB55" s="423"/>
      <c r="EC55" s="430">
        <v>16</v>
      </c>
      <c r="ED55" s="430">
        <f>EC55+2</f>
        <v>18</v>
      </c>
      <c r="EE55" s="422">
        <f>DATEDIF(EA55,EN55,"M")</f>
        <v>16</v>
      </c>
      <c r="EF55" s="422">
        <f>DATEDIF(EA55,EV55,"M")</f>
        <v>17</v>
      </c>
      <c r="EG55" s="422">
        <f>EE55-EC55</f>
        <v>0</v>
      </c>
      <c r="EH55" s="422"/>
      <c r="EI55" s="431"/>
      <c r="EJ55" s="431"/>
      <c r="EK55" s="423"/>
      <c r="EL55" s="423"/>
      <c r="EM55" s="423"/>
      <c r="EN55" s="210">
        <f>DATE(YEAR(EA55),MONTH(EA55)+EC55,DAY(EA55))</f>
        <v>43525</v>
      </c>
      <c r="EO55" s="210">
        <f>DATE(YEAR(DV55)+2,MONTH(DV55),DAY(DV55))</f>
        <v>731</v>
      </c>
      <c r="EP55" s="423"/>
      <c r="EQ55" s="423"/>
      <c r="ER55" s="423"/>
      <c r="ES55" s="423"/>
      <c r="ET55" s="423"/>
      <c r="EU55" s="334">
        <f>DATE(YEAR(EN55),MONTH(EN55)+1,DAY(EN55))</f>
        <v>43556</v>
      </c>
      <c r="EV55" s="206">
        <f>EU55</f>
        <v>43556</v>
      </c>
      <c r="EW55" s="206"/>
      <c r="EX55" s="209"/>
      <c r="EY55" s="434"/>
      <c r="EZ55" s="212"/>
      <c r="FA55" s="212"/>
      <c r="FB55" s="212"/>
      <c r="FC55" s="212"/>
      <c r="FD55" s="110"/>
      <c r="FE55" s="110"/>
      <c r="FF55" s="110"/>
      <c r="FG55" s="110"/>
      <c r="FH55" s="110"/>
      <c r="FI55" s="110"/>
      <c r="FJ55" s="110"/>
      <c r="FK55" s="110"/>
      <c r="FL55" s="110"/>
      <c r="FM55" s="110"/>
      <c r="FN55" s="110"/>
      <c r="FO55" s="110"/>
      <c r="FP55" s="199"/>
      <c r="FQ55" s="153">
        <f>+GA55+GE55+GL55+HF55</f>
        <v>3901188</v>
      </c>
      <c r="FR55" s="560">
        <f>GB55+GF55+GK55+GM55+GQ55</f>
        <v>4025528.7427754011</v>
      </c>
      <c r="FS55" s="25">
        <f>FR55-FQ55</f>
        <v>124340.7427754011</v>
      </c>
      <c r="FT55" s="50">
        <f>FR55/AG55</f>
        <v>2221.1651958922953</v>
      </c>
      <c r="FU55" s="50">
        <f>FR55/AD55</f>
        <v>143768.88367055004</v>
      </c>
      <c r="FV55" s="153">
        <v>3532430.6948800003</v>
      </c>
      <c r="FW55" s="124">
        <v>3790547.2600000002</v>
      </c>
      <c r="FX55" s="25">
        <f>FW55-FV55</f>
        <v>258116.56511999993</v>
      </c>
      <c r="FY55" s="231">
        <f>FW55*1.021/FR55</f>
        <v>0.96140134619725148</v>
      </c>
      <c r="FZ55" s="234">
        <v>0.4</v>
      </c>
      <c r="GA55" s="153">
        <v>1168119</v>
      </c>
      <c r="GB55" s="24">
        <v>1263947.1905793203</v>
      </c>
      <c r="GC55" s="50">
        <f>GB55/AD55</f>
        <v>45140.971092118583</v>
      </c>
      <c r="GD55" s="73">
        <f>GB55-GA55</f>
        <v>95828.190579320304</v>
      </c>
      <c r="GE55" s="23">
        <f>1677074+399995</f>
        <v>2077069</v>
      </c>
      <c r="GF55" s="24">
        <f>GG55+GH55</f>
        <v>2105581.5521960808</v>
      </c>
      <c r="GG55" s="147">
        <v>386331.95219608076</v>
      </c>
      <c r="GH55" s="147">
        <v>1719249.6</v>
      </c>
      <c r="GI55" s="73">
        <f>GF55-GE55</f>
        <v>28512.552196080796</v>
      </c>
      <c r="GJ55" s="50">
        <f>GF55/AD55</f>
        <v>75199.341149860033</v>
      </c>
      <c r="GK55" s="124"/>
      <c r="GL55" s="153">
        <v>656000</v>
      </c>
      <c r="GM55" s="559">
        <v>656000</v>
      </c>
      <c r="GN55" s="124"/>
      <c r="GO55" s="76">
        <f>GM55/FR55</f>
        <v>0.16295995927921775</v>
      </c>
      <c r="GP55" s="590"/>
      <c r="GQ55" s="124"/>
      <c r="GR55" s="51">
        <f>GM55-GL55</f>
        <v>0</v>
      </c>
      <c r="GS55" s="50">
        <f>GM55/AD55</f>
        <v>23428.571428571428</v>
      </c>
      <c r="GT55" s="138">
        <f>(GB55+GM55)/AD55</f>
        <v>68569.542520690011</v>
      </c>
      <c r="GU55" s="51">
        <f>GR55/AD55</f>
        <v>0</v>
      </c>
      <c r="GV55" s="97">
        <v>5.54</v>
      </c>
      <c r="GW55" s="97"/>
      <c r="GX55" s="75">
        <v>878080.00034999999</v>
      </c>
      <c r="GY55" s="75">
        <v>560000</v>
      </c>
      <c r="GZ55" s="50">
        <f>(GA55+GL55+GY55)/AD55</f>
        <v>85147.107142857145</v>
      </c>
      <c r="HA55" s="75">
        <v>84831.933350000065</v>
      </c>
      <c r="HB55" s="50">
        <f>(GB55+GM55+GY55+HA55)/AD55</f>
        <v>91599.254426047162</v>
      </c>
      <c r="HC55" s="99">
        <f>(GA55+GL55+GY55+HA55)/(GX55+FQ55-HD55)</f>
        <v>0.53838599033842116</v>
      </c>
      <c r="HD55" s="75">
        <v>193430</v>
      </c>
      <c r="HE55" s="75"/>
      <c r="HF55" s="24"/>
      <c r="HG55" s="77">
        <f>FQ55+GX55</f>
        <v>4779268.0003500003</v>
      </c>
      <c r="HH55" s="491">
        <v>199115</v>
      </c>
      <c r="HI55" s="491">
        <f>HK55+ID55+IH55+IS55+JD55</f>
        <v>99557</v>
      </c>
      <c r="HJ55" s="201">
        <v>42333</v>
      </c>
      <c r="HK55" s="408">
        <v>23317</v>
      </c>
      <c r="HL55" s="201">
        <v>42327</v>
      </c>
      <c r="HM55" s="201">
        <f>DATE(YEAR(HL55),MONTH(HL55),DAY(HL55)+21)</f>
        <v>42348</v>
      </c>
      <c r="HN55" s="201">
        <v>42348</v>
      </c>
      <c r="HO55" s="202">
        <f>IF(AND(HM55&gt;0,HN55&gt;0),HN55-HM55,"0")</f>
        <v>0</v>
      </c>
      <c r="HP55" s="201">
        <v>42405</v>
      </c>
      <c r="HQ55" s="202">
        <f>IF(AND(HN55&gt;0,HP55&gt;0),HP55-HN55,"0")</f>
        <v>57</v>
      </c>
      <c r="HR55" s="202">
        <f>+HQ55-30</f>
        <v>27</v>
      </c>
      <c r="HS55" s="634">
        <f>IF(AND(HL55&gt;0,HP55&gt;0),HP55-HL55,"0")</f>
        <v>78</v>
      </c>
      <c r="HT55" s="201">
        <v>42405</v>
      </c>
      <c r="HU55" s="202">
        <f>IF(AND(HP55&gt;0,HT55&gt;0),HT55-HP55,"0")</f>
        <v>0</v>
      </c>
      <c r="HV55" s="201">
        <f>DATE(YEAR(HT55),MONTH(HT55),DAY(HT55)+21)</f>
        <v>42426</v>
      </c>
      <c r="HW55" s="201">
        <v>42417</v>
      </c>
      <c r="HX55" s="202">
        <f>IF(AND(HV55&gt;0,HW55&gt;0),HW55-HV55,"0")</f>
        <v>-9</v>
      </c>
      <c r="HY55" s="201">
        <v>42439</v>
      </c>
      <c r="HZ55" s="202">
        <f>IF(AND(HW55&gt;0,HY55&gt;0),HY55-HW55,"0")</f>
        <v>22</v>
      </c>
      <c r="IA55" s="202">
        <f>+HZ55-30</f>
        <v>-8</v>
      </c>
      <c r="IB55" s="634">
        <f>IF(AND(HT55&gt;0,HY55&gt;0),HY55-HT55,"0")</f>
        <v>34</v>
      </c>
      <c r="IC55" s="213"/>
      <c r="ID55" s="408"/>
      <c r="IE55" s="201"/>
      <c r="IF55" s="201">
        <v>42412</v>
      </c>
      <c r="IG55" s="201">
        <v>42429</v>
      </c>
      <c r="IH55" s="408">
        <v>23306</v>
      </c>
      <c r="II55" s="213">
        <v>42439</v>
      </c>
      <c r="IJ55" s="202">
        <f>IF(AND(HY55&gt;0,II55&gt;0),II55-HY55,"0")</f>
        <v>0</v>
      </c>
      <c r="IK55" s="213">
        <f>DATE(YEAR(II55),MONTH(II55),DAY(II55)+30)</f>
        <v>42469</v>
      </c>
      <c r="IL55" s="213">
        <v>42443</v>
      </c>
      <c r="IM55" s="202">
        <f>IF(AND(IK55&gt;0,IL55&gt;0),IL55-IK55,"0")</f>
        <v>-26</v>
      </c>
      <c r="IN55" s="213">
        <v>42604</v>
      </c>
      <c r="IO55" s="202">
        <f>IF(AND(IL55&gt;0,IN55&gt;0),IN55-IL55,"0")</f>
        <v>161</v>
      </c>
      <c r="IP55" s="202">
        <f>+IO55-30</f>
        <v>131</v>
      </c>
      <c r="IQ55" s="634">
        <f>IF(AND(II55&gt;0,IN55&gt;0),IN55-II55,"0")</f>
        <v>165</v>
      </c>
      <c r="IR55" s="213">
        <v>42657</v>
      </c>
      <c r="IS55" s="635">
        <v>23065</v>
      </c>
      <c r="IT55" s="213">
        <v>42633</v>
      </c>
      <c r="IU55" s="229">
        <f>IF(AND(IN55&gt;0,IT55&gt;0),IT55-IN55,"0")</f>
        <v>29</v>
      </c>
      <c r="IV55" s="636">
        <f>DATE(YEAR(IT55),MONTH(IT55),DAY(IT55)+30)</f>
        <v>42663</v>
      </c>
      <c r="IW55" s="636">
        <v>42684</v>
      </c>
      <c r="IX55" s="229">
        <f>IF(AND(IV55&gt;0,IW55&gt;0),IW55-IV55,"0")</f>
        <v>21</v>
      </c>
      <c r="IY55" s="636">
        <v>42779</v>
      </c>
      <c r="IZ55" s="229">
        <f>IF(AND(IW55&gt;0,IY55&gt;0),IY55-IW55,"0")</f>
        <v>95</v>
      </c>
      <c r="JA55" s="229">
        <f>IZ55-30</f>
        <v>65</v>
      </c>
      <c r="JB55" s="637">
        <f>IF(AND(IT55&gt;0,IY55&gt;0),IY55-IT55,"0")</f>
        <v>146</v>
      </c>
      <c r="JC55" s="328" t="s">
        <v>1053</v>
      </c>
      <c r="JD55" s="635">
        <f>14934+14935</f>
        <v>29869</v>
      </c>
      <c r="JE55" s="502">
        <f>IY55</f>
        <v>42779</v>
      </c>
      <c r="JF55" s="487">
        <f>IF(AND(IY55&gt;0,JE55&gt;0),JE55-IY55,"0")</f>
        <v>0</v>
      </c>
      <c r="JG55" s="502">
        <f>DATE(YEAR(JE55),MONTH(JE55),DAY(JE55)+15)</f>
        <v>42794</v>
      </c>
      <c r="JH55" s="502">
        <f ca="1">IF(JG55&lt;TODAY(),TODAY(),JG55)</f>
        <v>42794</v>
      </c>
      <c r="JI55" s="487">
        <f ca="1">IF(AND(JG55&gt;0,JH55&gt;0),JH55-JG55,"0")</f>
        <v>0</v>
      </c>
      <c r="JJ55" s="502">
        <f ca="1">DATE(YEAR(JH55),MONTH(JH55),DAY(JH55)+45)</f>
        <v>42839</v>
      </c>
      <c r="JK55" s="502">
        <f ca="1">JJ55</f>
        <v>42839</v>
      </c>
      <c r="JL55" s="487">
        <f ca="1">IF(AND(JJ55&gt;0,JK55&gt;0),JK55-JJ55,"0")</f>
        <v>0</v>
      </c>
      <c r="JM55" s="509">
        <f ca="1">IF(AND(JE55&gt;0,JK55&gt;0),JK55-JE55,"0")</f>
        <v>60</v>
      </c>
      <c r="JN55" s="502">
        <f ca="1">DATE(YEAR(JK55),MONTH(JK55),DAY(JK55)+60)</f>
        <v>42899</v>
      </c>
      <c r="JO55" s="501">
        <f ca="1">IF(AND(JK55&gt;0,JN55&gt;0),JN55-JK55,"0")</f>
        <v>60</v>
      </c>
      <c r="JP55" s="498">
        <f ca="1">JO55-60</f>
        <v>0</v>
      </c>
      <c r="JQ55" s="482">
        <f>291/30</f>
        <v>9.6999999999999993</v>
      </c>
      <c r="JR55" s="504">
        <f ca="1">((+HS55+HU55+IB55+IJ55+IQ55+IU55+JB55+JI55+JF55)/30)-JQ55</f>
        <v>5.3666666666666671</v>
      </c>
      <c r="JS55" s="490"/>
      <c r="JT55" s="505"/>
      <c r="JU55" s="490"/>
      <c r="JV55" s="505"/>
      <c r="JW55" s="586"/>
      <c r="JX55" s="586"/>
      <c r="JY55" s="586"/>
      <c r="JZ55" s="586"/>
    </row>
    <row r="56" spans="1:286" ht="30" hidden="1" customHeight="1" x14ac:dyDescent="0.25">
      <c r="A56" s="444" t="s">
        <v>56</v>
      </c>
      <c r="B56" s="110" t="s">
        <v>46</v>
      </c>
      <c r="C56" s="110" t="s">
        <v>157</v>
      </c>
      <c r="D56" s="110">
        <v>2016</v>
      </c>
      <c r="E56" s="110" t="s">
        <v>57</v>
      </c>
      <c r="F56" s="110" t="s">
        <v>74</v>
      </c>
      <c r="G56" s="135" t="s">
        <v>719</v>
      </c>
      <c r="H56" s="110" t="s">
        <v>383</v>
      </c>
      <c r="I56" s="135"/>
      <c r="J56" s="110"/>
      <c r="K56" s="453" t="s">
        <v>1017</v>
      </c>
      <c r="L56" s="591" t="s">
        <v>81</v>
      </c>
      <c r="M56" s="591" t="s">
        <v>88</v>
      </c>
      <c r="N56" s="591"/>
      <c r="O56" s="379">
        <v>2433</v>
      </c>
      <c r="P56" s="379">
        <f>Q56</f>
        <v>487212</v>
      </c>
      <c r="Q56" s="379">
        <v>487212</v>
      </c>
      <c r="R56" s="379">
        <f>P56/AD56</f>
        <v>16240.4</v>
      </c>
      <c r="S56" s="379">
        <f>P56/O56</f>
        <v>200.25154130702836</v>
      </c>
      <c r="T56" s="379">
        <f>Q56/O56</f>
        <v>200.25154130702836</v>
      </c>
      <c r="U56" s="379">
        <f>Q56/AH56</f>
        <v>190.87340453038934</v>
      </c>
      <c r="V56" s="379">
        <f>Q56/AD56</f>
        <v>16240.4</v>
      </c>
      <c r="W56" s="379">
        <f>O56/AD56</f>
        <v>81.099999999999994</v>
      </c>
      <c r="X56" s="380">
        <v>782</v>
      </c>
      <c r="Y56" s="381">
        <f>AH56/O56</f>
        <v>1.0491327579120426</v>
      </c>
      <c r="Z56" s="380" t="s">
        <v>309</v>
      </c>
      <c r="AA56" s="380">
        <v>528</v>
      </c>
      <c r="AB56" s="381">
        <v>0.05</v>
      </c>
      <c r="AC56" s="110" t="s">
        <v>25</v>
      </c>
      <c r="AD56" s="342">
        <f>AE56+AF56</f>
        <v>30</v>
      </c>
      <c r="AE56" s="110">
        <v>30</v>
      </c>
      <c r="AF56" s="121"/>
      <c r="AG56" s="114">
        <v>2526.1</v>
      </c>
      <c r="AH56" s="401">
        <v>2552.54</v>
      </c>
      <c r="AI56" s="22">
        <f>AH56/AD56</f>
        <v>85.084666666666664</v>
      </c>
      <c r="AJ56" s="135">
        <f>4/AD56</f>
        <v>0.13333333333333333</v>
      </c>
      <c r="AK56" s="135">
        <f>7/AD56</f>
        <v>0.23333333333333334</v>
      </c>
      <c r="AL56" s="135">
        <f>9/AD56</f>
        <v>0.3</v>
      </c>
      <c r="AM56" s="135">
        <f>8/AD56</f>
        <v>0.26666666666666666</v>
      </c>
      <c r="AN56" s="135">
        <f>2/AD56</f>
        <v>6.6666666666666666E-2</v>
      </c>
      <c r="AO56" s="114"/>
      <c r="AP56" s="133">
        <v>0</v>
      </c>
      <c r="AQ56" s="135">
        <f>AP56/O56</f>
        <v>0</v>
      </c>
      <c r="AR56" s="114">
        <v>4.5</v>
      </c>
      <c r="AS56" s="110">
        <v>1</v>
      </c>
      <c r="AT56" s="110" t="s">
        <v>316</v>
      </c>
      <c r="AU56" s="110" t="s">
        <v>178</v>
      </c>
      <c r="AV56" s="110" t="s">
        <v>168</v>
      </c>
      <c r="AW56" s="419">
        <v>40805</v>
      </c>
      <c r="AX56" s="543" t="s">
        <v>525</v>
      </c>
      <c r="AY56" s="419">
        <v>40816</v>
      </c>
      <c r="AZ56" s="419"/>
      <c r="BA56" s="415" t="s">
        <v>754</v>
      </c>
      <c r="BB56" s="415" t="s">
        <v>755</v>
      </c>
      <c r="BC56" s="415" t="s">
        <v>756</v>
      </c>
      <c r="BD56" s="525" t="s">
        <v>761</v>
      </c>
      <c r="BE56" s="419">
        <v>42494</v>
      </c>
      <c r="BF56" s="419">
        <v>42523</v>
      </c>
      <c r="BG56" s="419">
        <v>42548</v>
      </c>
      <c r="BH56" s="419">
        <v>42587</v>
      </c>
      <c r="BI56" s="337"/>
      <c r="BJ56" s="337"/>
      <c r="BK56" s="337"/>
      <c r="BL56" s="337"/>
      <c r="BM56" s="337"/>
      <c r="BN56" s="196" t="s">
        <v>18</v>
      </c>
      <c r="BO56" s="196" t="s">
        <v>174</v>
      </c>
      <c r="BP56" s="196"/>
      <c r="BQ56" s="196" t="s">
        <v>174</v>
      </c>
      <c r="BR56" s="196" t="s">
        <v>174</v>
      </c>
      <c r="BS56" s="196" t="s">
        <v>200</v>
      </c>
      <c r="BT56" s="520"/>
      <c r="BU56" s="558">
        <v>42618</v>
      </c>
      <c r="BV56" s="160">
        <v>42646</v>
      </c>
      <c r="BW56" s="160"/>
      <c r="BX56" s="160" t="s">
        <v>168</v>
      </c>
      <c r="BY56" s="160">
        <v>41807</v>
      </c>
      <c r="BZ56" s="376">
        <v>41831</v>
      </c>
      <c r="CA56" s="160"/>
      <c r="CB56" s="306"/>
      <c r="CC56" s="629"/>
      <c r="CD56" s="308"/>
      <c r="CE56" s="308"/>
      <c r="CF56" s="161"/>
      <c r="CG56" s="336">
        <f>DATE(YEAR(CF56),MONTH(CF56)+24,DAY(CF56))</f>
        <v>731</v>
      </c>
      <c r="CH56" s="336">
        <f>DATE(YEAR(CF56),MONTH(CF56)+36,DAY(CF56))</f>
        <v>1096</v>
      </c>
      <c r="CI56" s="336"/>
      <c r="CJ56" s="306"/>
      <c r="CK56" s="308"/>
      <c r="CL56" s="161"/>
      <c r="CM56" s="371"/>
      <c r="CN56" s="161"/>
      <c r="CO56" s="161"/>
      <c r="CP56" s="162"/>
      <c r="CQ56" s="367"/>
      <c r="CR56" s="162"/>
      <c r="CS56" s="162"/>
      <c r="CT56" s="162"/>
      <c r="CU56" s="367"/>
      <c r="CV56" s="162"/>
      <c r="CW56" s="162"/>
      <c r="CX56" s="166"/>
      <c r="CY56" s="368"/>
      <c r="CZ56" s="166"/>
      <c r="DA56" s="166"/>
      <c r="DB56" s="299" t="s">
        <v>88</v>
      </c>
      <c r="DC56" s="313">
        <v>114606</v>
      </c>
      <c r="DD56" s="313">
        <f>DC56*3/5</f>
        <v>68763.600000000006</v>
      </c>
      <c r="DE56" s="312"/>
      <c r="DF56" s="312"/>
      <c r="DG56" s="312"/>
      <c r="DH56" s="312"/>
      <c r="DI56" s="312"/>
      <c r="DJ56" s="312"/>
      <c r="DK56" s="293"/>
      <c r="DL56" s="293"/>
      <c r="DM56" s="293"/>
      <c r="DN56" s="293" t="s">
        <v>782</v>
      </c>
      <c r="DO56" s="293"/>
      <c r="DP56" s="293"/>
      <c r="DQ56" s="304"/>
      <c r="DR56" s="443"/>
      <c r="DS56" s="443"/>
      <c r="DT56" s="298"/>
      <c r="DU56" s="304">
        <f>DATE(YEAR(DQ56),MONTH(DQ56)+18,DAY(DQ56))</f>
        <v>547</v>
      </c>
      <c r="DV56" s="443"/>
      <c r="DW56" s="443"/>
      <c r="DX56" s="435"/>
      <c r="DY56" s="435"/>
      <c r="DZ56" s="435"/>
      <c r="EA56" s="434">
        <v>43040</v>
      </c>
      <c r="EB56" s="436"/>
      <c r="EC56" s="437">
        <v>18</v>
      </c>
      <c r="ED56" s="437">
        <f>EC56+2</f>
        <v>20</v>
      </c>
      <c r="EE56" s="422">
        <f>DATEDIF(EA56,EN56,"M")</f>
        <v>18</v>
      </c>
      <c r="EF56" s="422">
        <f>DATEDIF(EA56,EV56,"M")</f>
        <v>19</v>
      </c>
      <c r="EG56" s="422">
        <f>EE56-EC56</f>
        <v>0</v>
      </c>
      <c r="EH56" s="422"/>
      <c r="EI56" s="438"/>
      <c r="EJ56" s="438"/>
      <c r="EK56" s="436"/>
      <c r="EL56" s="436"/>
      <c r="EM56" s="436"/>
      <c r="EN56" s="210">
        <f>DATE(YEAR(EA56),MONTH(EA56)+EC56,DAY(EA56))</f>
        <v>43586</v>
      </c>
      <c r="EO56" s="210">
        <f>DATE(YEAR(DV56)+2,MONTH(DV56),DAY(DV56))</f>
        <v>731</v>
      </c>
      <c r="EP56" s="436"/>
      <c r="EQ56" s="436"/>
      <c r="ER56" s="436"/>
      <c r="ES56" s="436"/>
      <c r="ET56" s="436"/>
      <c r="EU56" s="210">
        <f>DATE(YEAR(EN56),MONTH(EN56)+1,DAY(EN56))</f>
        <v>43617</v>
      </c>
      <c r="EV56" s="206">
        <f>EU56</f>
        <v>43617</v>
      </c>
      <c r="EW56" s="484"/>
      <c r="EX56" s="209" t="s">
        <v>689</v>
      </c>
      <c r="EY56" s="439"/>
      <c r="EZ56" s="335"/>
      <c r="FA56" s="335"/>
      <c r="FB56" s="335"/>
      <c r="FC56" s="335"/>
      <c r="FD56" s="135"/>
      <c r="FE56" s="135"/>
      <c r="FF56" s="135"/>
      <c r="FG56" s="135"/>
      <c r="FH56" s="135"/>
      <c r="FI56" s="135"/>
      <c r="FJ56" s="135"/>
      <c r="FK56" s="135"/>
      <c r="FL56" s="135"/>
      <c r="FM56" s="135"/>
      <c r="FN56" s="135"/>
      <c r="FO56" s="135"/>
      <c r="FP56" s="199" t="s">
        <v>168</v>
      </c>
      <c r="FQ56" s="153">
        <f>+GA56+GE56+GL56+HF56</f>
        <v>4943384.7071162229</v>
      </c>
      <c r="FR56" s="560">
        <f>GB56+GF56+GK56+GM56+GQ56</f>
        <v>5004907</v>
      </c>
      <c r="FS56" s="25">
        <f>FR56-FQ56</f>
        <v>61522.29288377706</v>
      </c>
      <c r="FT56" s="50">
        <f>FR56/AG56</f>
        <v>1981.2782550176162</v>
      </c>
      <c r="FU56" s="50">
        <f>FR56/AD56</f>
        <v>166830.23333333334</v>
      </c>
      <c r="FV56" s="153">
        <v>4257022.3269400001</v>
      </c>
      <c r="FW56" s="124">
        <v>4316430</v>
      </c>
      <c r="FX56" s="25">
        <f>FW56-FV56</f>
        <v>59407.673059999943</v>
      </c>
      <c r="FY56" s="231">
        <f>FW56*1.021/FR56</f>
        <v>0.88055083341208928</v>
      </c>
      <c r="FZ56" s="234">
        <v>0.37030000000000002</v>
      </c>
      <c r="GA56" s="153">
        <v>1487646.5617181344</v>
      </c>
      <c r="GB56" s="24">
        <v>1509513</v>
      </c>
      <c r="GC56" s="50">
        <f>GB56/AD56</f>
        <v>50317.1</v>
      </c>
      <c r="GD56" s="73">
        <f>GB56-GA56</f>
        <v>21866.438281865558</v>
      </c>
      <c r="GE56" s="23">
        <v>3185738.1453980887</v>
      </c>
      <c r="GF56" s="24">
        <f>GG56+GH56</f>
        <v>3225394</v>
      </c>
      <c r="GG56" s="147">
        <v>666502</v>
      </c>
      <c r="GH56" s="147">
        <v>2558892</v>
      </c>
      <c r="GI56" s="73">
        <f>GF56-GE56</f>
        <v>39655.854601911269</v>
      </c>
      <c r="GJ56" s="50">
        <f>GF56/AD56</f>
        <v>107513.13333333333</v>
      </c>
      <c r="GK56" s="124">
        <v>0</v>
      </c>
      <c r="GL56" s="153">
        <v>270000</v>
      </c>
      <c r="GM56" s="559">
        <v>270000</v>
      </c>
      <c r="GN56" s="124"/>
      <c r="GO56" s="76">
        <f>GM56/FR56</f>
        <v>5.3947056358889384E-2</v>
      </c>
      <c r="GP56" s="590"/>
      <c r="GQ56" s="124">
        <v>0</v>
      </c>
      <c r="GR56" s="51">
        <f>GM56-GL56</f>
        <v>0</v>
      </c>
      <c r="GS56" s="95">
        <f>GL56/AD56</f>
        <v>9000</v>
      </c>
      <c r="GT56" s="138">
        <f>(GB56+GM56)/AD56</f>
        <v>59317.1</v>
      </c>
      <c r="GU56" s="51">
        <f>GR56/AD56</f>
        <v>0</v>
      </c>
      <c r="GV56" s="97">
        <v>6.47</v>
      </c>
      <c r="GW56" s="97">
        <v>5.76</v>
      </c>
      <c r="GX56" s="75">
        <v>0</v>
      </c>
      <c r="GY56" s="75">
        <v>0</v>
      </c>
      <c r="GZ56" s="50">
        <f>(GA56+GL56+GY56)/AD56</f>
        <v>58588.218723937818</v>
      </c>
      <c r="HA56" s="75">
        <v>0</v>
      </c>
      <c r="HB56" s="50">
        <f>(GB56+GM56+GY56+HA56)/AD56</f>
        <v>59317.1</v>
      </c>
      <c r="HC56" s="99">
        <f>(GA56+GL56+GY56+HA56)/(GX56+FQ56-HD56)</f>
        <v>0.3555552856705495</v>
      </c>
      <c r="HD56" s="75"/>
      <c r="HE56" s="75"/>
      <c r="HF56" s="24">
        <v>0</v>
      </c>
      <c r="HG56" s="77">
        <f>FQ56+GX56</f>
        <v>4943384.7071162229</v>
      </c>
      <c r="HH56" s="491">
        <v>236430</v>
      </c>
      <c r="HI56" s="491">
        <f>HK56+ID56+IH56+IS56+JD56</f>
        <v>118215</v>
      </c>
      <c r="HJ56" s="494">
        <v>40779</v>
      </c>
      <c r="HK56" s="491">
        <v>3705</v>
      </c>
      <c r="HL56" s="415">
        <v>40735</v>
      </c>
      <c r="HM56" s="415">
        <f>DATE(YEAR(HL56),MONTH(HL56),DAY(HL56)+21)</f>
        <v>40756</v>
      </c>
      <c r="HN56" s="415">
        <v>40749</v>
      </c>
      <c r="HO56" s="497">
        <f>IF(AND(HM56&gt;0,HN56&gt;0),HN56-HM56,"0")</f>
        <v>-7</v>
      </c>
      <c r="HP56" s="415">
        <v>40784</v>
      </c>
      <c r="HQ56" s="481">
        <f>IF(AND(HN56&gt;0,HP56&gt;0),HP56-HN56,"0")</f>
        <v>35</v>
      </c>
      <c r="HR56" s="497">
        <f>+HQ56-30</f>
        <v>5</v>
      </c>
      <c r="HS56" s="506">
        <f>IF(AND(HL56&gt;0,HP56&gt;0),HP56-HL56,"0")</f>
        <v>49</v>
      </c>
      <c r="HT56" s="415">
        <v>40805</v>
      </c>
      <c r="HU56" s="497">
        <f>IF(AND(HP56&gt;0,HT56&gt;0),HT56-HP56,"0")</f>
        <v>21</v>
      </c>
      <c r="HV56" s="415">
        <f>DATE(YEAR(HT56),MONTH(HT56),DAY(HT56)+21)</f>
        <v>40826</v>
      </c>
      <c r="HW56" s="415">
        <v>40826</v>
      </c>
      <c r="HX56" s="497">
        <f>IF(AND(HV56&gt;0,HW56&gt;0),HW56-HV56,"0")</f>
        <v>0</v>
      </c>
      <c r="HY56" s="415">
        <v>40854</v>
      </c>
      <c r="HZ56" s="481">
        <f>IF(AND(HW56&gt;0,HY56&gt;0),HY56-HW56,"0")</f>
        <v>28</v>
      </c>
      <c r="IA56" s="497">
        <f>+HZ56-30</f>
        <v>-2</v>
      </c>
      <c r="IB56" s="506">
        <f>IF(AND(HT56&gt;0,HY56&gt;0),HY56-HT56,"0")</f>
        <v>49</v>
      </c>
      <c r="IC56" s="490">
        <v>40892</v>
      </c>
      <c r="ID56" s="491">
        <v>11608</v>
      </c>
      <c r="IE56" s="415"/>
      <c r="IF56" s="415">
        <v>42404</v>
      </c>
      <c r="IG56" s="494">
        <v>40892</v>
      </c>
      <c r="IH56" s="491">
        <v>42727</v>
      </c>
      <c r="II56" s="347">
        <v>40924</v>
      </c>
      <c r="IJ56" s="497">
        <f>IF(AND(HY56&gt;0,II56&gt;0),II56-HY56,"0")</f>
        <v>70</v>
      </c>
      <c r="IK56" s="347">
        <f>DATE(YEAR(II56),MONTH(II56),DAY(II56)+30)</f>
        <v>40954</v>
      </c>
      <c r="IL56" s="347">
        <v>40954</v>
      </c>
      <c r="IM56" s="497">
        <f>IF(AND(IK56&gt;0,IL56&gt;0),IL56-IK56,"0")</f>
        <v>0</v>
      </c>
      <c r="IN56" s="347">
        <v>41001</v>
      </c>
      <c r="IO56" s="481">
        <f>IF(AND(IL56&gt;0,IN56&gt;0),IN56-IL56,"0")</f>
        <v>47</v>
      </c>
      <c r="IP56" s="497">
        <f>+IO56-30</f>
        <v>17</v>
      </c>
      <c r="IQ56" s="506">
        <f>IF(AND(II56&gt;0,IN56&gt;0),IN56-II56,"0")</f>
        <v>77</v>
      </c>
      <c r="IR56" s="490">
        <v>41193</v>
      </c>
      <c r="IS56" s="491">
        <v>25155</v>
      </c>
      <c r="IT56" s="347">
        <v>42387</v>
      </c>
      <c r="IU56" s="498">
        <f>IF(AND(IN56&gt;0,IT56&gt;0),IT56-IN56,"0")</f>
        <v>1386</v>
      </c>
      <c r="IV56" s="347">
        <f>DATE(YEAR(IT56),MONTH(IT56),DAY(IT56)+30)</f>
        <v>42417</v>
      </c>
      <c r="IW56" s="347">
        <v>42359</v>
      </c>
      <c r="IX56" s="498">
        <f>IF(AND(IV56&gt;0,IW56&gt;0),IW56-IV56,"0")</f>
        <v>-58</v>
      </c>
      <c r="IY56" s="347">
        <v>42429</v>
      </c>
      <c r="IZ56" s="482">
        <f>IF(AND(IW56&gt;0,IY56&gt;0),IY56-IW56,"0")</f>
        <v>70</v>
      </c>
      <c r="JA56" s="498">
        <f>IZ56-30</f>
        <v>40</v>
      </c>
      <c r="JB56" s="508">
        <f>IF(AND(IT56&gt;0,IY56&gt;0),IY56-IT56,"0")</f>
        <v>42</v>
      </c>
      <c r="JC56" s="490">
        <v>42615</v>
      </c>
      <c r="JD56" s="511">
        <v>35020</v>
      </c>
      <c r="JE56" s="347">
        <v>42445</v>
      </c>
      <c r="JF56" s="487">
        <f>IF(AND(IY56&gt;0,JE56&gt;0),JE56-IY56,"0")</f>
        <v>16</v>
      </c>
      <c r="JG56" s="414">
        <f>DATE(YEAR(JE56),MONTH(JE56),DAY(JE56)+15)</f>
        <v>42460</v>
      </c>
      <c r="JH56" s="414">
        <v>42471</v>
      </c>
      <c r="JI56" s="487">
        <f>IF(AND(JG56&gt;0,JH56&gt;0),JH56-JG56,"0")</f>
        <v>11</v>
      </c>
      <c r="JJ56" s="502">
        <f>DATE(YEAR(JH56),MONTH(JH56),DAY(JH56)+45)</f>
        <v>42516</v>
      </c>
      <c r="JK56" s="502">
        <f>JJ56</f>
        <v>42516</v>
      </c>
      <c r="JL56" s="487">
        <f>IF(AND(JJ56&gt;0,JK56&gt;0),JK56-JJ56,"0")</f>
        <v>0</v>
      </c>
      <c r="JM56" s="509">
        <f>IF(AND(JE56&gt;0,JK56&gt;0),JK56-JE56,"0")</f>
        <v>71</v>
      </c>
      <c r="JN56" s="502">
        <f>DATE(YEAR(JK56),MONTH(JK56),DAY(JK56)+60)</f>
        <v>42576</v>
      </c>
      <c r="JO56" s="501">
        <f>IF(AND(JK56&gt;0,JN56&gt;0),JN56-JK56,"0")</f>
        <v>60</v>
      </c>
      <c r="JP56" s="498">
        <f>JO56-60</f>
        <v>0</v>
      </c>
      <c r="JQ56" s="482">
        <f>291/30</f>
        <v>9.6999999999999993</v>
      </c>
      <c r="JR56" s="504">
        <f>((+HS56+HU56+IB56+IJ56+IQ56+IU56+JB56+JM56+JF56)/30)-JQ56</f>
        <v>49.666666666666671</v>
      </c>
      <c r="JS56" s="490">
        <v>42719</v>
      </c>
      <c r="JT56" s="491">
        <f>71519.83/1.085</f>
        <v>65916.894009216587</v>
      </c>
      <c r="JU56" s="490"/>
      <c r="JV56" s="491"/>
      <c r="JW56" s="587"/>
      <c r="JX56" s="587"/>
      <c r="JY56" s="587"/>
      <c r="JZ56" s="587"/>
    </row>
    <row r="57" spans="1:286" ht="62.25" hidden="1" customHeight="1" x14ac:dyDescent="0.25">
      <c r="A57" s="146" t="s">
        <v>522</v>
      </c>
      <c r="B57" s="110" t="s">
        <v>38</v>
      </c>
      <c r="C57" s="110" t="s">
        <v>157</v>
      </c>
      <c r="D57" s="110">
        <v>2016</v>
      </c>
      <c r="E57" s="110" t="s">
        <v>427</v>
      </c>
      <c r="F57" s="110" t="s">
        <v>40</v>
      </c>
      <c r="G57" s="110" t="s">
        <v>719</v>
      </c>
      <c r="H57" s="110" t="s">
        <v>245</v>
      </c>
      <c r="I57" s="110"/>
      <c r="J57" s="110" t="s">
        <v>558</v>
      </c>
      <c r="K57" s="453" t="s">
        <v>946</v>
      </c>
      <c r="L57" s="309"/>
      <c r="M57" s="310"/>
      <c r="N57" s="311"/>
      <c r="O57" s="379">
        <v>2872</v>
      </c>
      <c r="P57" s="379">
        <v>516960</v>
      </c>
      <c r="Q57" s="379">
        <f>P57</f>
        <v>516960</v>
      </c>
      <c r="R57" s="379">
        <f>P57/AD57</f>
        <v>12924</v>
      </c>
      <c r="S57" s="379">
        <f>P57/O57</f>
        <v>180</v>
      </c>
      <c r="T57" s="387">
        <f>Q57/O57</f>
        <v>180</v>
      </c>
      <c r="U57" s="387">
        <f>Q57/AH57</f>
        <v>216.90750717486529</v>
      </c>
      <c r="V57" s="387">
        <f>Q57/AD57</f>
        <v>12924</v>
      </c>
      <c r="W57" s="379">
        <f>O57/AD57</f>
        <v>71.8</v>
      </c>
      <c r="X57" s="380"/>
      <c r="Y57" s="390">
        <f>AH57/O57</f>
        <v>0.8298467966573817</v>
      </c>
      <c r="Z57" s="380"/>
      <c r="AA57" s="380"/>
      <c r="AB57" s="381"/>
      <c r="AC57" s="110" t="s">
        <v>26</v>
      </c>
      <c r="AD57" s="640">
        <f>(AE57+AF57)</f>
        <v>40</v>
      </c>
      <c r="AE57" s="121"/>
      <c r="AF57" s="110">
        <v>40</v>
      </c>
      <c r="AG57" s="114">
        <v>2383.79</v>
      </c>
      <c r="AH57" s="401">
        <v>2383.3200000000002</v>
      </c>
      <c r="AI57" s="22">
        <f>AH57/AD57</f>
        <v>59.583000000000006</v>
      </c>
      <c r="AJ57" s="135"/>
      <c r="AK57" s="135">
        <f>37/AD57</f>
        <v>0.92500000000000004</v>
      </c>
      <c r="AL57" s="135">
        <f>2/AD57</f>
        <v>0.05</v>
      </c>
      <c r="AM57" s="135">
        <f>1/AD57</f>
        <v>2.5000000000000001E-2</v>
      </c>
      <c r="AN57" s="135"/>
      <c r="AO57" s="114"/>
      <c r="AP57" s="133"/>
      <c r="AQ57" s="135"/>
      <c r="AR57" s="114">
        <v>3</v>
      </c>
      <c r="AS57" s="110"/>
      <c r="AT57" s="110"/>
      <c r="AU57" s="110"/>
      <c r="AV57" s="110"/>
      <c r="AW57" s="415">
        <v>42206</v>
      </c>
      <c r="AX57" s="415">
        <v>42314</v>
      </c>
      <c r="AY57" s="415">
        <v>42475</v>
      </c>
      <c r="AZ57" s="415">
        <v>42633</v>
      </c>
      <c r="BA57" s="415" t="s">
        <v>754</v>
      </c>
      <c r="BB57" s="415" t="s">
        <v>985</v>
      </c>
      <c r="BC57" s="415" t="s">
        <v>757</v>
      </c>
      <c r="BD57" s="332"/>
      <c r="BE57" s="415">
        <v>42613</v>
      </c>
      <c r="BF57" s="415">
        <v>42648</v>
      </c>
      <c r="BG57" s="110"/>
      <c r="BH57" s="110"/>
      <c r="BI57" s="110"/>
      <c r="BJ57" s="110"/>
      <c r="BK57" s="110"/>
      <c r="BL57" s="110"/>
      <c r="BM57" s="110"/>
      <c r="BN57" s="196"/>
      <c r="BO57" s="196"/>
      <c r="BP57" s="196"/>
      <c r="BQ57" s="196"/>
      <c r="BR57" s="196"/>
      <c r="BS57" s="196"/>
      <c r="BT57" s="158"/>
      <c r="BU57" s="557">
        <v>42629</v>
      </c>
      <c r="BV57" s="160">
        <v>42657</v>
      </c>
      <c r="BW57" s="160">
        <v>42643</v>
      </c>
      <c r="BX57" s="160"/>
      <c r="BY57" s="160"/>
      <c r="BZ57" s="376"/>
      <c r="CA57" s="160"/>
      <c r="CB57" s="301"/>
      <c r="CC57" s="372"/>
      <c r="CD57" s="302"/>
      <c r="CE57" s="302"/>
      <c r="CF57" s="161"/>
      <c r="CG57" s="336">
        <f>DATE(YEAR(CF57),MONTH(CF57)+24,DAY(CF57))</f>
        <v>731</v>
      </c>
      <c r="CH57" s="336">
        <f>DATE(YEAR(CF57),MONTH(CF57)+36,DAY(CF57))</f>
        <v>1096</v>
      </c>
      <c r="CI57" s="336"/>
      <c r="CJ57" s="301"/>
      <c r="CK57" s="308"/>
      <c r="CL57" s="161"/>
      <c r="CM57" s="371"/>
      <c r="CN57" s="161"/>
      <c r="CO57" s="161"/>
      <c r="CP57" s="162"/>
      <c r="CQ57" s="367"/>
      <c r="CR57" s="162"/>
      <c r="CS57" s="162"/>
      <c r="CT57" s="162"/>
      <c r="CU57" s="367"/>
      <c r="CV57" s="162"/>
      <c r="CW57" s="162"/>
      <c r="CX57" s="162"/>
      <c r="CY57" s="367"/>
      <c r="CZ57" s="162"/>
      <c r="DA57" s="162"/>
      <c r="DB57" s="296"/>
      <c r="DC57" s="299"/>
      <c r="DD57" s="299"/>
      <c r="DE57" s="312"/>
      <c r="DF57" s="312"/>
      <c r="DG57" s="312"/>
      <c r="DH57" s="312"/>
      <c r="DI57" s="312"/>
      <c r="DJ57" s="312"/>
      <c r="DK57" s="293"/>
      <c r="DL57" s="293"/>
      <c r="DM57" s="293"/>
      <c r="DN57" s="293"/>
      <c r="DO57" s="293"/>
      <c r="DP57" s="293"/>
      <c r="DQ57" s="304"/>
      <c r="DR57" s="443"/>
      <c r="DS57" s="443"/>
      <c r="DT57" s="298"/>
      <c r="DU57" s="304">
        <f>DATE(YEAR(DQ57),MONTH(DQ57)+18,DAY(DQ57))</f>
        <v>547</v>
      </c>
      <c r="DV57" s="443"/>
      <c r="DW57" s="443"/>
      <c r="DX57" s="423"/>
      <c r="DY57" s="423"/>
      <c r="DZ57" s="423"/>
      <c r="EA57" s="434">
        <v>43054</v>
      </c>
      <c r="EB57" s="423"/>
      <c r="EC57" s="430">
        <v>16</v>
      </c>
      <c r="ED57" s="430">
        <f>EC57+2</f>
        <v>18</v>
      </c>
      <c r="EE57" s="422">
        <f>DATEDIF(EA57,EN57,"M")</f>
        <v>16</v>
      </c>
      <c r="EF57" s="422">
        <f>DATEDIF(EA57,EV57,"M")</f>
        <v>17</v>
      </c>
      <c r="EG57" s="422">
        <f>EE57-EC57</f>
        <v>0</v>
      </c>
      <c r="EH57" s="422"/>
      <c r="EI57" s="431"/>
      <c r="EJ57" s="431"/>
      <c r="EK57" s="423"/>
      <c r="EL57" s="423"/>
      <c r="EM57" s="423"/>
      <c r="EN57" s="210">
        <f>DATE(YEAR(EA57),MONTH(EA57)+EC57,DAY(EA57))</f>
        <v>43539</v>
      </c>
      <c r="EO57" s="210">
        <f>DATE(YEAR(DV57)+2,MONTH(DV57),DAY(DV57))</f>
        <v>731</v>
      </c>
      <c r="EP57" s="423"/>
      <c r="EQ57" s="423"/>
      <c r="ER57" s="423"/>
      <c r="ES57" s="423"/>
      <c r="ET57" s="423"/>
      <c r="EU57" s="334">
        <f>DATE(YEAR(EN57),MONTH(EN57)+1,DAY(EN57))</f>
        <v>43570</v>
      </c>
      <c r="EV57" s="206">
        <f>EU57</f>
        <v>43570</v>
      </c>
      <c r="EW57" s="206"/>
      <c r="EX57" s="209"/>
      <c r="EY57" s="434"/>
      <c r="EZ57" s="212"/>
      <c r="FA57" s="212"/>
      <c r="FB57" s="212"/>
      <c r="FC57" s="212"/>
      <c r="FD57" s="110"/>
      <c r="FE57" s="110"/>
      <c r="FF57" s="110"/>
      <c r="FG57" s="110"/>
      <c r="FH57" s="110"/>
      <c r="FI57" s="110"/>
      <c r="FJ57" s="110"/>
      <c r="FK57" s="110"/>
      <c r="FL57" s="110"/>
      <c r="FM57" s="110"/>
      <c r="FN57" s="110"/>
      <c r="FO57" s="110"/>
      <c r="FP57" s="199"/>
      <c r="FQ57" s="153">
        <f>+GA57+GE57+GL57+HF57</f>
        <v>5086671</v>
      </c>
      <c r="FR57" s="560">
        <f>GB57+GF57+GK57+GM57+GQ57+HF57</f>
        <v>5118863</v>
      </c>
      <c r="FS57" s="25">
        <f>FR57-FQ57</f>
        <v>32192</v>
      </c>
      <c r="FT57" s="50">
        <f>FR57/AG57</f>
        <v>2147.3632324995069</v>
      </c>
      <c r="FU57" s="50">
        <f>FR57/AD57</f>
        <v>127971.575</v>
      </c>
      <c r="FV57" s="153">
        <v>4519361.7020000005</v>
      </c>
      <c r="FW57" s="124">
        <v>4649415</v>
      </c>
      <c r="FX57" s="25">
        <f>FW57-FV57</f>
        <v>130053.29799999949</v>
      </c>
      <c r="FY57" s="231">
        <f>FW57*1.021/FR57</f>
        <v>0.9273646735612967</v>
      </c>
      <c r="FZ57" s="234">
        <v>0.4</v>
      </c>
      <c r="GA57" s="153">
        <v>1517885</v>
      </c>
      <c r="GB57" s="24">
        <v>1563009</v>
      </c>
      <c r="GC57" s="50">
        <f>GB57/AD57</f>
        <v>39075.224999999999</v>
      </c>
      <c r="GD57" s="73">
        <f>GB57-GA57</f>
        <v>45124</v>
      </c>
      <c r="GE57" s="23">
        <f>1944434+824352</f>
        <v>2768786</v>
      </c>
      <c r="GF57" s="24">
        <f>GG57+GH57</f>
        <v>2755854</v>
      </c>
      <c r="GG57" s="147">
        <v>615803</v>
      </c>
      <c r="GH57" s="147">
        <v>2140051</v>
      </c>
      <c r="GI57" s="73">
        <f>GF57-GE57</f>
        <v>-12932</v>
      </c>
      <c r="GJ57" s="50">
        <f>GF57/AD57</f>
        <v>68896.350000000006</v>
      </c>
      <c r="GK57" s="124"/>
      <c r="GL57" s="153">
        <v>800000</v>
      </c>
      <c r="GM57" s="559">
        <f>GL57</f>
        <v>800000</v>
      </c>
      <c r="GN57" s="124"/>
      <c r="GO57" s="76">
        <f>GM57/FR57</f>
        <v>0.15628470619354337</v>
      </c>
      <c r="GP57" s="590"/>
      <c r="GQ57" s="124"/>
      <c r="GR57" s="51">
        <f>GM57-GL57</f>
        <v>0</v>
      </c>
      <c r="GS57" s="50">
        <f>GM57/AD57</f>
        <v>20000</v>
      </c>
      <c r="GT57" s="138">
        <f>(GA57+GL57)/AD57</f>
        <v>57947.125</v>
      </c>
      <c r="GU57" s="51">
        <f>GR57/AD57</f>
        <v>0</v>
      </c>
      <c r="GV57" s="150">
        <v>5.76</v>
      </c>
      <c r="GW57" s="150">
        <v>5.7</v>
      </c>
      <c r="GX57" s="75"/>
      <c r="GY57" s="75"/>
      <c r="GZ57" s="50">
        <f>(GA57+GL57+GY57)/AD57</f>
        <v>57947.125</v>
      </c>
      <c r="HA57" s="75"/>
      <c r="HB57" s="50">
        <f>(GB57+GM57+GY57+HA57)/AD57</f>
        <v>59075.224999999999</v>
      </c>
      <c r="HC57" s="99">
        <f>(GA57+GL57+GY57+HA57)/(GX57+FQ57-HD57)</f>
        <v>0.45567818323614795</v>
      </c>
      <c r="HD57" s="75"/>
      <c r="HE57" s="75"/>
      <c r="HF57" s="24">
        <v>0</v>
      </c>
      <c r="HG57" s="77">
        <f>FQ57+GX57</f>
        <v>5086671</v>
      </c>
      <c r="HH57" s="491">
        <v>251153</v>
      </c>
      <c r="HI57" s="491">
        <f>HK57+ID57+IH57+IS57-500</f>
        <v>75346</v>
      </c>
      <c r="HJ57" s="494">
        <v>42180</v>
      </c>
      <c r="HK57" s="491">
        <v>21429</v>
      </c>
      <c r="HL57" s="415">
        <v>42170</v>
      </c>
      <c r="HM57" s="415">
        <f>DATE(YEAR(HL57),MONTH(HL57),DAY(HL57)+21)</f>
        <v>42191</v>
      </c>
      <c r="HN57" s="415">
        <v>42191</v>
      </c>
      <c r="HO57" s="497">
        <f>IF(AND(HM57&gt;0,HN57&gt;0),HN57-HM57,"0")</f>
        <v>0</v>
      </c>
      <c r="HP57" s="415">
        <v>42345</v>
      </c>
      <c r="HQ57" s="481">
        <f>IF(AND(HN57&gt;0,HP57&gt;0),HP57-HN57,"0")</f>
        <v>154</v>
      </c>
      <c r="HR57" s="497">
        <f>+HQ57-30</f>
        <v>124</v>
      </c>
      <c r="HS57" s="506">
        <f>IF(AND(HL57&gt;0,HP57&gt;0),HP57-HL57,"0")</f>
        <v>175</v>
      </c>
      <c r="HT57" s="415">
        <v>42347</v>
      </c>
      <c r="HU57" s="497">
        <f>IF(AND(HP57&gt;0,HT57&gt;0),HT57-HP57,"0")</f>
        <v>2</v>
      </c>
      <c r="HV57" s="415">
        <f>DATE(YEAR(HT57),MONTH(HT57),DAY(HT57)+21)</f>
        <v>42368</v>
      </c>
      <c r="HW57" s="415">
        <v>42446</v>
      </c>
      <c r="HX57" s="497">
        <f>IF(AND(HV57&gt;0,HW57&gt;0),HW57-HV57,"0")</f>
        <v>78</v>
      </c>
      <c r="HY57" s="415">
        <v>42582</v>
      </c>
      <c r="HZ57" s="481">
        <f>IF(AND(HW57&gt;0,HY57&gt;0),HY57-HW57,"0")</f>
        <v>136</v>
      </c>
      <c r="IA57" s="497">
        <f>+HZ57-30</f>
        <v>106</v>
      </c>
      <c r="IB57" s="506">
        <f>IF(AND(HT57&gt;0,HY57&gt;0),HY57-HT57,"0")</f>
        <v>235</v>
      </c>
      <c r="IC57" s="490">
        <v>42633</v>
      </c>
      <c r="ID57" s="511">
        <v>12215</v>
      </c>
      <c r="IE57" s="415">
        <v>42380</v>
      </c>
      <c r="IF57" s="415">
        <v>42415</v>
      </c>
      <c r="IG57" s="494">
        <v>42429</v>
      </c>
      <c r="IH57" s="491">
        <v>24930</v>
      </c>
      <c r="II57" s="347">
        <v>42669</v>
      </c>
      <c r="IJ57" s="497">
        <f>IF(AND(HY57&gt;0,II57&gt;0),II57-HY57,"0")</f>
        <v>87</v>
      </c>
      <c r="IK57" s="347">
        <f>DATE(YEAR(II57),MONTH(II57),DAY(II57)+30)</f>
        <v>42699</v>
      </c>
      <c r="IL57" s="347">
        <v>42720</v>
      </c>
      <c r="IM57" s="497">
        <f>IF(AND(IK57&gt;0,IL57&gt;0),IL57-IK57,"0")</f>
        <v>21</v>
      </c>
      <c r="IN57" s="206">
        <f ca="1">TODAY()</f>
        <v>42789</v>
      </c>
      <c r="IO57" s="481">
        <f ca="1">IF(AND(IL57&gt;0,IN57&gt;0),IN57-IL57,"0")</f>
        <v>69</v>
      </c>
      <c r="IP57" s="497">
        <f ca="1">+IO57-30</f>
        <v>39</v>
      </c>
      <c r="IQ57" s="506">
        <f ca="1">IF(AND(II57&gt;0,IN57&gt;0),IN57-II57,"0")</f>
        <v>120</v>
      </c>
      <c r="IR57" s="490">
        <v>42726</v>
      </c>
      <c r="IS57" s="511">
        <v>17272</v>
      </c>
      <c r="IT57" s="206">
        <v>42669</v>
      </c>
      <c r="IU57" s="498">
        <f ca="1">IF(AND(IN57&gt;0,IT57&gt;0),IT57-IN57,"0")</f>
        <v>-120</v>
      </c>
      <c r="IV57" s="206">
        <f>DATE(YEAR(IT57),MONTH(IT57),DAY(IT57)+30)</f>
        <v>42699</v>
      </c>
      <c r="IW57" s="206">
        <f ca="1">IF(IV57&lt;TODAY(),TODAY(),IV57)</f>
        <v>42789</v>
      </c>
      <c r="IX57" s="498">
        <f ca="1">IF(AND(IV57&gt;0,IW57&gt;0),IW57-IV57,"0")</f>
        <v>90</v>
      </c>
      <c r="IY57" s="206">
        <f ca="1">DATE(YEAR(IW57),MONTH(IW57),DAY(IW57)+30)</f>
        <v>42819</v>
      </c>
      <c r="IZ57" s="482">
        <f ca="1">IF(AND(IW57&gt;0,IY57&gt;0),IY57-IW57,"0")</f>
        <v>30</v>
      </c>
      <c r="JA57" s="498">
        <f ca="1">IZ57-30</f>
        <v>0</v>
      </c>
      <c r="JB57" s="508">
        <f ca="1">IF(AND(IT57&gt;0,IY57&gt;0),IY57-IT57,"0")</f>
        <v>150</v>
      </c>
      <c r="JC57" s="490"/>
      <c r="JD57" s="505">
        <f>$JD$1*HH57</f>
        <v>37672.949999999997</v>
      </c>
      <c r="JE57" s="502">
        <f ca="1">IY57</f>
        <v>42819</v>
      </c>
      <c r="JF57" s="487">
        <f ca="1">IF(AND(IY57&gt;0,JE57&gt;0),JE57-IY57,"0")</f>
        <v>0</v>
      </c>
      <c r="JG57" s="502">
        <f ca="1">DATE(YEAR(JE57),MONTH(JE57),DAY(JE57)+15)</f>
        <v>42834</v>
      </c>
      <c r="JH57" s="502">
        <f ca="1">IF(JG57&lt;TODAY(),TODAY(),JG57)</f>
        <v>42834</v>
      </c>
      <c r="JI57" s="487">
        <f ca="1">IF(AND(JG57&gt;0,JH57&gt;0),JH57-JG57,"0")</f>
        <v>0</v>
      </c>
      <c r="JJ57" s="502">
        <f ca="1">DATE(YEAR(JH57),MONTH(JH57),DAY(JH57)+45)</f>
        <v>42879</v>
      </c>
      <c r="JK57" s="502">
        <f ca="1">JJ57</f>
        <v>42879</v>
      </c>
      <c r="JL57" s="487">
        <f ca="1">IF(AND(JJ57&gt;0,JK57&gt;0),JK57-JJ57,"0")</f>
        <v>0</v>
      </c>
      <c r="JM57" s="509">
        <f ca="1">IF(AND(JE57&gt;0,JK57&gt;0),JK57-JE57,"0")</f>
        <v>60</v>
      </c>
      <c r="JN57" s="502">
        <f ca="1">DATE(YEAR(JK57),MONTH(JK57),DAY(JK57)+60)</f>
        <v>42939</v>
      </c>
      <c r="JO57" s="501">
        <f ca="1">IF(AND(JK57&gt;0,JN57&gt;0),JN57-JK57,"0")</f>
        <v>60</v>
      </c>
      <c r="JP57" s="498">
        <f ca="1">JO57-60</f>
        <v>0</v>
      </c>
      <c r="JQ57" s="482">
        <f>291/30</f>
        <v>9.6999999999999993</v>
      </c>
      <c r="JR57" s="504">
        <f ca="1">((+HS57+HU57+IB57+IJ57+IQ57+IU57+JB57+JI57+JF57)/30)-JQ57</f>
        <v>11.933333333333334</v>
      </c>
      <c r="JS57" s="490"/>
      <c r="JT57" s="491"/>
      <c r="JU57" s="490"/>
      <c r="JV57" s="491"/>
      <c r="JW57" s="586"/>
      <c r="JX57" s="586"/>
      <c r="JY57" s="586"/>
      <c r="JZ57" s="586"/>
    </row>
    <row r="58" spans="1:286" ht="39.950000000000003" customHeight="1" x14ac:dyDescent="0.25">
      <c r="A58" s="159" t="s">
        <v>374</v>
      </c>
      <c r="B58" s="111" t="s">
        <v>44</v>
      </c>
      <c r="C58" s="111" t="s">
        <v>158</v>
      </c>
      <c r="D58" s="111">
        <v>2017</v>
      </c>
      <c r="E58" s="111" t="s">
        <v>218</v>
      </c>
      <c r="F58" s="111"/>
      <c r="G58" s="20" t="s">
        <v>278</v>
      </c>
      <c r="H58" s="111" t="s">
        <v>245</v>
      </c>
      <c r="I58" s="111" t="s">
        <v>168</v>
      </c>
      <c r="J58" s="111" t="s">
        <v>624</v>
      </c>
      <c r="K58" s="378" t="s">
        <v>1018</v>
      </c>
      <c r="L58" s="309" t="s">
        <v>81</v>
      </c>
      <c r="M58" s="310" t="s">
        <v>195</v>
      </c>
      <c r="N58" s="311"/>
      <c r="O58" s="386">
        <v>4113</v>
      </c>
      <c r="P58" s="386">
        <v>205650</v>
      </c>
      <c r="Q58" s="386">
        <v>189641</v>
      </c>
      <c r="R58" s="379">
        <f>P58/AD58</f>
        <v>10823.684210526315</v>
      </c>
      <c r="S58" s="386">
        <f>P58/O58</f>
        <v>50</v>
      </c>
      <c r="T58" s="387">
        <f>Q58/O58</f>
        <v>46.107707269632868</v>
      </c>
      <c r="U58" s="387">
        <f>Q58/AH58</f>
        <v>114.25189023104498</v>
      </c>
      <c r="V58" s="387">
        <f>Q58/AD58</f>
        <v>9981.105263157895</v>
      </c>
      <c r="W58" s="379">
        <f>O58/AD58</f>
        <v>216.47368421052633</v>
      </c>
      <c r="X58" s="388"/>
      <c r="Y58" s="389">
        <f>AH58/O58</f>
        <v>0.40356187697544371</v>
      </c>
      <c r="Z58" s="388" t="s">
        <v>327</v>
      </c>
      <c r="AA58" s="394"/>
      <c r="AB58" s="390"/>
      <c r="AC58" s="111" t="s">
        <v>26</v>
      </c>
      <c r="AD58" s="639">
        <f>(AE58+AF58)</f>
        <v>19</v>
      </c>
      <c r="AE58" s="457"/>
      <c r="AF58" s="111">
        <v>19</v>
      </c>
      <c r="AG58" s="115">
        <v>1680.48</v>
      </c>
      <c r="AH58" s="401">
        <v>1659.85</v>
      </c>
      <c r="AI58" s="22">
        <f>AH58/AD58</f>
        <v>87.360526315789471</v>
      </c>
      <c r="AJ58" s="117"/>
      <c r="AK58" s="117"/>
      <c r="AL58" s="136">
        <f>3/AD58</f>
        <v>0.15789473684210525</v>
      </c>
      <c r="AM58" s="136">
        <f>12/AF58</f>
        <v>0.63157894736842102</v>
      </c>
      <c r="AN58" s="136">
        <f>4/AF58</f>
        <v>0.21052631578947367</v>
      </c>
      <c r="AO58" s="115"/>
      <c r="AP58" s="134"/>
      <c r="AQ58" s="136">
        <f>AP58/O58</f>
        <v>0</v>
      </c>
      <c r="AR58" s="115">
        <v>1.5</v>
      </c>
      <c r="AS58" s="111"/>
      <c r="AT58" s="111" t="s">
        <v>316</v>
      </c>
      <c r="AU58" s="111" t="s">
        <v>178</v>
      </c>
      <c r="AV58" s="111"/>
      <c r="AW58" s="420">
        <v>41669</v>
      </c>
      <c r="AX58" s="542" t="s">
        <v>995</v>
      </c>
      <c r="AY58" s="415">
        <v>42475</v>
      </c>
      <c r="AZ58" s="332"/>
      <c r="BA58" s="415" t="s">
        <v>754</v>
      </c>
      <c r="BB58" s="332"/>
      <c r="BC58" s="415" t="s">
        <v>765</v>
      </c>
      <c r="BD58" s="332"/>
      <c r="BE58" s="420">
        <v>42299</v>
      </c>
      <c r="BF58" s="420">
        <v>42384</v>
      </c>
      <c r="BG58" s="111"/>
      <c r="BH58" s="420">
        <v>42444</v>
      </c>
      <c r="BI58" s="111"/>
      <c r="BJ58" s="111"/>
      <c r="BK58" s="111"/>
      <c r="BL58" s="111"/>
      <c r="BM58" s="111"/>
      <c r="BN58" s="196" t="s">
        <v>378</v>
      </c>
      <c r="BO58" s="196" t="s">
        <v>440</v>
      </c>
      <c r="BP58" s="196"/>
      <c r="BQ58" s="196"/>
      <c r="BR58" s="196"/>
      <c r="BS58" s="196" t="s">
        <v>443</v>
      </c>
      <c r="BT58" s="158"/>
      <c r="BU58" s="376"/>
      <c r="BV58" s="160"/>
      <c r="BW58" s="160"/>
      <c r="BX58" s="160"/>
      <c r="BY58" s="160"/>
      <c r="BZ58" s="376"/>
      <c r="CA58" s="160"/>
      <c r="CB58" s="302"/>
      <c r="CC58" s="374"/>
      <c r="CD58" s="302"/>
      <c r="CE58" s="302"/>
      <c r="CF58" s="161"/>
      <c r="CG58" s="336">
        <f>DATE(YEAR(CF58),MONTH(CF58)+24,DAY(CF58))</f>
        <v>731</v>
      </c>
      <c r="CH58" s="336">
        <f>DATE(YEAR(CF58),MONTH(CF58)+36,DAY(CF58))</f>
        <v>1096</v>
      </c>
      <c r="CI58" s="336"/>
      <c r="CJ58" s="302"/>
      <c r="CK58" s="308"/>
      <c r="CL58" s="161"/>
      <c r="CM58" s="371"/>
      <c r="CN58" s="161"/>
      <c r="CO58" s="161"/>
      <c r="CP58" s="162"/>
      <c r="CQ58" s="367"/>
      <c r="CR58" s="162"/>
      <c r="CS58" s="162"/>
      <c r="CT58" s="162"/>
      <c r="CU58" s="367"/>
      <c r="CV58" s="162"/>
      <c r="CW58" s="162"/>
      <c r="CX58" s="162"/>
      <c r="CY58" s="367"/>
      <c r="CZ58" s="162"/>
      <c r="DA58" s="162"/>
      <c r="DB58" s="299" t="s">
        <v>195</v>
      </c>
      <c r="DC58" s="313"/>
      <c r="DD58" s="299">
        <f>DC58*3/5</f>
        <v>0</v>
      </c>
      <c r="DE58" s="299"/>
      <c r="DF58" s="299"/>
      <c r="DG58" s="299"/>
      <c r="DH58" s="299"/>
      <c r="DI58" s="299"/>
      <c r="DJ58" s="299"/>
      <c r="DK58" s="293"/>
      <c r="DL58" s="293"/>
      <c r="DM58" s="293"/>
      <c r="DN58" s="293"/>
      <c r="DO58" s="293"/>
      <c r="DP58" s="293"/>
      <c r="DQ58" s="304" t="s">
        <v>393</v>
      </c>
      <c r="DR58" s="443"/>
      <c r="DS58" s="443"/>
      <c r="DT58" s="298"/>
      <c r="DU58" s="304" t="e">
        <f>DATE(YEAR(DQ58),MONTH(DQ58)+18,DAY(DQ58))</f>
        <v>#VALUE!</v>
      </c>
      <c r="DV58" s="443"/>
      <c r="DW58" s="443"/>
      <c r="DX58" s="423"/>
      <c r="DY58" s="423"/>
      <c r="DZ58" s="423"/>
      <c r="EA58" s="434">
        <v>43115</v>
      </c>
      <c r="EB58" s="423"/>
      <c r="EC58" s="430">
        <v>18</v>
      </c>
      <c r="ED58" s="430">
        <f>EC58+2</f>
        <v>20</v>
      </c>
      <c r="EE58" s="422">
        <f>DATEDIF(EA58,EN58,"M")</f>
        <v>18</v>
      </c>
      <c r="EF58" s="422">
        <f>DATEDIF(EA58,EV58,"M")</f>
        <v>19</v>
      </c>
      <c r="EG58" s="422">
        <f>EE58-EC58</f>
        <v>0</v>
      </c>
      <c r="EH58" s="422"/>
      <c r="EI58" s="431"/>
      <c r="EJ58" s="431"/>
      <c r="EK58" s="423"/>
      <c r="EL58" s="423"/>
      <c r="EM58" s="423"/>
      <c r="EN58" s="210">
        <f>DATE(YEAR(EA58),MONTH(EA58)+EC58,DAY(EA58))</f>
        <v>43661</v>
      </c>
      <c r="EO58" s="210">
        <f>DATE(YEAR(DV58)+2,MONTH(DV58),DAY(DV58))</f>
        <v>731</v>
      </c>
      <c r="EP58" s="423"/>
      <c r="EQ58" s="423"/>
      <c r="ER58" s="423"/>
      <c r="ES58" s="423"/>
      <c r="ET58" s="423"/>
      <c r="EU58" s="334">
        <f>DATE(YEAR(EN58),MONTH(EN58)+1,DAY(EN58))</f>
        <v>43692</v>
      </c>
      <c r="EV58" s="206">
        <f>EU58</f>
        <v>43692</v>
      </c>
      <c r="EW58" s="206"/>
      <c r="EX58" s="209"/>
      <c r="EY58" s="434"/>
      <c r="EZ58" s="218"/>
      <c r="FA58" s="218"/>
      <c r="FB58" s="218"/>
      <c r="FC58" s="218"/>
      <c r="FD58" s="111"/>
      <c r="FE58" s="111"/>
      <c r="FF58" s="111"/>
      <c r="FG58" s="111"/>
      <c r="FH58" s="111"/>
      <c r="FI58" s="111"/>
      <c r="FJ58" s="111"/>
      <c r="FK58" s="111"/>
      <c r="FL58" s="111"/>
      <c r="FM58" s="111"/>
      <c r="FN58" s="111"/>
      <c r="FO58" s="111"/>
      <c r="FP58" s="199"/>
      <c r="FQ58" s="153">
        <f>+GA58+GE58+GL58+HF58+GQ58</f>
        <v>3724917</v>
      </c>
      <c r="FR58" s="124">
        <f>GB58+GF58+GK58+GM58+GQ58+GN58</f>
        <v>3534917</v>
      </c>
      <c r="FS58" s="25">
        <f>FR58-FQ58</f>
        <v>-190000</v>
      </c>
      <c r="FT58" s="50">
        <f>FQ58/AG58</f>
        <v>2216.5791916595258</v>
      </c>
      <c r="FU58" s="50">
        <f>FQ58/AD58</f>
        <v>196048.26315789475</v>
      </c>
      <c r="FV58" s="153">
        <v>3147257.0568200001</v>
      </c>
      <c r="FW58" s="124">
        <f>FV58</f>
        <v>3147257.0568200001</v>
      </c>
      <c r="FX58" s="25">
        <f>FW58-FV58</f>
        <v>0</v>
      </c>
      <c r="FY58" s="231">
        <f>FW58*1.021/FR58</f>
        <v>0.90903109040840835</v>
      </c>
      <c r="FZ58" s="234">
        <v>0.39750000000000002</v>
      </c>
      <c r="GA58" s="153">
        <v>1080509</v>
      </c>
      <c r="GB58" s="24">
        <f>GA58</f>
        <v>1080509</v>
      </c>
      <c r="GC58" s="50">
        <f>GA58/AD58</f>
        <v>56868.894736842107</v>
      </c>
      <c r="GD58" s="73">
        <f>GB58-GA58</f>
        <v>0</v>
      </c>
      <c r="GE58" s="23">
        <v>1954408</v>
      </c>
      <c r="GF58" s="24">
        <f>GE58</f>
        <v>1954408</v>
      </c>
      <c r="GG58" s="147"/>
      <c r="GH58" s="147"/>
      <c r="GI58" s="73">
        <f>GF58-GE58</f>
        <v>0</v>
      </c>
      <c r="GJ58" s="50">
        <f>GE58/AD58</f>
        <v>102863.57894736843</v>
      </c>
      <c r="GK58" s="124"/>
      <c r="GL58" s="153">
        <v>500000</v>
      </c>
      <c r="GM58" s="24">
        <f>GL58</f>
        <v>500000</v>
      </c>
      <c r="GN58" s="124"/>
      <c r="GO58" s="76">
        <f>GL58/FQ58</f>
        <v>0.1342311788423742</v>
      </c>
      <c r="GP58" s="153"/>
      <c r="GQ58" s="124">
        <v>0</v>
      </c>
      <c r="GR58" s="51">
        <f>GM58-GL58</f>
        <v>0</v>
      </c>
      <c r="GS58" s="50">
        <f>GL58/AD58</f>
        <v>26315.78947368421</v>
      </c>
      <c r="GT58" s="138">
        <f>(GA58+GL58)/AD58</f>
        <v>83184.68421052632</v>
      </c>
      <c r="GU58" s="51">
        <f>GR58/AD58</f>
        <v>0</v>
      </c>
      <c r="GV58" s="462">
        <v>5.14</v>
      </c>
      <c r="GW58" s="462">
        <v>5.12</v>
      </c>
      <c r="GX58" s="75">
        <v>837039.04799999995</v>
      </c>
      <c r="GY58" s="75">
        <v>380000</v>
      </c>
      <c r="GZ58" s="50">
        <f>(GA58+GL58+GY58)/AD58</f>
        <v>103184.68421052632</v>
      </c>
      <c r="HA58" s="75">
        <v>237556.40000000002</v>
      </c>
      <c r="HB58" s="50">
        <f>(GB58+GM58+GY58+HA58)/AD58</f>
        <v>115687.65263157894</v>
      </c>
      <c r="HC58" s="99">
        <f>(GA58+GL58+GY58+HA58)/(GX58+FQ58-HD58)</f>
        <v>0.50071226129380131</v>
      </c>
      <c r="HD58" s="75">
        <v>172078.72739999997</v>
      </c>
      <c r="HE58" s="75"/>
      <c r="HF58" s="24">
        <v>190000</v>
      </c>
      <c r="HG58" s="77">
        <f>FQ58+GX58</f>
        <v>4561956.0480000004</v>
      </c>
      <c r="HH58" s="491">
        <v>152169</v>
      </c>
      <c r="HI58" s="491">
        <f>HK58+ID58+IH58</f>
        <v>38042</v>
      </c>
      <c r="HJ58" s="494">
        <v>41677</v>
      </c>
      <c r="HK58" s="491">
        <v>15217</v>
      </c>
      <c r="HL58" s="527">
        <v>41578</v>
      </c>
      <c r="HM58" s="527">
        <f>DATE(YEAR(HL58),MONTH(HL58),DAY(HL58)+21)</f>
        <v>41599</v>
      </c>
      <c r="HN58" s="415">
        <v>41592</v>
      </c>
      <c r="HO58" s="497">
        <f>IF(AND(HM58&gt;0,HN58&gt;0),HN58-HM58,"0")</f>
        <v>-7</v>
      </c>
      <c r="HP58" s="415">
        <v>41599</v>
      </c>
      <c r="HQ58" s="481">
        <f>IF(AND(HN58&gt;0,HP58&gt;0),HP58-HN58,"0")</f>
        <v>7</v>
      </c>
      <c r="HR58" s="497">
        <f>+HQ58-30</f>
        <v>-23</v>
      </c>
      <c r="HS58" s="506">
        <f>IF(AND(HL58&gt;0,HP58&gt;0),HP58-HL58,"0")</f>
        <v>21</v>
      </c>
      <c r="HT58" s="415">
        <v>41627</v>
      </c>
      <c r="HU58" s="497">
        <f>IF(AND(HP58&gt;0,HT58&gt;0),HT58-HP58,"0")</f>
        <v>28</v>
      </c>
      <c r="HV58" s="415">
        <v>41669</v>
      </c>
      <c r="HW58" s="415">
        <v>41669</v>
      </c>
      <c r="HX58" s="497">
        <f>IF(AND(HV58&gt;0,HW58&gt;0),HW58-HV58,"0")</f>
        <v>0</v>
      </c>
      <c r="HY58" s="415">
        <v>42054</v>
      </c>
      <c r="HZ58" s="415">
        <f>IF(AND(HW58&gt;0,HY58&gt;0),HY58-HW58,"0")</f>
        <v>385</v>
      </c>
      <c r="IA58" s="497">
        <f>+HZ58-30</f>
        <v>355</v>
      </c>
      <c r="IB58" s="506">
        <f>IF(AND(HT58&gt;0,HY58&gt;0),HY58-HT58,"0")</f>
        <v>427</v>
      </c>
      <c r="IC58" s="490">
        <v>42247</v>
      </c>
      <c r="ID58" s="491">
        <v>7608</v>
      </c>
      <c r="IE58" s="477"/>
      <c r="IF58" s="415">
        <v>41677</v>
      </c>
      <c r="IG58" s="494"/>
      <c r="IH58" s="491">
        <v>15217</v>
      </c>
      <c r="II58" s="206">
        <f>DATE(YEAR(IF58),MONTH(IF58),DAY(IF58)+21)</f>
        <v>41698</v>
      </c>
      <c r="IJ58" s="497">
        <f>IF(AND(HY58&gt;0,II58&gt;0),II58-HY58,"0")</f>
        <v>-356</v>
      </c>
      <c r="IK58" s="206">
        <f>DATE(YEAR(II58),MONTH(II58),DAY(II58)+30)</f>
        <v>41728</v>
      </c>
      <c r="IL58" s="206">
        <f ca="1">IF(IK58&lt;TODAY(),TODAY(),IK58)</f>
        <v>42789</v>
      </c>
      <c r="IM58" s="497">
        <f ca="1">IF(AND(IK58&gt;0,IL58&gt;0),IL58-IK58,"0")</f>
        <v>1061</v>
      </c>
      <c r="IN58" s="206">
        <f>DATE(YEAR(IK58),MONTH(IK58),DAY(IK58)+30)</f>
        <v>41758</v>
      </c>
      <c r="IO58" s="481">
        <f ca="1">IF(AND(IL58&gt;0,IN58&gt;0),IN58-IL58,"0")</f>
        <v>-1031</v>
      </c>
      <c r="IP58" s="497">
        <f ca="1">+IO58-30</f>
        <v>-1061</v>
      </c>
      <c r="IQ58" s="506">
        <f>IF(AND(II58&gt;0,IN58&gt;0),IN58-II58,"0")</f>
        <v>60</v>
      </c>
      <c r="IR58" s="490"/>
      <c r="IS58" s="491"/>
      <c r="IT58" s="206">
        <f>IN58</f>
        <v>41758</v>
      </c>
      <c r="IU58" s="498">
        <f>IF(AND(IN58&gt;0,IT58&gt;0),IT58-IN58,"0")</f>
        <v>0</v>
      </c>
      <c r="IV58" s="206">
        <f>DATE(YEAR(IT58),MONTH(IT58),DAY(IT58)+30)</f>
        <v>41788</v>
      </c>
      <c r="IW58" s="206">
        <f ca="1">IF(IV58&lt;TODAY(),TODAY(),IV58)</f>
        <v>42789</v>
      </c>
      <c r="IX58" s="498">
        <f ca="1">IF(AND(IV58&gt;0,IW58&gt;0),IW58-IV58,"0")</f>
        <v>1001</v>
      </c>
      <c r="IY58" s="206">
        <f>DATE(YEAR(IV58),MONTH(IV58),DAY(IV58)+30)</f>
        <v>41818</v>
      </c>
      <c r="IZ58" s="482">
        <f ca="1">IF(AND(IW58&gt;0,IY58&gt;0),IY58-IW58,"0")</f>
        <v>-971</v>
      </c>
      <c r="JA58" s="498">
        <f ca="1">IZ58-30</f>
        <v>-1001</v>
      </c>
      <c r="JB58" s="508">
        <f>IF(AND(IT58&gt;0,IY58&gt;0),IY58-IT58,"0")</f>
        <v>60</v>
      </c>
      <c r="JC58" s="490"/>
      <c r="JD58" s="491"/>
      <c r="JE58" s="502">
        <f>IY58</f>
        <v>41818</v>
      </c>
      <c r="JF58" s="487">
        <f>IF(AND(IY58&gt;0,JE58&gt;0),JE58-IY58,"0")</f>
        <v>0</v>
      </c>
      <c r="JG58" s="502">
        <f>DATE(YEAR(JE58),MONTH(JE58),DAY(JE58)+15)</f>
        <v>41833</v>
      </c>
      <c r="JH58" s="502">
        <f ca="1">IF(JG58&lt;TODAY(),TODAY(),JG58)</f>
        <v>42789</v>
      </c>
      <c r="JI58" s="487">
        <f ca="1">IF(AND(JG58&gt;0,JH58&gt;0),JH58-JG58,"0")</f>
        <v>956</v>
      </c>
      <c r="JJ58" s="502">
        <f ca="1">DATE(YEAR(JH58),MONTH(JH58),DAY(JH58)+45)</f>
        <v>42834</v>
      </c>
      <c r="JK58" s="502">
        <f ca="1">JJ58</f>
        <v>42834</v>
      </c>
      <c r="JL58" s="487">
        <f ca="1">IF(AND(JJ58&gt;0,JK58&gt;0),JK58-JJ58,"0")</f>
        <v>0</v>
      </c>
      <c r="JM58" s="509">
        <f ca="1">IF(AND(JE58&gt;0,JK58&gt;0),JK58-JE58,"0")</f>
        <v>1016</v>
      </c>
      <c r="JN58" s="502">
        <f ca="1">DATE(YEAR(JK58),MONTH(JK58),DAY(JK58)+60)</f>
        <v>42894</v>
      </c>
      <c r="JO58" s="501">
        <f ca="1">IF(AND(JK58&gt;0,JN58&gt;0),JN58-JK58,"0")</f>
        <v>60</v>
      </c>
      <c r="JP58" s="498">
        <f ca="1">JO58-60</f>
        <v>0</v>
      </c>
      <c r="JQ58" s="482">
        <f>291/30</f>
        <v>9.6999999999999993</v>
      </c>
      <c r="JR58" s="504">
        <f ca="1">((+HS58+HU58+IB58+IJ58+IQ58+IU58+JB58+JM58+JF58)/30)-JQ58</f>
        <v>32.166666666666671</v>
      </c>
      <c r="JS58" s="490"/>
      <c r="JT58" s="505"/>
      <c r="JU58" s="490"/>
      <c r="JV58" s="505"/>
      <c r="JW58" s="586"/>
      <c r="JX58" s="586"/>
      <c r="JY58" s="586"/>
      <c r="JZ58" s="586"/>
    </row>
    <row r="59" spans="1:286" ht="64.5" customHeight="1" x14ac:dyDescent="0.25">
      <c r="A59" s="146" t="s">
        <v>400</v>
      </c>
      <c r="B59" s="110" t="s">
        <v>62</v>
      </c>
      <c r="C59" s="110" t="s">
        <v>158</v>
      </c>
      <c r="D59" s="110">
        <v>2017</v>
      </c>
      <c r="E59" s="110" t="s">
        <v>517</v>
      </c>
      <c r="F59" s="110" t="s">
        <v>412</v>
      </c>
      <c r="G59" s="110" t="s">
        <v>278</v>
      </c>
      <c r="H59" s="112" t="s">
        <v>245</v>
      </c>
      <c r="I59" s="110"/>
      <c r="J59" s="110"/>
      <c r="K59" s="453" t="s">
        <v>1019</v>
      </c>
      <c r="L59" s="309"/>
      <c r="M59" s="310"/>
      <c r="N59" s="311"/>
      <c r="O59" s="379">
        <v>10656</v>
      </c>
      <c r="P59" s="379">
        <v>770000</v>
      </c>
      <c r="Q59" s="379">
        <v>352843</v>
      </c>
      <c r="R59" s="379">
        <f>P59/AD59</f>
        <v>19250</v>
      </c>
      <c r="S59" s="379">
        <f>P59/O59</f>
        <v>72.25975975975976</v>
      </c>
      <c r="T59" s="387">
        <f>Q59/O59</f>
        <v>33.112143393393396</v>
      </c>
      <c r="U59" s="387">
        <f>Q59/AH59</f>
        <v>107.37602897095296</v>
      </c>
      <c r="V59" s="387">
        <f>Q59/AD59</f>
        <v>8821.0750000000007</v>
      </c>
      <c r="W59" s="379">
        <f>O59/AD59</f>
        <v>266.39999999999998</v>
      </c>
      <c r="X59" s="380"/>
      <c r="Y59" s="381">
        <f>AH59/O59</f>
        <v>0.30837556306306307</v>
      </c>
      <c r="Z59" s="380"/>
      <c r="AA59" s="380">
        <v>600</v>
      </c>
      <c r="AB59" s="381"/>
      <c r="AC59" s="110" t="s">
        <v>26</v>
      </c>
      <c r="AD59" s="640">
        <f>(AE59+AF59)</f>
        <v>40</v>
      </c>
      <c r="AE59" s="121"/>
      <c r="AF59" s="110">
        <v>40</v>
      </c>
      <c r="AG59" s="114">
        <v>3286.05</v>
      </c>
      <c r="AH59" s="401">
        <f>AG59</f>
        <v>3286.05</v>
      </c>
      <c r="AI59" s="22">
        <f>AH59/AD59</f>
        <v>82.151250000000005</v>
      </c>
      <c r="AJ59" s="135">
        <v>0</v>
      </c>
      <c r="AK59" s="135">
        <f>6/AF59</f>
        <v>0.15</v>
      </c>
      <c r="AL59" s="135">
        <f>16/AF59</f>
        <v>0.4</v>
      </c>
      <c r="AM59" s="135">
        <f>16/AF59</f>
        <v>0.4</v>
      </c>
      <c r="AN59" s="135">
        <f>2/AF59</f>
        <v>0.05</v>
      </c>
      <c r="AO59" s="114"/>
      <c r="AP59" s="133"/>
      <c r="AQ59" s="135"/>
      <c r="AR59" s="114">
        <v>2</v>
      </c>
      <c r="AS59" s="110"/>
      <c r="AT59" s="110"/>
      <c r="AU59" s="110"/>
      <c r="AV59" s="110"/>
      <c r="AW59" s="415">
        <v>42116</v>
      </c>
      <c r="AX59" s="415">
        <v>42242</v>
      </c>
      <c r="AY59" s="415">
        <v>42475</v>
      </c>
      <c r="AZ59" s="415">
        <v>42269</v>
      </c>
      <c r="BA59" s="475"/>
      <c r="BB59" s="475"/>
      <c r="BC59" s="475"/>
      <c r="BD59" s="475"/>
      <c r="BE59" s="415">
        <v>42443</v>
      </c>
      <c r="BF59" s="415">
        <v>42487</v>
      </c>
      <c r="BG59" s="110"/>
      <c r="BH59" s="110"/>
      <c r="BI59" s="110"/>
      <c r="BJ59" s="110"/>
      <c r="BK59" s="110"/>
      <c r="BL59" s="110"/>
      <c r="BM59" s="110"/>
      <c r="BN59" s="196"/>
      <c r="BO59" s="196"/>
      <c r="BP59" s="196"/>
      <c r="BQ59" s="196"/>
      <c r="BR59" s="196"/>
      <c r="BS59" s="196"/>
      <c r="BT59" s="158"/>
      <c r="BU59" s="376"/>
      <c r="BV59" s="160"/>
      <c r="BW59" s="160"/>
      <c r="BX59" s="160"/>
      <c r="BY59" s="160"/>
      <c r="BZ59" s="376"/>
      <c r="CA59" s="160"/>
      <c r="CB59" s="302"/>
      <c r="CC59" s="372"/>
      <c r="CD59" s="302"/>
      <c r="CE59" s="302"/>
      <c r="CF59" s="161"/>
      <c r="CG59" s="336">
        <f>DATE(YEAR(CF59),MONTH(CF59)+24,DAY(CF59))</f>
        <v>731</v>
      </c>
      <c r="CH59" s="336">
        <f>DATE(YEAR(CF59),MONTH(CF59)+36,DAY(CF59))</f>
        <v>1096</v>
      </c>
      <c r="CI59" s="336"/>
      <c r="CJ59" s="302"/>
      <c r="CK59" s="308"/>
      <c r="CL59" s="161"/>
      <c r="CM59" s="371"/>
      <c r="CN59" s="161"/>
      <c r="CO59" s="161"/>
      <c r="CP59" s="162"/>
      <c r="CQ59" s="367"/>
      <c r="CR59" s="162"/>
      <c r="CS59" s="162"/>
      <c r="CT59" s="162"/>
      <c r="CU59" s="367"/>
      <c r="CV59" s="162"/>
      <c r="CW59" s="162"/>
      <c r="CX59" s="162"/>
      <c r="CY59" s="367"/>
      <c r="CZ59" s="162"/>
      <c r="DA59" s="162"/>
      <c r="DB59" s="299"/>
      <c r="DC59" s="299"/>
      <c r="DD59" s="299"/>
      <c r="DE59" s="312"/>
      <c r="DF59" s="312"/>
      <c r="DG59" s="312"/>
      <c r="DH59" s="312"/>
      <c r="DI59" s="312"/>
      <c r="DJ59" s="312"/>
      <c r="DK59" s="293"/>
      <c r="DL59" s="293"/>
      <c r="DM59" s="293"/>
      <c r="DN59" s="293"/>
      <c r="DO59" s="293"/>
      <c r="DP59" s="293"/>
      <c r="DQ59" s="304"/>
      <c r="DR59" s="443"/>
      <c r="DS59" s="443"/>
      <c r="DT59" s="298"/>
      <c r="DU59" s="304">
        <f>DATE(YEAR(DQ59),MONTH(DQ59)+18,DAY(DQ59))</f>
        <v>547</v>
      </c>
      <c r="DV59" s="443"/>
      <c r="DW59" s="443"/>
      <c r="DX59" s="423"/>
      <c r="DY59" s="423"/>
      <c r="DZ59" s="423"/>
      <c r="EA59" s="434">
        <v>43115</v>
      </c>
      <c r="EB59" s="423"/>
      <c r="EC59" s="430">
        <v>18</v>
      </c>
      <c r="ED59" s="430">
        <f>EC59+2</f>
        <v>20</v>
      </c>
      <c r="EE59" s="422">
        <f>DATEDIF(EA59,EN59,"M")</f>
        <v>18</v>
      </c>
      <c r="EF59" s="422">
        <f>DATEDIF(EA59,EV59,"M")</f>
        <v>19</v>
      </c>
      <c r="EG59" s="422">
        <f>EE59-EC59</f>
        <v>0</v>
      </c>
      <c r="EH59" s="422"/>
      <c r="EI59" s="431"/>
      <c r="EJ59" s="431"/>
      <c r="EK59" s="423"/>
      <c r="EL59" s="423"/>
      <c r="EM59" s="423"/>
      <c r="EN59" s="210">
        <f>DATE(YEAR(EA59),MONTH(EA59)+EC59,DAY(EA59))</f>
        <v>43661</v>
      </c>
      <c r="EO59" s="210">
        <f>DATE(YEAR(DV59)+2,MONTH(DV59),DAY(DV59))</f>
        <v>731</v>
      </c>
      <c r="EP59" s="423"/>
      <c r="EQ59" s="423"/>
      <c r="ER59" s="423"/>
      <c r="ES59" s="423"/>
      <c r="ET59" s="423"/>
      <c r="EU59" s="334">
        <f>DATE(YEAR(EN59),MONTH(EN59)+1,DAY(EN59))</f>
        <v>43692</v>
      </c>
      <c r="EV59" s="206">
        <f>EU59</f>
        <v>43692</v>
      </c>
      <c r="EW59" s="206"/>
      <c r="EX59" s="209"/>
      <c r="EY59" s="434"/>
      <c r="EZ59" s="212"/>
      <c r="FA59" s="212"/>
      <c r="FB59" s="212"/>
      <c r="FC59" s="212"/>
      <c r="FD59" s="110"/>
      <c r="FE59" s="110"/>
      <c r="FF59" s="110"/>
      <c r="FG59" s="110"/>
      <c r="FH59" s="110"/>
      <c r="FI59" s="110"/>
      <c r="FJ59" s="110"/>
      <c r="FK59" s="110"/>
      <c r="FL59" s="110"/>
      <c r="FM59" s="110"/>
      <c r="FN59" s="110"/>
      <c r="FO59" s="110"/>
      <c r="FP59" s="199"/>
      <c r="FQ59" s="153">
        <f>+GA59+GE59+GL59+HF59</f>
        <v>6882452</v>
      </c>
      <c r="FR59" s="124">
        <f>GB59+GF59+GK59+GM59+GQ59</f>
        <v>6882452</v>
      </c>
      <c r="FS59" s="25">
        <f>FR59-FQ59</f>
        <v>0</v>
      </c>
      <c r="FT59" s="50">
        <f>FQ59/AG59</f>
        <v>2094.4453066751876</v>
      </c>
      <c r="FU59" s="50">
        <f>FQ59/AD59</f>
        <v>172061.3</v>
      </c>
      <c r="FV59" s="153">
        <v>5938598.068</v>
      </c>
      <c r="FW59" s="124">
        <f>FV59</f>
        <v>5938598.068</v>
      </c>
      <c r="FX59" s="25">
        <f>FW59-FV59</f>
        <v>0</v>
      </c>
      <c r="FY59" s="231">
        <f>FW59*1.021/FR59</f>
        <v>0.88098088114933459</v>
      </c>
      <c r="FZ59" s="234">
        <v>0.4</v>
      </c>
      <c r="GA59" s="153">
        <v>2291796</v>
      </c>
      <c r="GB59" s="24">
        <f>GA59</f>
        <v>2291796</v>
      </c>
      <c r="GC59" s="50">
        <f>GA59/AD59</f>
        <v>57294.9</v>
      </c>
      <c r="GD59" s="73">
        <f>GB59-GA59</f>
        <v>0</v>
      </c>
      <c r="GE59" s="23">
        <v>3790656</v>
      </c>
      <c r="GF59" s="24">
        <f>GE59</f>
        <v>3790656</v>
      </c>
      <c r="GG59" s="147"/>
      <c r="GH59" s="147"/>
      <c r="GI59" s="73">
        <f>GF59-GE59</f>
        <v>0</v>
      </c>
      <c r="GJ59" s="50">
        <f>GE59/AD59</f>
        <v>94766.399999999994</v>
      </c>
      <c r="GK59" s="124"/>
      <c r="GL59" s="153">
        <v>800000</v>
      </c>
      <c r="GM59" s="24">
        <f>GL59</f>
        <v>800000</v>
      </c>
      <c r="GN59" s="124"/>
      <c r="GO59" s="76">
        <f>GL59/FQ59</f>
        <v>0.11623764321204129</v>
      </c>
      <c r="GP59" s="590"/>
      <c r="GQ59" s="124"/>
      <c r="GR59" s="51">
        <f>GM59-GL59</f>
        <v>0</v>
      </c>
      <c r="GS59" s="50">
        <f>GL59/AD59</f>
        <v>20000</v>
      </c>
      <c r="GT59" s="138">
        <f>(GA59+GL59)/AD59</f>
        <v>77294.899999999994</v>
      </c>
      <c r="GU59" s="51">
        <f>GR59/AD59</f>
        <v>0</v>
      </c>
      <c r="GV59" s="150">
        <v>5.22</v>
      </c>
      <c r="GW59" s="150">
        <v>5.12</v>
      </c>
      <c r="GX59" s="75">
        <v>1130546.1804499999</v>
      </c>
      <c r="GY59" s="75">
        <v>800000</v>
      </c>
      <c r="GZ59" s="50">
        <f>(GA59+GL59+GY59)/AD59</f>
        <v>97294.9</v>
      </c>
      <c r="HA59" s="75"/>
      <c r="HB59" s="50">
        <f>(GB59+GM59+GY59+HA59)/AD59</f>
        <v>97294.9</v>
      </c>
      <c r="HC59" s="99">
        <f>(GA59+GL59+GY59+HA59)/(GX59+FQ59-HD59)</f>
        <v>0.50519122516114356</v>
      </c>
      <c r="HD59" s="75">
        <v>309388.52500000002</v>
      </c>
      <c r="HE59" s="75"/>
      <c r="HF59" s="24"/>
      <c r="HG59" s="77">
        <f>FQ59+GX59</f>
        <v>8012998.1804499999</v>
      </c>
      <c r="HH59" s="491">
        <v>331202</v>
      </c>
      <c r="HI59" s="491">
        <f>HK59+IH59</f>
        <v>81124</v>
      </c>
      <c r="HJ59" s="494">
        <v>42180</v>
      </c>
      <c r="HK59" s="491">
        <v>31444</v>
      </c>
      <c r="HL59" s="527">
        <v>42130</v>
      </c>
      <c r="HM59" s="527">
        <f>DATE(YEAR(HL59),MONTH(HL59),DAY(HL59)+21)</f>
        <v>42151</v>
      </c>
      <c r="HN59" s="415">
        <v>42184</v>
      </c>
      <c r="HO59" s="497">
        <f>IF(AND(HM59&gt;0,HN59&gt;0),HN59-HM59,"0")</f>
        <v>33</v>
      </c>
      <c r="HP59" s="415">
        <v>42229</v>
      </c>
      <c r="HQ59" s="481">
        <f>IF(AND(HN59&gt;0,HP59&gt;0),HP59-HN59,"0")</f>
        <v>45</v>
      </c>
      <c r="HR59" s="497">
        <f>+HQ59-30</f>
        <v>15</v>
      </c>
      <c r="HS59" s="506">
        <f>IF(AND(HL59&gt;0,HP59&gt;0),HP59-HL59,"0")</f>
        <v>99</v>
      </c>
      <c r="HT59" s="415">
        <v>42229</v>
      </c>
      <c r="HU59" s="497">
        <f>IF(AND(HP59&gt;0,HT59&gt;0),HT59-HP59,"0")</f>
        <v>0</v>
      </c>
      <c r="HV59" s="415">
        <f>DATE(YEAR(HT59),MONTH(HT59),DAY(HT59)+21)</f>
        <v>42250</v>
      </c>
      <c r="HW59" s="415">
        <v>42250</v>
      </c>
      <c r="HX59" s="497">
        <f>IF(AND(HV59&gt;0,HW59&gt;0),HW59-HV59,"0")</f>
        <v>0</v>
      </c>
      <c r="HY59" s="415">
        <v>42268</v>
      </c>
      <c r="HZ59" s="481">
        <f>IF(AND(HW59&gt;0,HY59&gt;0),HY59-HW59,"0")</f>
        <v>18</v>
      </c>
      <c r="IA59" s="497">
        <f>+HZ59-30</f>
        <v>-12</v>
      </c>
      <c r="IB59" s="506">
        <f>IF(AND(HT59&gt;0,HY59&gt;0),HY59-HT59,"0")</f>
        <v>39</v>
      </c>
      <c r="IC59" s="490" t="s">
        <v>687</v>
      </c>
      <c r="ID59" s="491" t="s">
        <v>687</v>
      </c>
      <c r="IE59" s="477"/>
      <c r="IF59" s="415">
        <v>42240</v>
      </c>
      <c r="IG59" s="494">
        <v>42335</v>
      </c>
      <c r="IH59" s="491">
        <v>49680</v>
      </c>
      <c r="II59" s="347">
        <v>42342</v>
      </c>
      <c r="IJ59" s="497">
        <f>IF(AND(HY59&gt;0,II59&gt;0),II59-HY59,"0")</f>
        <v>74</v>
      </c>
      <c r="IK59" s="347">
        <f>DATE(YEAR(II59),MONTH(II59),DAY(II59)+30)</f>
        <v>42372</v>
      </c>
      <c r="IL59" s="347">
        <v>42417</v>
      </c>
      <c r="IM59" s="497">
        <f>IF(AND(IK59&gt;0,IL59&gt;0),IL59-IK59,"0")</f>
        <v>45</v>
      </c>
      <c r="IN59" s="206">
        <v>42581</v>
      </c>
      <c r="IO59" s="481">
        <f>IF(AND(IL59&gt;0,IN59&gt;0),IN59-IL59,"0")</f>
        <v>164</v>
      </c>
      <c r="IP59" s="497">
        <f>+IO59-30</f>
        <v>134</v>
      </c>
      <c r="IQ59" s="506">
        <f>IF(AND(II59&gt;0,IN59&gt;0),IN59-II59,"0")</f>
        <v>239</v>
      </c>
      <c r="IR59" s="490"/>
      <c r="IS59" s="505" t="e">
        <f>#REF!*HH59</f>
        <v>#REF!</v>
      </c>
      <c r="IT59" s="206">
        <f>IN59</f>
        <v>42581</v>
      </c>
      <c r="IU59" s="498">
        <f>IF(AND(IN59&gt;0,IT59&gt;0),IT59-IN59,"0")</f>
        <v>0</v>
      </c>
      <c r="IV59" s="206">
        <f>DATE(YEAR(IT59),MONTH(IT59),DAY(IT59)+30)</f>
        <v>42611</v>
      </c>
      <c r="IW59" s="206">
        <f ca="1">IF(IV59&lt;TODAY(),TODAY(),IV59)</f>
        <v>42789</v>
      </c>
      <c r="IX59" s="498">
        <f ca="1">IF(AND(IV59&gt;0,IW59&gt;0),IW59-IV59,"0")</f>
        <v>178</v>
      </c>
      <c r="IY59" s="206">
        <f>DATE(YEAR(IV59),MONTH(IV59),DAY(IV59)+30)</f>
        <v>42641</v>
      </c>
      <c r="IZ59" s="482">
        <f ca="1">IF(AND(IW59&gt;0,IY59&gt;0),IY59-IW59,"0")</f>
        <v>-148</v>
      </c>
      <c r="JA59" s="498">
        <f ca="1">IZ59-30</f>
        <v>-178</v>
      </c>
      <c r="JB59" s="508">
        <f>IF(AND(IT59&gt;0,IY59&gt;0),IY59-IT59,"0")</f>
        <v>60</v>
      </c>
      <c r="JC59" s="490"/>
      <c r="JD59" s="491"/>
      <c r="JE59" s="502">
        <f>IY59</f>
        <v>42641</v>
      </c>
      <c r="JF59" s="487">
        <f>IF(AND(IY59&gt;0,JE59&gt;0),JE59-IY59,"0")</f>
        <v>0</v>
      </c>
      <c r="JG59" s="502">
        <f>DATE(YEAR(JE59),MONTH(JE59),DAY(JE59)+15)</f>
        <v>42656</v>
      </c>
      <c r="JH59" s="502">
        <f ca="1">IF(JG59&lt;TODAY(),TODAY(),JG59)</f>
        <v>42789</v>
      </c>
      <c r="JI59" s="487">
        <f ca="1">IF(AND(JG59&gt;0,JH59&gt;0),JH59-JG59,"0")</f>
        <v>133</v>
      </c>
      <c r="JJ59" s="502">
        <f ca="1">DATE(YEAR(JH59),MONTH(JH59),DAY(JH59)+45)</f>
        <v>42834</v>
      </c>
      <c r="JK59" s="502">
        <f ca="1">JJ59</f>
        <v>42834</v>
      </c>
      <c r="JL59" s="487">
        <f ca="1">IF(AND(JJ59&gt;0,JK59&gt;0),JK59-JJ59,"0")</f>
        <v>0</v>
      </c>
      <c r="JM59" s="509">
        <f ca="1">IF(AND(JE59&gt;0,JK59&gt;0),JK59-JE59,"0")</f>
        <v>193</v>
      </c>
      <c r="JN59" s="502">
        <f ca="1">DATE(YEAR(JK59),MONTH(JK59),DAY(JK59)+60)</f>
        <v>42894</v>
      </c>
      <c r="JO59" s="501">
        <f ca="1">IF(AND(JK59&gt;0,JN59&gt;0),JN59-JK59,"0")</f>
        <v>60</v>
      </c>
      <c r="JP59" s="498">
        <f ca="1">JO59-60</f>
        <v>0</v>
      </c>
      <c r="JQ59" s="482">
        <f>291/30</f>
        <v>9.6999999999999993</v>
      </c>
      <c r="JR59" s="504">
        <f ca="1">((+HS59+HU59+IB59+IJ59+IQ59+IU59+JB59+JM59+JF59)/30)-JQ59</f>
        <v>13.766666666666666</v>
      </c>
      <c r="JS59" s="490"/>
      <c r="JT59" s="511"/>
      <c r="JU59" s="490"/>
      <c r="JV59" s="511"/>
      <c r="JW59" s="586"/>
      <c r="JX59" s="586"/>
      <c r="JY59" s="586"/>
      <c r="JZ59" s="586"/>
    </row>
    <row r="60" spans="1:286" ht="56.25" customHeight="1" x14ac:dyDescent="0.25">
      <c r="A60" s="159" t="s">
        <v>221</v>
      </c>
      <c r="B60" s="111" t="s">
        <v>38</v>
      </c>
      <c r="C60" s="111" t="s">
        <v>157</v>
      </c>
      <c r="D60" s="110">
        <v>2017</v>
      </c>
      <c r="E60" s="111" t="s">
        <v>222</v>
      </c>
      <c r="F60" s="110" t="s">
        <v>74</v>
      </c>
      <c r="G60" s="110" t="s">
        <v>439</v>
      </c>
      <c r="H60" s="111" t="s">
        <v>245</v>
      </c>
      <c r="I60" s="110" t="s">
        <v>168</v>
      </c>
      <c r="J60" s="111"/>
      <c r="K60" s="378" t="s">
        <v>628</v>
      </c>
      <c r="L60" s="309" t="s">
        <v>314</v>
      </c>
      <c r="M60" s="310" t="s">
        <v>202</v>
      </c>
      <c r="N60" s="311"/>
      <c r="O60" s="386">
        <v>1736</v>
      </c>
      <c r="P60" s="386">
        <f>Q60</f>
        <v>448408</v>
      </c>
      <c r="Q60" s="386">
        <v>448408</v>
      </c>
      <c r="R60" s="379">
        <f>P60/AD60</f>
        <v>23600.42105263158</v>
      </c>
      <c r="S60" s="386">
        <f>P60/O60</f>
        <v>258.29953917050693</v>
      </c>
      <c r="T60" s="387">
        <f>Q60/O60</f>
        <v>258.29953917050693</v>
      </c>
      <c r="U60" s="387">
        <f>Q60/AH60</f>
        <v>274.7126718455167</v>
      </c>
      <c r="V60" s="387">
        <f>Q60/AD60</f>
        <v>23600.42105263158</v>
      </c>
      <c r="W60" s="379">
        <f>O60/AD60</f>
        <v>91.368421052631575</v>
      </c>
      <c r="X60" s="388"/>
      <c r="Y60" s="389">
        <f>AH60/O60</f>
        <v>0.94025345622119816</v>
      </c>
      <c r="Z60" s="388" t="s">
        <v>309</v>
      </c>
      <c r="AA60" s="380">
        <v>50</v>
      </c>
      <c r="AB60" s="381"/>
      <c r="AC60" s="111" t="s">
        <v>26</v>
      </c>
      <c r="AD60" s="639">
        <f>(AE60+AF60)</f>
        <v>19</v>
      </c>
      <c r="AE60" s="457"/>
      <c r="AF60" s="111">
        <v>19</v>
      </c>
      <c r="AG60" s="114">
        <v>1584.58</v>
      </c>
      <c r="AH60" s="401">
        <v>1632.28</v>
      </c>
      <c r="AI60" s="114">
        <f>AH60/AD60</f>
        <v>85.909473684210525</v>
      </c>
      <c r="AJ60" s="116"/>
      <c r="AK60" s="135">
        <f>8/AD60</f>
        <v>0.42105263157894735</v>
      </c>
      <c r="AL60" s="135">
        <f>7/AD60</f>
        <v>0.36842105263157893</v>
      </c>
      <c r="AM60" s="135">
        <f>4/AD60</f>
        <v>0.21052631578947367</v>
      </c>
      <c r="AN60" s="116"/>
      <c r="AO60" s="114"/>
      <c r="AP60" s="133">
        <v>0</v>
      </c>
      <c r="AQ60" s="135">
        <f>AP60/O60</f>
        <v>0</v>
      </c>
      <c r="AR60" s="114">
        <v>3</v>
      </c>
      <c r="AS60" s="110">
        <v>1</v>
      </c>
      <c r="AT60" s="110" t="s">
        <v>316</v>
      </c>
      <c r="AU60" s="110" t="s">
        <v>178</v>
      </c>
      <c r="AV60" s="110" t="s">
        <v>168</v>
      </c>
      <c r="AW60" s="415">
        <v>41604</v>
      </c>
      <c r="AX60" s="415">
        <v>41591</v>
      </c>
      <c r="AY60" s="415">
        <v>42475</v>
      </c>
      <c r="AZ60" s="415"/>
      <c r="BA60" s="415" t="s">
        <v>754</v>
      </c>
      <c r="BB60" s="415" t="s">
        <v>762</v>
      </c>
      <c r="BC60" s="415" t="s">
        <v>757</v>
      </c>
      <c r="BD60" s="332"/>
      <c r="BE60" s="415">
        <v>41836</v>
      </c>
      <c r="BF60" s="415">
        <v>41862</v>
      </c>
      <c r="BG60" s="415">
        <v>41893</v>
      </c>
      <c r="BH60" s="415">
        <v>41925</v>
      </c>
      <c r="BI60" s="110"/>
      <c r="BJ60" s="110"/>
      <c r="BK60" s="110"/>
      <c r="BL60" s="110"/>
      <c r="BM60" s="110"/>
      <c r="BN60" s="196" t="s">
        <v>378</v>
      </c>
      <c r="BO60" s="196"/>
      <c r="BP60" s="196"/>
      <c r="BQ60" s="196"/>
      <c r="BR60" s="196"/>
      <c r="BS60" s="196"/>
      <c r="BT60" s="461" t="s">
        <v>230</v>
      </c>
      <c r="BU60" s="376"/>
      <c r="BV60" s="160"/>
      <c r="BW60" s="160"/>
      <c r="BX60" s="160"/>
      <c r="BY60" s="160"/>
      <c r="BZ60" s="376"/>
      <c r="CA60" s="160"/>
      <c r="CB60" s="302"/>
      <c r="CC60" s="374"/>
      <c r="CD60" s="302"/>
      <c r="CE60" s="302"/>
      <c r="CF60" s="161"/>
      <c r="CG60" s="336">
        <f>DATE(YEAR(CF60),MONTH(CF60)+24,DAY(CF60))</f>
        <v>731</v>
      </c>
      <c r="CH60" s="336">
        <f>DATE(YEAR(CF60),MONTH(CF60)+36,DAY(CF60))</f>
        <v>1096</v>
      </c>
      <c r="CI60" s="336"/>
      <c r="CJ60" s="302"/>
      <c r="CK60" s="308"/>
      <c r="CL60" s="161"/>
      <c r="CM60" s="371"/>
      <c r="CN60" s="161"/>
      <c r="CO60" s="161"/>
      <c r="CP60" s="162"/>
      <c r="CQ60" s="367"/>
      <c r="CR60" s="162"/>
      <c r="CS60" s="162"/>
      <c r="CT60" s="162"/>
      <c r="CU60" s="367"/>
      <c r="CV60" s="162"/>
      <c r="CW60" s="162"/>
      <c r="CX60" s="162"/>
      <c r="CY60" s="367"/>
      <c r="CZ60" s="162"/>
      <c r="DA60" s="162"/>
      <c r="DB60" s="299" t="s">
        <v>202</v>
      </c>
      <c r="DC60" s="313"/>
      <c r="DD60" s="299">
        <f>DC60*3/5</f>
        <v>0</v>
      </c>
      <c r="DE60" s="299"/>
      <c r="DF60" s="299"/>
      <c r="DG60" s="299"/>
      <c r="DH60" s="299"/>
      <c r="DI60" s="299"/>
      <c r="DJ60" s="299"/>
      <c r="DK60" s="293"/>
      <c r="DL60" s="293"/>
      <c r="DM60" s="293"/>
      <c r="DN60" s="293"/>
      <c r="DO60" s="293"/>
      <c r="DP60" s="293"/>
      <c r="DQ60" s="304"/>
      <c r="DR60" s="443"/>
      <c r="DS60" s="443"/>
      <c r="DT60" s="298"/>
      <c r="DU60" s="304">
        <f>DATE(YEAR(DQ60),MONTH(DQ60)+18,DAY(DQ60))</f>
        <v>547</v>
      </c>
      <c r="DV60" s="443"/>
      <c r="DW60" s="443"/>
      <c r="DX60" s="423"/>
      <c r="DY60" s="423"/>
      <c r="DZ60" s="423"/>
      <c r="EA60" s="434">
        <v>43115</v>
      </c>
      <c r="EB60" s="423"/>
      <c r="EC60" s="430">
        <v>16</v>
      </c>
      <c r="ED60" s="430">
        <f>EC60+2</f>
        <v>18</v>
      </c>
      <c r="EE60" s="422">
        <f>DATEDIF(EA60,EN60,"M")</f>
        <v>16</v>
      </c>
      <c r="EF60" s="422">
        <f>DATEDIF(EA60,EV60,"M")</f>
        <v>17</v>
      </c>
      <c r="EG60" s="422">
        <f>EE60-EC60</f>
        <v>0</v>
      </c>
      <c r="EH60" s="422"/>
      <c r="EI60" s="431"/>
      <c r="EJ60" s="431"/>
      <c r="EK60" s="423"/>
      <c r="EL60" s="423"/>
      <c r="EM60" s="423"/>
      <c r="EN60" s="210">
        <f>DATE(YEAR(EA60),MONTH(EA60)+EC60,DAY(EA60))</f>
        <v>43600</v>
      </c>
      <c r="EO60" s="210">
        <f>DATE(YEAR(DV60)+2,MONTH(DV60),DAY(DV60))</f>
        <v>731</v>
      </c>
      <c r="EP60" s="423"/>
      <c r="EQ60" s="423"/>
      <c r="ER60" s="423"/>
      <c r="ES60" s="423"/>
      <c r="ET60" s="423"/>
      <c r="EU60" s="334">
        <f>DATE(YEAR(EN60),MONTH(EN60)+1,DAY(EN60))</f>
        <v>43631</v>
      </c>
      <c r="EV60" s="206">
        <f>EU60</f>
        <v>43631</v>
      </c>
      <c r="EW60" s="206"/>
      <c r="EX60" s="209"/>
      <c r="EY60" s="434"/>
      <c r="EZ60" s="212"/>
      <c r="FA60" s="212"/>
      <c r="FB60" s="212"/>
      <c r="FC60" s="212"/>
      <c r="FD60" s="110"/>
      <c r="FE60" s="110"/>
      <c r="FF60" s="110"/>
      <c r="FG60" s="110"/>
      <c r="FH60" s="110"/>
      <c r="FI60" s="110"/>
      <c r="FJ60" s="110"/>
      <c r="FK60" s="110"/>
      <c r="FL60" s="110"/>
      <c r="FM60" s="110"/>
      <c r="FN60" s="110"/>
      <c r="FO60" s="110"/>
      <c r="FP60" s="199"/>
      <c r="FQ60" s="153">
        <f>+GA60+GE60+GL60+HF60</f>
        <v>3186807</v>
      </c>
      <c r="FR60" s="124">
        <f>GB60+GF60+GK60+GM60+GQ60</f>
        <v>3280807</v>
      </c>
      <c r="FS60" s="25">
        <f>FR60-FQ60</f>
        <v>94000</v>
      </c>
      <c r="FT60" s="50">
        <f>FQ60/AG60</f>
        <v>2011.1367049943835</v>
      </c>
      <c r="FU60" s="50">
        <f>FQ60/AD60</f>
        <v>167726.68421052632</v>
      </c>
      <c r="FV60" s="153">
        <v>2673417</v>
      </c>
      <c r="FW60" s="124">
        <v>2945072</v>
      </c>
      <c r="FX60" s="154">
        <f>FW60-FV60</f>
        <v>271655</v>
      </c>
      <c r="FY60" s="232">
        <f>FW60*1.021/FR60</f>
        <v>0.91651795183319218</v>
      </c>
      <c r="FZ60" s="234">
        <v>0.4</v>
      </c>
      <c r="GA60" s="153">
        <v>931893</v>
      </c>
      <c r="GB60" s="24">
        <v>1123038</v>
      </c>
      <c r="GC60" s="98">
        <f>GA60/AD60</f>
        <v>49047</v>
      </c>
      <c r="GD60" s="155">
        <f>GB60-GA60</f>
        <v>191145</v>
      </c>
      <c r="GE60" s="153">
        <v>1874914</v>
      </c>
      <c r="GF60" s="24">
        <f>GG60+GH60</f>
        <v>2007769</v>
      </c>
      <c r="GG60" s="147">
        <v>530039</v>
      </c>
      <c r="GH60" s="147">
        <v>1477730</v>
      </c>
      <c r="GI60" s="155">
        <f>GF60-GE60</f>
        <v>132855</v>
      </c>
      <c r="GJ60" s="98">
        <f>GE60/AD60</f>
        <v>98679.68421052632</v>
      </c>
      <c r="GK60" s="124"/>
      <c r="GL60" s="153">
        <v>380000</v>
      </c>
      <c r="GM60" s="24">
        <v>150000</v>
      </c>
      <c r="GN60" s="129">
        <v>0</v>
      </c>
      <c r="GO60" s="148">
        <f>GL60/FQ60</f>
        <v>0.11924161080354097</v>
      </c>
      <c r="GP60" s="590"/>
      <c r="GQ60" s="124">
        <v>0</v>
      </c>
      <c r="GR60" s="149">
        <f>GM60-GL60</f>
        <v>-230000</v>
      </c>
      <c r="GS60" s="50">
        <f>GL60/AD60</f>
        <v>20000</v>
      </c>
      <c r="GT60" s="138">
        <f>(GA60+GL60)/AD60</f>
        <v>69047</v>
      </c>
      <c r="GU60" s="149">
        <f>GR60/AD60</f>
        <v>-12105.263157894737</v>
      </c>
      <c r="GV60" s="462">
        <v>5.16</v>
      </c>
      <c r="GW60" s="462">
        <v>4.99</v>
      </c>
      <c r="GX60" s="151">
        <v>0</v>
      </c>
      <c r="GY60" s="151">
        <v>0</v>
      </c>
      <c r="GZ60" s="98">
        <f>(GA60+GL60+GY60)/AD60</f>
        <v>69047</v>
      </c>
      <c r="HA60" s="151">
        <v>0</v>
      </c>
      <c r="HB60" s="98">
        <f>(GB60+GM60+GY60+HA60)/AD60</f>
        <v>67002</v>
      </c>
      <c r="HC60" s="99">
        <f>(GA60+GL60+GY60+HA60)/(GX60+FQ60-HD60)</f>
        <v>0.41166377505760471</v>
      </c>
      <c r="HD60" s="151">
        <v>0</v>
      </c>
      <c r="HE60" s="151"/>
      <c r="HF60" s="124">
        <v>0</v>
      </c>
      <c r="HG60" s="77">
        <f>FQ60+GX60</f>
        <v>3186807</v>
      </c>
      <c r="HH60" s="491">
        <v>183150</v>
      </c>
      <c r="HI60" s="491">
        <f>HK60+ID60+IH60</f>
        <v>45788</v>
      </c>
      <c r="HJ60" s="494">
        <v>41641</v>
      </c>
      <c r="HK60" s="491">
        <v>17413</v>
      </c>
      <c r="HL60" s="415">
        <v>41547</v>
      </c>
      <c r="HM60" s="415">
        <f>DATE(YEAR(HL60),MONTH(HL60),DAY(HL60)+21)</f>
        <v>41568</v>
      </c>
      <c r="HN60" s="415">
        <v>41596</v>
      </c>
      <c r="HO60" s="497">
        <f>IF(AND(HM60&gt;0,HN60&gt;0),HN60-HM60,"0")</f>
        <v>28</v>
      </c>
      <c r="HP60" s="415">
        <v>41612</v>
      </c>
      <c r="HQ60" s="481">
        <f>IF(AND(HN60&gt;0,HP60&gt;0),HP60-HN60,"0")</f>
        <v>16</v>
      </c>
      <c r="HR60" s="497">
        <f>+HQ60-30</f>
        <v>-14</v>
      </c>
      <c r="HS60" s="506">
        <f>IF(AND(HL60&gt;0,HP60&gt;0),HP60-HL60,"0")</f>
        <v>65</v>
      </c>
      <c r="HT60" s="415">
        <v>41614</v>
      </c>
      <c r="HU60" s="497">
        <f>IF(AND(HP60&gt;0,HT60&gt;0),HT60-HP60,"0")</f>
        <v>2</v>
      </c>
      <c r="HV60" s="415">
        <f>DATE(YEAR(HT60),MONTH(HT60),DAY(HT60)+21)</f>
        <v>41635</v>
      </c>
      <c r="HW60" s="415">
        <v>41645</v>
      </c>
      <c r="HX60" s="497">
        <f>IF(AND(HV60&gt;0,HW60&gt;0),HW60-HV60,"0")</f>
        <v>10</v>
      </c>
      <c r="HY60" s="415">
        <v>41694</v>
      </c>
      <c r="HZ60" s="481">
        <f>IF(AND(HW60&gt;0,HY60&gt;0),HY60-HW60,"0")</f>
        <v>49</v>
      </c>
      <c r="IA60" s="497">
        <f>+HZ60-30</f>
        <v>19</v>
      </c>
      <c r="IB60" s="506">
        <f>IF(AND(HT60&gt;0,HY60&gt;0),HY60-HT60,"0")</f>
        <v>80</v>
      </c>
      <c r="IC60" s="490">
        <v>41696</v>
      </c>
      <c r="ID60" s="491">
        <v>8707</v>
      </c>
      <c r="IE60" s="415"/>
      <c r="IF60" s="415">
        <v>41676</v>
      </c>
      <c r="IG60" s="494">
        <v>41820</v>
      </c>
      <c r="IH60" s="491">
        <v>19668</v>
      </c>
      <c r="II60" s="347">
        <v>41694</v>
      </c>
      <c r="IJ60" s="497">
        <f>IF(AND(HY60&gt;0,II60&gt;0),II60-HY60,"0")</f>
        <v>0</v>
      </c>
      <c r="IK60" s="347">
        <f>DATE(YEAR(II60),MONTH(II60),DAY(II60)+30)</f>
        <v>41724</v>
      </c>
      <c r="IL60" s="347">
        <v>41732</v>
      </c>
      <c r="IM60" s="497">
        <f>IF(AND(IK60&gt;0,IL60&gt;0),IL60-IK60,"0")</f>
        <v>8</v>
      </c>
      <c r="IN60" s="206">
        <f>DATE(YEAR(IL60),MONTH(IL60),DAY(IL60)+30)</f>
        <v>41762</v>
      </c>
      <c r="IO60" s="481">
        <f>IF(AND(IL60&gt;0,IN60&gt;0),IN60-IL60,"0")</f>
        <v>30</v>
      </c>
      <c r="IP60" s="497">
        <f>+IO60-30</f>
        <v>0</v>
      </c>
      <c r="IQ60" s="506">
        <f>IF(AND(II60&gt;0,IN60&gt;0),IN60-II60,"0")</f>
        <v>68</v>
      </c>
      <c r="IR60" s="490"/>
      <c r="IS60" s="505" t="e">
        <f>#REF!*$HH$59</f>
        <v>#REF!</v>
      </c>
      <c r="IT60" s="206">
        <f>IN60</f>
        <v>41762</v>
      </c>
      <c r="IU60" s="498">
        <f>IF(AND(IN60&gt;0,IT60&gt;0),IT60-IN60,"0")</f>
        <v>0</v>
      </c>
      <c r="IV60" s="206">
        <f>DATE(YEAR(IT60),MONTH(IT60),DAY(IT60)+30)</f>
        <v>41792</v>
      </c>
      <c r="IW60" s="206">
        <f ca="1">IF(IV60&lt;TODAY(),TODAY(),IV60)</f>
        <v>42789</v>
      </c>
      <c r="IX60" s="498">
        <f ca="1">IF(AND(IV60&gt;0,IW60&gt;0),IW60-IV60,"0")</f>
        <v>997</v>
      </c>
      <c r="IY60" s="206">
        <f>DATE(YEAR(IV60),MONTH(IV60),DAY(IV60)+30)</f>
        <v>41822</v>
      </c>
      <c r="IZ60" s="482">
        <f ca="1">IF(AND(IW60&gt;0,IY60&gt;0),IY60-IW60,"0")</f>
        <v>-967</v>
      </c>
      <c r="JA60" s="498">
        <f ca="1">IZ60-30</f>
        <v>-997</v>
      </c>
      <c r="JB60" s="508">
        <f>IF(AND(IT60&gt;0,IY60&gt;0),IY60-IT60,"0")</f>
        <v>60</v>
      </c>
      <c r="JC60" s="490"/>
      <c r="JD60" s="505" t="e">
        <f>#REF!*$HH$59</f>
        <v>#REF!</v>
      </c>
      <c r="JE60" s="502">
        <f>IY60</f>
        <v>41822</v>
      </c>
      <c r="JF60" s="487">
        <f>IF(AND(IY60&gt;0,JE60&gt;0),JE60-IY60,"0")</f>
        <v>0</v>
      </c>
      <c r="JG60" s="502">
        <f>DATE(YEAR(JE60),MONTH(JE60),DAY(JE60)+15)</f>
        <v>41837</v>
      </c>
      <c r="JH60" s="502">
        <f ca="1">IF(JG60&lt;TODAY(),TODAY(),JG60)</f>
        <v>42789</v>
      </c>
      <c r="JI60" s="487">
        <f ca="1">IF(AND(JG60&gt;0,JH60&gt;0),JH60-JG60,"0")</f>
        <v>952</v>
      </c>
      <c r="JJ60" s="502">
        <f ca="1">DATE(YEAR(JH60),MONTH(JH60),DAY(JH60)+45)</f>
        <v>42834</v>
      </c>
      <c r="JK60" s="502">
        <f ca="1">JJ60</f>
        <v>42834</v>
      </c>
      <c r="JL60" s="487">
        <f ca="1">IF(AND(JJ60&gt;0,JK60&gt;0),JK60-JJ60,"0")</f>
        <v>0</v>
      </c>
      <c r="JM60" s="509">
        <f ca="1">IF(AND(JE60&gt;0,JK60&gt;0),JK60-JE60,"0")</f>
        <v>1012</v>
      </c>
      <c r="JN60" s="502">
        <f ca="1">DATE(YEAR(JK60),MONTH(JK60),DAY(JK60)+60)</f>
        <v>42894</v>
      </c>
      <c r="JO60" s="501">
        <f ca="1">IF(AND(JK60&gt;0,JN60&gt;0),JN60-JK60,"0")</f>
        <v>60</v>
      </c>
      <c r="JP60" s="498">
        <f ca="1">JO60-60</f>
        <v>0</v>
      </c>
      <c r="JQ60" s="482">
        <f>291/30</f>
        <v>9.6999999999999993</v>
      </c>
      <c r="JR60" s="504">
        <f ca="1">((+HS60+HU60+IB60+IJ60+IQ60+IU60+JB60+JM60+JF60)/30)-JQ60</f>
        <v>33.200000000000003</v>
      </c>
      <c r="JS60" s="490"/>
      <c r="JT60" s="505"/>
      <c r="JU60" s="490"/>
      <c r="JV60" s="505"/>
      <c r="JW60" s="586"/>
      <c r="JX60" s="586"/>
      <c r="JY60" s="586"/>
      <c r="JZ60" s="586"/>
    </row>
    <row r="61" spans="1:286" ht="53.25" customHeight="1" x14ac:dyDescent="0.25">
      <c r="A61" s="146" t="s">
        <v>817</v>
      </c>
      <c r="B61" s="110" t="s">
        <v>130</v>
      </c>
      <c r="C61" s="110" t="s">
        <v>159</v>
      </c>
      <c r="D61" s="110">
        <v>2017</v>
      </c>
      <c r="E61" s="110"/>
      <c r="F61" s="110" t="s">
        <v>970</v>
      </c>
      <c r="G61" s="110"/>
      <c r="H61" s="110" t="s">
        <v>712</v>
      </c>
      <c r="I61" s="110"/>
      <c r="J61" s="110" t="s">
        <v>743</v>
      </c>
      <c r="K61" s="621"/>
      <c r="L61" s="309"/>
      <c r="M61" s="310"/>
      <c r="N61" s="311"/>
      <c r="O61" s="379">
        <v>4801</v>
      </c>
      <c r="P61" s="379">
        <v>473822</v>
      </c>
      <c r="Q61" s="379">
        <v>473822</v>
      </c>
      <c r="R61" s="379">
        <f>P61/AD61</f>
        <v>15794.066666666668</v>
      </c>
      <c r="S61" s="379">
        <f>P61/O61</f>
        <v>98.692355759216824</v>
      </c>
      <c r="T61" s="387">
        <f>Q61/O61</f>
        <v>98.692355759216824</v>
      </c>
      <c r="U61" s="387" t="e">
        <f>Q61/AH61</f>
        <v>#DIV/0!</v>
      </c>
      <c r="V61" s="387">
        <f>Q61/AD61</f>
        <v>15794.066666666668</v>
      </c>
      <c r="W61" s="379">
        <f>O61/AD61</f>
        <v>160.03333333333333</v>
      </c>
      <c r="X61" s="380"/>
      <c r="Y61" s="381">
        <f>AH61/O61</f>
        <v>0</v>
      </c>
      <c r="Z61" s="380"/>
      <c r="AA61" s="380"/>
      <c r="AB61" s="381"/>
      <c r="AC61" s="110" t="s">
        <v>26</v>
      </c>
      <c r="AD61" s="640">
        <f>(AE61+AF61)</f>
        <v>30</v>
      </c>
      <c r="AE61" s="121"/>
      <c r="AF61" s="110">
        <v>30</v>
      </c>
      <c r="AG61" s="114">
        <v>1708.31</v>
      </c>
      <c r="AH61" s="401"/>
      <c r="AI61" s="114"/>
      <c r="AJ61" s="135"/>
      <c r="AK61" s="135"/>
      <c r="AL61" s="135"/>
      <c r="AM61" s="135"/>
      <c r="AN61" s="135"/>
      <c r="AO61" s="114"/>
      <c r="AP61" s="133"/>
      <c r="AQ61" s="135"/>
      <c r="AR61" s="114"/>
      <c r="AS61" s="110"/>
      <c r="AT61" s="110"/>
      <c r="AU61" s="110"/>
      <c r="AV61" s="110"/>
      <c r="AW61" s="110"/>
      <c r="AX61" s="110"/>
      <c r="AY61" s="110"/>
      <c r="AZ61" s="110"/>
      <c r="BA61" s="110"/>
      <c r="BB61" s="110"/>
      <c r="BC61" s="110"/>
      <c r="BD61" s="110"/>
      <c r="BE61" s="110"/>
      <c r="BF61" s="110"/>
      <c r="BG61" s="110"/>
      <c r="BH61" s="110"/>
      <c r="BI61" s="110"/>
      <c r="BJ61" s="110"/>
      <c r="BK61" s="110"/>
      <c r="BL61" s="110"/>
      <c r="BM61" s="110"/>
      <c r="BN61" s="196"/>
      <c r="BO61" s="196"/>
      <c r="BP61" s="196"/>
      <c r="BQ61" s="196"/>
      <c r="BR61" s="196"/>
      <c r="BS61" s="196"/>
      <c r="BT61" s="158"/>
      <c r="BU61" s="376"/>
      <c r="BV61" s="160"/>
      <c r="BW61" s="160"/>
      <c r="BX61" s="160"/>
      <c r="BY61" s="160"/>
      <c r="BZ61" s="376"/>
      <c r="CA61" s="160"/>
      <c r="CB61" s="302"/>
      <c r="CC61" s="374"/>
      <c r="CD61" s="302"/>
      <c r="CE61" s="302"/>
      <c r="CF61" s="161"/>
      <c r="CG61" s="336">
        <f>DATE(YEAR(CF61),MONTH(CF61)+24,DAY(CF61))</f>
        <v>731</v>
      </c>
      <c r="CH61" s="336">
        <f>DATE(YEAR(CF61),MONTH(CF61)+36,DAY(CF61))</f>
        <v>1096</v>
      </c>
      <c r="CI61" s="336"/>
      <c r="CJ61" s="302"/>
      <c r="CK61" s="308"/>
      <c r="CL61" s="161"/>
      <c r="CM61" s="371"/>
      <c r="CN61" s="161"/>
      <c r="CO61" s="161"/>
      <c r="CP61" s="162"/>
      <c r="CQ61" s="367"/>
      <c r="CR61" s="162"/>
      <c r="CS61" s="162"/>
      <c r="CT61" s="162"/>
      <c r="CU61" s="367"/>
      <c r="CV61" s="162"/>
      <c r="CW61" s="162"/>
      <c r="CX61" s="162"/>
      <c r="CY61" s="367"/>
      <c r="CZ61" s="162"/>
      <c r="DA61" s="162"/>
      <c r="DB61" s="299"/>
      <c r="DC61" s="299"/>
      <c r="DD61" s="299"/>
      <c r="DE61" s="312"/>
      <c r="DF61" s="312"/>
      <c r="DG61" s="312"/>
      <c r="DH61" s="312"/>
      <c r="DI61" s="312"/>
      <c r="DJ61" s="312"/>
      <c r="DK61" s="293"/>
      <c r="DL61" s="293"/>
      <c r="DM61" s="293"/>
      <c r="DN61" s="293"/>
      <c r="DO61" s="293"/>
      <c r="DP61" s="293"/>
      <c r="DQ61" s="304"/>
      <c r="DR61" s="443"/>
      <c r="DS61" s="443"/>
      <c r="DT61" s="298"/>
      <c r="DU61" s="304"/>
      <c r="DV61" s="443"/>
      <c r="DW61" s="443"/>
      <c r="DX61" s="423"/>
      <c r="DY61" s="423"/>
      <c r="DZ61" s="423"/>
      <c r="EA61" s="434">
        <v>43115</v>
      </c>
      <c r="EB61" s="423"/>
      <c r="EC61" s="430"/>
      <c r="ED61" s="430"/>
      <c r="EE61" s="422"/>
      <c r="EF61" s="422"/>
      <c r="EG61" s="423"/>
      <c r="EH61" s="423"/>
      <c r="EI61" s="431"/>
      <c r="EJ61" s="431"/>
      <c r="EK61" s="423"/>
      <c r="EL61" s="423"/>
      <c r="EM61" s="423"/>
      <c r="EN61" s="210"/>
      <c r="EO61" s="210"/>
      <c r="EP61" s="423"/>
      <c r="EQ61" s="423"/>
      <c r="ER61" s="423"/>
      <c r="ES61" s="423"/>
      <c r="ET61" s="423"/>
      <c r="EU61" s="334"/>
      <c r="EV61" s="206"/>
      <c r="EW61" s="206"/>
      <c r="EX61" s="209"/>
      <c r="EY61" s="434"/>
      <c r="EZ61" s="212"/>
      <c r="FA61" s="212"/>
      <c r="FB61" s="212"/>
      <c r="FC61" s="212"/>
      <c r="FD61" s="110"/>
      <c r="FE61" s="110"/>
      <c r="FF61" s="110"/>
      <c r="FG61" s="110"/>
      <c r="FH61" s="110"/>
      <c r="FI61" s="110"/>
      <c r="FJ61" s="110"/>
      <c r="FK61" s="110"/>
      <c r="FL61" s="110"/>
      <c r="FM61" s="110"/>
      <c r="FN61" s="110"/>
      <c r="FO61" s="110"/>
      <c r="FP61" s="199"/>
      <c r="FQ61" s="153">
        <f>+GA61+GE61+GL61+HF61+GQ61</f>
        <v>3803779.2429890437</v>
      </c>
      <c r="FR61" s="124"/>
      <c r="FS61" s="154">
        <f>FR61-FQ61</f>
        <v>-3803779.2429890437</v>
      </c>
      <c r="FT61" s="50">
        <f>FQ61/AG61</f>
        <v>2226.6328962477792</v>
      </c>
      <c r="FU61" s="50">
        <f>FQ61/AD61</f>
        <v>126792.64143296813</v>
      </c>
      <c r="FV61" s="153"/>
      <c r="FW61" s="124"/>
      <c r="FX61" s="154">
        <f>FW61-FV61</f>
        <v>0</v>
      </c>
      <c r="FY61" s="232" t="e">
        <f>FW61*1.021/FR61</f>
        <v>#DIV/0!</v>
      </c>
      <c r="FZ61" s="232">
        <v>0.4</v>
      </c>
      <c r="GA61" s="153">
        <v>1081657</v>
      </c>
      <c r="GB61" s="24"/>
      <c r="GC61" s="98">
        <f>GA61/AD61</f>
        <v>36055.23333333333</v>
      </c>
      <c r="GD61" s="155">
        <f>GB61-GA61</f>
        <v>-1081657</v>
      </c>
      <c r="GE61" s="153">
        <v>2022122.2429890437</v>
      </c>
      <c r="GF61" s="24"/>
      <c r="GG61" s="147"/>
      <c r="GH61" s="147"/>
      <c r="GI61" s="155">
        <f>GF61-GE61</f>
        <v>-2022122.2429890437</v>
      </c>
      <c r="GJ61" s="98">
        <f>GE61/AD61</f>
        <v>67404.074766301463</v>
      </c>
      <c r="GK61" s="124"/>
      <c r="GL61" s="153">
        <v>700000</v>
      </c>
      <c r="GM61" s="24"/>
      <c r="GN61" s="124"/>
      <c r="GO61" s="148">
        <f>GL61/FQ61</f>
        <v>0.18402750403830842</v>
      </c>
      <c r="GP61" s="153"/>
      <c r="GQ61" s="124"/>
      <c r="GR61" s="149">
        <f>GM61-GL61</f>
        <v>-700000</v>
      </c>
      <c r="GS61" s="50">
        <f>GL61/AD61</f>
        <v>23333.333333333332</v>
      </c>
      <c r="GT61" s="138">
        <f>(GA61+GL61)/AD61</f>
        <v>59388.566666666666</v>
      </c>
      <c r="GU61" s="149">
        <f>GR61/AD61</f>
        <v>-23333.333333333332</v>
      </c>
      <c r="GV61" s="150"/>
      <c r="GW61" s="150"/>
      <c r="GX61" s="151"/>
      <c r="GY61" s="151"/>
      <c r="GZ61" s="98">
        <f>(GA61+GL61+GY61)/AD61</f>
        <v>59388.566666666666</v>
      </c>
      <c r="HA61" s="151"/>
      <c r="HB61" s="98">
        <f>(GB61+GM61+GY61+HA61)/AD61</f>
        <v>0</v>
      </c>
      <c r="HC61" s="99">
        <f>(GA61+GL61+GY61+HA61)/(GX61+FQ61-HD61)</f>
        <v>0.46839127251768636</v>
      </c>
      <c r="HD61" s="151"/>
      <c r="HE61" s="151"/>
      <c r="HF61" s="124"/>
      <c r="HG61" s="77">
        <f>FQ61+GX61</f>
        <v>3803779.2429890437</v>
      </c>
      <c r="HH61" s="491"/>
      <c r="HI61" s="491"/>
      <c r="HJ61" s="494"/>
      <c r="HK61" s="505"/>
      <c r="HL61" s="450"/>
      <c r="HM61" s="450"/>
      <c r="HN61" s="450"/>
      <c r="HO61" s="497"/>
      <c r="HP61" s="450"/>
      <c r="HQ61" s="481"/>
      <c r="HR61" s="497"/>
      <c r="HS61" s="506"/>
      <c r="HT61" s="450"/>
      <c r="HU61" s="497"/>
      <c r="HV61" s="450"/>
      <c r="HW61" s="450"/>
      <c r="HX61" s="497"/>
      <c r="HY61" s="206"/>
      <c r="HZ61" s="481"/>
      <c r="IA61" s="497"/>
      <c r="IB61" s="506"/>
      <c r="IC61" s="490"/>
      <c r="ID61" s="505"/>
      <c r="IE61" s="450"/>
      <c r="IF61" s="450"/>
      <c r="IG61" s="494"/>
      <c r="IH61" s="505"/>
      <c r="II61" s="206"/>
      <c r="IJ61" s="497"/>
      <c r="IK61" s="206"/>
      <c r="IL61" s="206"/>
      <c r="IM61" s="497"/>
      <c r="IN61" s="206"/>
      <c r="IO61" s="481"/>
      <c r="IP61" s="497"/>
      <c r="IQ61" s="506"/>
      <c r="IR61" s="490"/>
      <c r="IS61" s="491"/>
      <c r="IT61" s="206"/>
      <c r="IU61" s="498"/>
      <c r="IV61" s="206"/>
      <c r="IW61" s="206"/>
      <c r="IX61" s="498"/>
      <c r="IY61" s="206"/>
      <c r="IZ61" s="482"/>
      <c r="JA61" s="498"/>
      <c r="JB61" s="508"/>
      <c r="JC61" s="490"/>
      <c r="JD61" s="505"/>
      <c r="JE61" s="502"/>
      <c r="JF61" s="487"/>
      <c r="JG61" s="502"/>
      <c r="JH61" s="502">
        <f ca="1">TODAY()</f>
        <v>42789</v>
      </c>
      <c r="JI61" s="487"/>
      <c r="JJ61" s="502"/>
      <c r="JK61" s="502"/>
      <c r="JL61" s="487"/>
      <c r="JM61" s="509"/>
      <c r="JN61" s="502"/>
      <c r="JO61" s="501"/>
      <c r="JP61" s="498"/>
      <c r="JQ61" s="482"/>
      <c r="JR61" s="504"/>
      <c r="JS61" s="490"/>
      <c r="JT61" s="505"/>
      <c r="JU61" s="490"/>
      <c r="JV61" s="505"/>
      <c r="JW61" s="586"/>
      <c r="JX61" s="586"/>
      <c r="JY61" s="586"/>
      <c r="JZ61" s="586"/>
    </row>
    <row r="62" spans="1:286" ht="44.1" customHeight="1" x14ac:dyDescent="0.25">
      <c r="A62" s="159" t="s">
        <v>986</v>
      </c>
      <c r="B62" s="110" t="s">
        <v>38</v>
      </c>
      <c r="C62" s="110" t="s">
        <v>157</v>
      </c>
      <c r="D62" s="111">
        <v>2017</v>
      </c>
      <c r="E62" s="110"/>
      <c r="F62" s="111"/>
      <c r="G62" s="47"/>
      <c r="H62" s="111"/>
      <c r="I62" s="111"/>
      <c r="J62" s="110" t="s">
        <v>827</v>
      </c>
      <c r="K62" s="453"/>
      <c r="L62" s="309"/>
      <c r="M62" s="310"/>
      <c r="N62" s="311"/>
      <c r="O62" s="387"/>
      <c r="P62" s="387"/>
      <c r="Q62" s="387"/>
      <c r="R62" s="379"/>
      <c r="S62" s="387"/>
      <c r="T62" s="387"/>
      <c r="U62" s="387"/>
      <c r="V62" s="387"/>
      <c r="W62" s="379"/>
      <c r="X62" s="391"/>
      <c r="Y62" s="392"/>
      <c r="Z62" s="391"/>
      <c r="AA62" s="394"/>
      <c r="AB62" s="390"/>
      <c r="AC62" s="111" t="s">
        <v>26</v>
      </c>
      <c r="AD62" s="640">
        <f>AE62+AF62</f>
        <v>37</v>
      </c>
      <c r="AE62" s="121"/>
      <c r="AF62" s="110">
        <v>37</v>
      </c>
      <c r="AG62" s="115">
        <v>3196.53</v>
      </c>
      <c r="AH62" s="140"/>
      <c r="AI62" s="114"/>
      <c r="AJ62" s="117"/>
      <c r="AK62" s="117"/>
      <c r="AL62" s="117"/>
      <c r="AM62" s="117"/>
      <c r="AN62" s="117"/>
      <c r="AO62" s="115"/>
      <c r="AP62" s="134"/>
      <c r="AQ62" s="136"/>
      <c r="AR62" s="115"/>
      <c r="AS62" s="111"/>
      <c r="AT62" s="111"/>
      <c r="AU62" s="111"/>
      <c r="AV62" s="111"/>
      <c r="AW62" s="338">
        <v>42444</v>
      </c>
      <c r="AX62" s="338">
        <v>42761</v>
      </c>
      <c r="AY62" s="338">
        <v>42761</v>
      </c>
      <c r="AZ62" s="338">
        <v>42690</v>
      </c>
      <c r="BA62" s="111"/>
      <c r="BB62" s="111"/>
      <c r="BC62" s="111"/>
      <c r="BD62" s="111"/>
      <c r="BE62" s="111"/>
      <c r="BF62" s="111"/>
      <c r="BG62" s="111"/>
      <c r="BH62" s="111"/>
      <c r="BI62" s="111"/>
      <c r="BJ62" s="111"/>
      <c r="BK62" s="111"/>
      <c r="BL62" s="111"/>
      <c r="BM62" s="111"/>
      <c r="BN62" s="196"/>
      <c r="BO62" s="358"/>
      <c r="BP62" s="358"/>
      <c r="BQ62" s="196"/>
      <c r="BR62" s="196"/>
      <c r="BS62" s="196"/>
      <c r="BT62" s="520"/>
      <c r="BU62" s="376"/>
      <c r="BV62" s="160"/>
      <c r="BW62" s="160"/>
      <c r="BX62" s="160"/>
      <c r="BY62" s="160"/>
      <c r="BZ62" s="376"/>
      <c r="CA62" s="160"/>
      <c r="CB62" s="302"/>
      <c r="CC62" s="374"/>
      <c r="CD62" s="302"/>
      <c r="CE62" s="302"/>
      <c r="CF62" s="161"/>
      <c r="CG62" s="336">
        <f>DATE(YEAR(CF62),MONTH(CF62)+24,DAY(CF62))</f>
        <v>731</v>
      </c>
      <c r="CH62" s="336">
        <f>DATE(YEAR(CF62),MONTH(CF62)+36,DAY(CF62))</f>
        <v>1096</v>
      </c>
      <c r="CI62" s="336"/>
      <c r="CJ62" s="302"/>
      <c r="CK62" s="302"/>
      <c r="CL62" s="161"/>
      <c r="CM62" s="371"/>
      <c r="CN62" s="166"/>
      <c r="CO62" s="166"/>
      <c r="CP62" s="162"/>
      <c r="CQ62" s="367"/>
      <c r="CR62" s="166"/>
      <c r="CS62" s="166"/>
      <c r="CT62" s="166"/>
      <c r="CU62" s="368"/>
      <c r="CV62" s="166"/>
      <c r="CW62" s="166"/>
      <c r="CX62" s="166"/>
      <c r="CY62" s="368"/>
      <c r="CZ62" s="166"/>
      <c r="DA62" s="166"/>
      <c r="DB62" s="299"/>
      <c r="DC62" s="313"/>
      <c r="DD62" s="299"/>
      <c r="DE62" s="299"/>
      <c r="DF62" s="299"/>
      <c r="DG62" s="299"/>
      <c r="DH62" s="299"/>
      <c r="DI62" s="299"/>
      <c r="DJ62" s="299"/>
      <c r="DK62" s="298"/>
      <c r="DL62" s="298"/>
      <c r="DM62" s="298"/>
      <c r="DN62" s="298"/>
      <c r="DO62" s="293"/>
      <c r="DP62" s="293"/>
      <c r="DQ62" s="304"/>
      <c r="DR62" s="443"/>
      <c r="DS62" s="443"/>
      <c r="DT62" s="298"/>
      <c r="DU62" s="304"/>
      <c r="DV62" s="443"/>
      <c r="DW62" s="443"/>
      <c r="DX62" s="415"/>
      <c r="DY62" s="423"/>
      <c r="DZ62" s="423"/>
      <c r="EA62" s="434">
        <v>43115</v>
      </c>
      <c r="EB62" s="423"/>
      <c r="EC62" s="430"/>
      <c r="ED62" s="430"/>
      <c r="EE62" s="422"/>
      <c r="EF62" s="422"/>
      <c r="EG62" s="422"/>
      <c r="EH62" s="422"/>
      <c r="EI62" s="431"/>
      <c r="EJ62" s="431"/>
      <c r="EK62" s="423"/>
      <c r="EL62" s="423"/>
      <c r="EM62" s="423"/>
      <c r="EN62" s="210"/>
      <c r="EO62" s="210"/>
      <c r="EP62" s="432"/>
      <c r="EQ62" s="433"/>
      <c r="ER62" s="433"/>
      <c r="ES62" s="423"/>
      <c r="ET62" s="423"/>
      <c r="EU62" s="334"/>
      <c r="EV62" s="206"/>
      <c r="EW62" s="206"/>
      <c r="EX62" s="206"/>
      <c r="EY62" s="434"/>
      <c r="EZ62" s="218"/>
      <c r="FA62" s="218"/>
      <c r="FB62" s="218"/>
      <c r="FC62" s="218"/>
      <c r="FD62" s="111"/>
      <c r="FE62" s="111"/>
      <c r="FF62" s="111"/>
      <c r="FG62" s="111"/>
      <c r="FH62" s="111"/>
      <c r="FI62" s="111"/>
      <c r="FJ62" s="111"/>
      <c r="FK62" s="111"/>
      <c r="FL62" s="111"/>
      <c r="FM62" s="111"/>
      <c r="FN62" s="111"/>
      <c r="FO62" s="111"/>
      <c r="FP62" s="199"/>
      <c r="FQ62" s="153">
        <f>+GA62+GE62+GL62+HF62+GQ62</f>
        <v>6545033</v>
      </c>
      <c r="FR62" s="124">
        <f>GB62+GF62+GK62+GM62+GQ62</f>
        <v>3915125</v>
      </c>
      <c r="FS62" s="25">
        <f>FR62-FQ62</f>
        <v>-2629908</v>
      </c>
      <c r="FT62" s="50">
        <f>FQ62/AG62</f>
        <v>2047.5431170675699</v>
      </c>
      <c r="FU62" s="50">
        <f>FQ62/AD62</f>
        <v>176892.78378378379</v>
      </c>
      <c r="FV62" s="523"/>
      <c r="FW62" s="129"/>
      <c r="FX62" s="154">
        <f>FW62-FV62</f>
        <v>0</v>
      </c>
      <c r="FY62" s="232">
        <f>FW62*1.021/FR62</f>
        <v>0</v>
      </c>
      <c r="FZ62" s="234">
        <v>0.4</v>
      </c>
      <c r="GA62" s="523">
        <v>1969908</v>
      </c>
      <c r="GB62" s="66"/>
      <c r="GC62" s="98">
        <f>GA62/AD62</f>
        <v>53240.75675675676</v>
      </c>
      <c r="GD62" s="155">
        <f>GB62-GA62</f>
        <v>-1969908</v>
      </c>
      <c r="GE62" s="523">
        <v>3915125</v>
      </c>
      <c r="GF62" s="24">
        <f>GE62</f>
        <v>3915125</v>
      </c>
      <c r="GG62" s="550"/>
      <c r="GH62" s="550"/>
      <c r="GI62" s="155">
        <f>GF62-GE62</f>
        <v>0</v>
      </c>
      <c r="GJ62" s="98">
        <f>GE62/AD62</f>
        <v>105814.18918918919</v>
      </c>
      <c r="GK62" s="129"/>
      <c r="GL62" s="523">
        <v>660000</v>
      </c>
      <c r="GM62" s="66"/>
      <c r="GN62" s="129"/>
      <c r="GO62" s="148">
        <f>GL62/FQ62</f>
        <v>0.10083982769834773</v>
      </c>
      <c r="GP62" s="590"/>
      <c r="GQ62" s="129"/>
      <c r="GR62" s="149">
        <f>GM62-GL62</f>
        <v>-660000</v>
      </c>
      <c r="GS62" s="50">
        <f>GL62/AD62</f>
        <v>17837.837837837837</v>
      </c>
      <c r="GT62" s="138">
        <f>(GA62+GL62)/AD62</f>
        <v>71078.5945945946</v>
      </c>
      <c r="GU62" s="149">
        <f>GR62/AD62</f>
        <v>-17837.837837837837</v>
      </c>
      <c r="GV62" s="150"/>
      <c r="GW62" s="150"/>
      <c r="GX62" s="551"/>
      <c r="GY62" s="551"/>
      <c r="GZ62" s="98">
        <f>(GA62+GL62+GY62)/AD62</f>
        <v>71078.5945945946</v>
      </c>
      <c r="HA62" s="551"/>
      <c r="HB62" s="98">
        <f>(GB62+GM62+GY62+HA62)/AD62</f>
        <v>0</v>
      </c>
      <c r="HC62" s="99">
        <f>(GA62+GL62+GY62+HA62)/(GX62+FQ62-HD62)</f>
        <v>0.4018173781553126</v>
      </c>
      <c r="HD62" s="551"/>
      <c r="HE62" s="551"/>
      <c r="HF62" s="129"/>
      <c r="HG62" s="77">
        <f>FQ62+GX62</f>
        <v>6545033</v>
      </c>
      <c r="HH62" s="491"/>
      <c r="HI62" s="491"/>
      <c r="HJ62" s="494"/>
      <c r="HK62" s="491"/>
      <c r="HL62" s="477"/>
      <c r="HM62" s="477"/>
      <c r="HN62" s="477"/>
      <c r="HO62" s="497"/>
      <c r="HP62" s="477"/>
      <c r="HQ62" s="481"/>
      <c r="HR62" s="497"/>
      <c r="HS62" s="506"/>
      <c r="HT62" s="477"/>
      <c r="HU62" s="497"/>
      <c r="HV62" s="477"/>
      <c r="HW62" s="477"/>
      <c r="HX62" s="497"/>
      <c r="HY62" s="476"/>
      <c r="HZ62" s="481"/>
      <c r="IA62" s="497"/>
      <c r="IB62" s="506"/>
      <c r="IC62" s="490"/>
      <c r="ID62" s="491"/>
      <c r="IE62" s="477"/>
      <c r="IF62" s="477"/>
      <c r="IG62" s="494"/>
      <c r="IH62" s="491"/>
      <c r="II62" s="478"/>
      <c r="IJ62" s="497"/>
      <c r="IK62" s="478"/>
      <c r="IL62" s="478">
        <f ca="1">IF(IK62&lt;TODAY(),TODAY(),IK62)</f>
        <v>42789</v>
      </c>
      <c r="IM62" s="497"/>
      <c r="IN62" s="478"/>
      <c r="IO62" s="481"/>
      <c r="IP62" s="497"/>
      <c r="IQ62" s="506"/>
      <c r="IR62" s="490"/>
      <c r="IS62" s="491"/>
      <c r="IT62" s="478"/>
      <c r="IU62" s="498"/>
      <c r="IV62" s="478"/>
      <c r="IW62" s="478"/>
      <c r="IX62" s="498"/>
      <c r="IY62" s="478"/>
      <c r="IZ62" s="482"/>
      <c r="JA62" s="498"/>
      <c r="JB62" s="508"/>
      <c r="JC62" s="490"/>
      <c r="JD62" s="491"/>
      <c r="JE62" s="212"/>
      <c r="JF62" s="487"/>
      <c r="JG62" s="212"/>
      <c r="JH62" s="212">
        <f ca="1">TODAY()</f>
        <v>42789</v>
      </c>
      <c r="JI62" s="487"/>
      <c r="JJ62" s="212"/>
      <c r="JK62" s="212"/>
      <c r="JL62" s="487"/>
      <c r="JM62" s="509"/>
      <c r="JN62" s="212"/>
      <c r="JO62" s="501"/>
      <c r="JP62" s="498"/>
      <c r="JQ62" s="482"/>
      <c r="JR62" s="504"/>
      <c r="JS62" s="490"/>
      <c r="JT62" s="505"/>
      <c r="JU62" s="490"/>
      <c r="JV62" s="505"/>
      <c r="JW62" s="586"/>
      <c r="JX62" s="586"/>
      <c r="JY62" s="586"/>
      <c r="JZ62" s="586"/>
    </row>
    <row r="63" spans="1:286" ht="60.75" customHeight="1" x14ac:dyDescent="0.25">
      <c r="A63" s="146" t="s">
        <v>864</v>
      </c>
      <c r="B63" s="110" t="s">
        <v>217</v>
      </c>
      <c r="C63" s="110" t="s">
        <v>159</v>
      </c>
      <c r="D63" s="110">
        <v>2017</v>
      </c>
      <c r="E63" s="110" t="s">
        <v>865</v>
      </c>
      <c r="F63" s="110" t="s">
        <v>970</v>
      </c>
      <c r="G63" s="20" t="s">
        <v>890</v>
      </c>
      <c r="H63" s="110"/>
      <c r="I63" s="110"/>
      <c r="J63" s="110" t="s">
        <v>866</v>
      </c>
      <c r="K63" s="453" t="s">
        <v>1022</v>
      </c>
      <c r="L63" s="309"/>
      <c r="M63" s="310"/>
      <c r="N63" s="311"/>
      <c r="O63" s="379"/>
      <c r="P63" s="379"/>
      <c r="Q63" s="379"/>
      <c r="R63" s="379"/>
      <c r="S63" s="379"/>
      <c r="T63" s="387"/>
      <c r="U63" s="387"/>
      <c r="V63" s="387"/>
      <c r="W63" s="379"/>
      <c r="X63" s="380"/>
      <c r="Y63" s="381"/>
      <c r="Z63" s="380"/>
      <c r="AA63" s="380"/>
      <c r="AB63" s="381"/>
      <c r="AC63" s="110" t="s">
        <v>25</v>
      </c>
      <c r="AD63" s="640">
        <f>(AE63+AF63)</f>
        <v>29</v>
      </c>
      <c r="AE63" s="110">
        <v>29</v>
      </c>
      <c r="AF63" s="121"/>
      <c r="AG63" s="114">
        <v>2702.1</v>
      </c>
      <c r="AH63" s="401"/>
      <c r="AI63" s="114"/>
      <c r="AJ63" s="135"/>
      <c r="AK63" s="135"/>
      <c r="AL63" s="135"/>
      <c r="AM63" s="135"/>
      <c r="AN63" s="135"/>
      <c r="AO63" s="114"/>
      <c r="AP63" s="133"/>
      <c r="AQ63" s="135"/>
      <c r="AR63" s="114"/>
      <c r="AS63" s="110"/>
      <c r="AT63" s="110"/>
      <c r="AU63" s="110"/>
      <c r="AV63" s="110"/>
      <c r="AW63" s="415">
        <v>42752</v>
      </c>
      <c r="AX63" s="110"/>
      <c r="AY63" s="110"/>
      <c r="AZ63" s="464"/>
      <c r="BA63" s="110"/>
      <c r="BB63" s="540" t="s">
        <v>812</v>
      </c>
      <c r="BC63" s="540"/>
      <c r="BD63" s="110"/>
      <c r="BE63" s="110"/>
      <c r="BF63" s="110"/>
      <c r="BG63" s="110"/>
      <c r="BH63" s="110"/>
      <c r="BI63" s="110"/>
      <c r="BJ63" s="110"/>
      <c r="BK63" s="110"/>
      <c r="BL63" s="110"/>
      <c r="BM63" s="110"/>
      <c r="BN63" s="196"/>
      <c r="BO63" s="196"/>
      <c r="BP63" s="196"/>
      <c r="BQ63" s="196"/>
      <c r="BR63" s="196"/>
      <c r="BS63" s="196"/>
      <c r="BT63" s="158"/>
      <c r="BU63" s="376"/>
      <c r="BV63" s="160"/>
      <c r="BW63" s="160"/>
      <c r="BX63" s="160"/>
      <c r="BY63" s="160"/>
      <c r="BZ63" s="376"/>
      <c r="CA63" s="160"/>
      <c r="CB63" s="302"/>
      <c r="CC63" s="374"/>
      <c r="CD63" s="302"/>
      <c r="CE63" s="302"/>
      <c r="CF63" s="161"/>
      <c r="CG63" s="336">
        <f>DATE(YEAR(CF63),MONTH(CF63)+24,DAY(CF63))</f>
        <v>731</v>
      </c>
      <c r="CH63" s="336">
        <f>DATE(YEAR(CF63),MONTH(CF63)+36,DAY(CF63))</f>
        <v>1096</v>
      </c>
      <c r="CI63" s="336"/>
      <c r="CJ63" s="302"/>
      <c r="CK63" s="308"/>
      <c r="CL63" s="161"/>
      <c r="CM63" s="371"/>
      <c r="CN63" s="161"/>
      <c r="CO63" s="161"/>
      <c r="CP63" s="162"/>
      <c r="CQ63" s="367"/>
      <c r="CR63" s="162"/>
      <c r="CS63" s="162"/>
      <c r="CT63" s="162"/>
      <c r="CU63" s="367"/>
      <c r="CV63" s="162"/>
      <c r="CW63" s="162"/>
      <c r="CX63" s="162"/>
      <c r="CY63" s="367"/>
      <c r="CZ63" s="162"/>
      <c r="DA63" s="162"/>
      <c r="DB63" s="299"/>
      <c r="DC63" s="299"/>
      <c r="DD63" s="299"/>
      <c r="DE63" s="312"/>
      <c r="DF63" s="312"/>
      <c r="DG63" s="312"/>
      <c r="DH63" s="312"/>
      <c r="DI63" s="312"/>
      <c r="DJ63" s="312"/>
      <c r="DK63" s="293"/>
      <c r="DL63" s="293"/>
      <c r="DM63" s="293"/>
      <c r="DN63" s="293"/>
      <c r="DO63" s="293"/>
      <c r="DP63" s="293"/>
      <c r="DQ63" s="304"/>
      <c r="DR63" s="443"/>
      <c r="DS63" s="443"/>
      <c r="DT63" s="298"/>
      <c r="DU63" s="304"/>
      <c r="DV63" s="443"/>
      <c r="DW63" s="443"/>
      <c r="DX63" s="423"/>
      <c r="DY63" s="423"/>
      <c r="DZ63" s="423"/>
      <c r="EA63" s="434">
        <v>43282</v>
      </c>
      <c r="EB63" s="423"/>
      <c r="EC63" s="430"/>
      <c r="ED63" s="430"/>
      <c r="EE63" s="422"/>
      <c r="EF63" s="422"/>
      <c r="EG63" s="423"/>
      <c r="EH63" s="423"/>
      <c r="EI63" s="431"/>
      <c r="EJ63" s="431"/>
      <c r="EK63" s="423"/>
      <c r="EL63" s="423"/>
      <c r="EM63" s="423"/>
      <c r="EN63" s="210"/>
      <c r="EO63" s="210"/>
      <c r="EP63" s="423"/>
      <c r="EQ63" s="423"/>
      <c r="ER63" s="423"/>
      <c r="ES63" s="423"/>
      <c r="ET63" s="423"/>
      <c r="EU63" s="334"/>
      <c r="EV63" s="206"/>
      <c r="EW63" s="206"/>
      <c r="EX63" s="209"/>
      <c r="EY63" s="434"/>
      <c r="EZ63" s="212"/>
      <c r="FA63" s="212"/>
      <c r="FB63" s="212"/>
      <c r="FC63" s="212"/>
      <c r="FD63" s="110"/>
      <c r="FE63" s="110"/>
      <c r="FF63" s="110"/>
      <c r="FG63" s="110"/>
      <c r="FH63" s="110"/>
      <c r="FI63" s="110"/>
      <c r="FJ63" s="110"/>
      <c r="FK63" s="110"/>
      <c r="FL63" s="110"/>
      <c r="FM63" s="110"/>
      <c r="FN63" s="110"/>
      <c r="FO63" s="110"/>
      <c r="FP63" s="199"/>
      <c r="FQ63" s="23">
        <f>+GA63+GE63+GL63+HF63+GQ63</f>
        <v>5522950</v>
      </c>
      <c r="FR63" s="124">
        <f>GB63+GF63+GK63+GM63+GQ63</f>
        <v>0</v>
      </c>
      <c r="FS63" s="25">
        <f>FR63-FQ63</f>
        <v>-5522950</v>
      </c>
      <c r="FT63" s="50">
        <f>FQ63/AG63</f>
        <v>2043.9473002479554</v>
      </c>
      <c r="FU63" s="50">
        <f>FQ63/AD63</f>
        <v>190446.55172413794</v>
      </c>
      <c r="FV63" s="153"/>
      <c r="FW63" s="124"/>
      <c r="FX63" s="25">
        <f>FW63-FV63</f>
        <v>0</v>
      </c>
      <c r="FY63" s="231" t="e">
        <f>FW63*1.021/FR63</f>
        <v>#DIV/0!</v>
      </c>
      <c r="FZ63" s="234">
        <v>0.4</v>
      </c>
      <c r="GA63" s="153">
        <v>1883035</v>
      </c>
      <c r="GB63" s="24"/>
      <c r="GC63" s="98">
        <f>GA63/AD63</f>
        <v>64932.241379310348</v>
      </c>
      <c r="GD63" s="155"/>
      <c r="GE63" s="153">
        <v>3389915</v>
      </c>
      <c r="GF63" s="24"/>
      <c r="GG63" s="672"/>
      <c r="GH63" s="147"/>
      <c r="GI63" s="73">
        <f>GF63-GE63</f>
        <v>-3389915</v>
      </c>
      <c r="GJ63" s="50">
        <f>GE63/AD63</f>
        <v>116893.62068965517</v>
      </c>
      <c r="GK63" s="124"/>
      <c r="GL63" s="153">
        <v>250000</v>
      </c>
      <c r="GM63" s="24"/>
      <c r="GN63" s="124"/>
      <c r="GO63" s="148">
        <f>GL63/FQ63</f>
        <v>4.5265664183090561E-2</v>
      </c>
      <c r="GP63" s="153"/>
      <c r="GQ63" s="124"/>
      <c r="GR63" s="51">
        <f>GM63-GL63</f>
        <v>-250000</v>
      </c>
      <c r="GS63" s="50">
        <f>GL63/AD63</f>
        <v>8620.689655172413</v>
      </c>
      <c r="GT63" s="138">
        <f>(GA63+GL63)/AD63</f>
        <v>73552.931034482754</v>
      </c>
      <c r="GU63" s="51">
        <f>GR63/AD63</f>
        <v>-8620.689655172413</v>
      </c>
      <c r="GV63" s="150">
        <v>6.31</v>
      </c>
      <c r="GW63" s="150"/>
      <c r="GX63" s="151"/>
      <c r="GY63" s="151"/>
      <c r="GZ63" s="50">
        <f>(GA63+GL63+GY63)/AD63</f>
        <v>73552.931034482754</v>
      </c>
      <c r="HA63" s="151"/>
      <c r="HB63" s="50">
        <f>(GB63+GM63+GY63+HA63)/AD63</f>
        <v>0</v>
      </c>
      <c r="HC63" s="99">
        <f>(GA63+GL63+GY63+HA63)/(GX63+FQ63-HD63)</f>
        <v>0.38621298400311427</v>
      </c>
      <c r="HD63" s="151"/>
      <c r="HE63" s="151"/>
      <c r="HF63" s="124"/>
      <c r="HG63" s="77">
        <f>FQ63+GX63</f>
        <v>5522950</v>
      </c>
      <c r="HH63" s="491">
        <v>268985</v>
      </c>
      <c r="HI63" s="491">
        <f>HK63</f>
        <v>26898</v>
      </c>
      <c r="HJ63" s="494">
        <v>42725</v>
      </c>
      <c r="HK63" s="511">
        <v>26898</v>
      </c>
      <c r="HL63" s="450">
        <f ca="1">TODAY()</f>
        <v>42789</v>
      </c>
      <c r="HM63" s="464">
        <f ca="1">DATE(YEAR(HL63),MONTH(HL63),DAY(HL63)+21)</f>
        <v>42810</v>
      </c>
      <c r="HN63" s="464">
        <f ca="1">IF(HM63&lt;TODAY(),TODAY(),HM63)</f>
        <v>42810</v>
      </c>
      <c r="HO63" s="497">
        <f ca="1">IF(AND(HM63&gt;0,HN63&gt;0),HN63-HM63,"0")</f>
        <v>0</v>
      </c>
      <c r="HP63" s="464">
        <f ca="1">DATE(YEAR(HL63),MONTH(HL63),DAY(HL63)+21)</f>
        <v>42810</v>
      </c>
      <c r="HQ63" s="481">
        <f ca="1">IF(AND(HN63&gt;0,HP63&gt;0),HP63-HN63,"0")</f>
        <v>0</v>
      </c>
      <c r="HR63" s="497">
        <f ca="1">+HQ63-30</f>
        <v>-30</v>
      </c>
      <c r="HS63" s="506">
        <f ca="1">IF(AND(HL63&gt;0,HP63&gt;0),HP63-HL63,"0")</f>
        <v>21</v>
      </c>
      <c r="HT63" s="450">
        <f ca="1">DATE(YEAR(HP63),MONTH(HP63),DAY(HP63)+30)</f>
        <v>42840</v>
      </c>
      <c r="HU63" s="497">
        <f ca="1">IF(AND(HP63&gt;0,HT63&gt;0),HT63-HP63,"0")</f>
        <v>30</v>
      </c>
      <c r="HV63" s="450">
        <f ca="1">DATE(YEAR(HT63),MONTH(HT63),DAY(HT63)+30)</f>
        <v>42870</v>
      </c>
      <c r="HW63" s="450">
        <f ca="1">IF(HV63&lt;TODAY(),TODAY(),HV63)</f>
        <v>42870</v>
      </c>
      <c r="HX63" s="497">
        <f ca="1">IF(AND(HV63&gt;0,HW63&gt;0),HW63-HV63,"0")</f>
        <v>0</v>
      </c>
      <c r="HY63" s="206">
        <f ca="1">DATE(YEAR(HV63),MONTH(HV63),DAY(HV63)+30)</f>
        <v>42900</v>
      </c>
      <c r="HZ63" s="481">
        <f ca="1">IF(AND(HW63&gt;0,HY63&gt;0),HY63-HW63,"0")</f>
        <v>30</v>
      </c>
      <c r="IA63" s="497">
        <f ca="1">+HZ63-30</f>
        <v>0</v>
      </c>
      <c r="IB63" s="506">
        <f ca="1">IF(AND(HT63&gt;0,HY63&gt;0),HY63-HT63,"0")</f>
        <v>60</v>
      </c>
      <c r="IC63" s="490"/>
      <c r="ID63" s="505">
        <f>$ID$1*HH63</f>
        <v>13449.25</v>
      </c>
      <c r="IE63" s="450">
        <f ca="1">DATE(YEAR(HY63),MONTH(HY63),DAY(HY63)+15)</f>
        <v>42915</v>
      </c>
      <c r="IF63" s="450">
        <f ca="1">DATE(YEAR(IE63),MONTH(IE63),DAY(IE63)+7)</f>
        <v>42922</v>
      </c>
      <c r="IG63" s="494"/>
      <c r="IH63" s="505">
        <f>$IH$1*HH63</f>
        <v>26898.5</v>
      </c>
      <c r="II63" s="206">
        <f ca="1">DATE(YEAR(IF63),MONTH(IF63),DAY(IF63)+21)</f>
        <v>42943</v>
      </c>
      <c r="IJ63" s="497">
        <f ca="1">IF(AND(HY63&gt;0,II63&gt;0),II63-HY63,"0")</f>
        <v>43</v>
      </c>
      <c r="IK63" s="206">
        <f ca="1">DATE(YEAR(II63),MONTH(II63),DAY(II63)+30)</f>
        <v>42973</v>
      </c>
      <c r="IL63" s="206">
        <f ca="1">IF(IK63&lt;TODAY(),TODAY(),IK63)</f>
        <v>42973</v>
      </c>
      <c r="IM63" s="497"/>
      <c r="IN63" s="206"/>
      <c r="IO63" s="481"/>
      <c r="IP63" s="497"/>
      <c r="IQ63" s="506"/>
      <c r="IR63" s="490"/>
      <c r="IS63" s="491"/>
      <c r="IT63" s="206">
        <f>IN63</f>
        <v>0</v>
      </c>
      <c r="IU63" s="498" t="str">
        <f>IF(AND(IN63&gt;0,IT63&gt;0),IT63-IN63,"0")</f>
        <v>0</v>
      </c>
      <c r="IV63" s="206">
        <f>DATE(YEAR(IT63),MONTH(IT63),DAY(IT63)+30)</f>
        <v>30</v>
      </c>
      <c r="IW63" s="206">
        <f ca="1">IF(IV63&lt;TODAY(),TODAY(),IV63)</f>
        <v>42789</v>
      </c>
      <c r="IX63" s="498">
        <f ca="1">IF(AND(IV63&gt;0,IW63&gt;0),IW63-IV63,"0")</f>
        <v>42759</v>
      </c>
      <c r="IY63" s="206">
        <f>DATE(YEAR(IV63),MONTH(IV63),DAY(IV63)+30)</f>
        <v>60</v>
      </c>
      <c r="IZ63" s="482">
        <f ca="1">IF(AND(IW63&gt;0,IY63&gt;0),IY63-IW63,"0")</f>
        <v>-42729</v>
      </c>
      <c r="JA63" s="498">
        <f ca="1">IZ63-30</f>
        <v>-42759</v>
      </c>
      <c r="JB63" s="508" t="str">
        <f>IF(AND(IT63&gt;0,IY63&gt;0),IY63-IT63,"0")</f>
        <v>0</v>
      </c>
      <c r="JC63" s="490"/>
      <c r="JD63" s="505"/>
      <c r="JE63" s="502">
        <f>IY63</f>
        <v>60</v>
      </c>
      <c r="JF63" s="487">
        <f>IF(AND(IY63&gt;0,JE63&gt;0),JE63-IY63,"0")</f>
        <v>0</v>
      </c>
      <c r="JG63" s="502">
        <f>DATE(YEAR(JE63),MONTH(JE63),DAY(JE63)+15)</f>
        <v>75</v>
      </c>
      <c r="JH63" s="502">
        <f ca="1">IF(JG63&lt;TODAY(),TODAY(),JG63)</f>
        <v>42789</v>
      </c>
      <c r="JI63" s="487">
        <f ca="1">IF(AND(JG63&gt;0,JH63&gt;0),JH63-JG63,"0")</f>
        <v>42714</v>
      </c>
      <c r="JJ63" s="502">
        <f ca="1">DATE(YEAR(JH63),MONTH(JH63),DAY(JH63)+45)</f>
        <v>42834</v>
      </c>
      <c r="JK63" s="502">
        <f ca="1">JJ63</f>
        <v>42834</v>
      </c>
      <c r="JL63" s="487">
        <f ca="1">IF(AND(JJ63&gt;0,JK63&gt;0),JK63-JJ63,"0")</f>
        <v>0</v>
      </c>
      <c r="JM63" s="509">
        <f ca="1">IF(AND(JE63&gt;0,JK63&gt;0),JK63-JE63,"0")</f>
        <v>42774</v>
      </c>
      <c r="JN63" s="502">
        <f ca="1">DATE(YEAR(JK63),MONTH(JK63),DAY(JK63)+60)</f>
        <v>42894</v>
      </c>
      <c r="JO63" s="501">
        <f ca="1">IF(AND(JK63&gt;0,JN63&gt;0),JN63-JK63,"0")</f>
        <v>60</v>
      </c>
      <c r="JP63" s="498">
        <f ca="1">JO63-60</f>
        <v>0</v>
      </c>
      <c r="JQ63" s="482">
        <f>291/30</f>
        <v>9.6999999999999993</v>
      </c>
      <c r="JR63" s="504">
        <f ca="1">((+HS63+HU63+IB63+IJ63+IQ63+IU63+JB63+JM63+JF63)/30)-JQ63</f>
        <v>1421.2333333333333</v>
      </c>
      <c r="JS63" s="490"/>
      <c r="JT63" s="505"/>
      <c r="JU63" s="490"/>
      <c r="JV63" s="505"/>
      <c r="JW63" s="586"/>
      <c r="JX63" s="586"/>
      <c r="JY63" s="586"/>
      <c r="JZ63" s="586"/>
    </row>
    <row r="64" spans="1:286" ht="60.75" customHeight="1" x14ac:dyDescent="0.25">
      <c r="A64" s="146" t="s">
        <v>707</v>
      </c>
      <c r="B64" s="110" t="s">
        <v>46</v>
      </c>
      <c r="C64" s="110" t="s">
        <v>157</v>
      </c>
      <c r="D64" s="110">
        <v>2017</v>
      </c>
      <c r="E64" s="110" t="s">
        <v>717</v>
      </c>
      <c r="F64" s="110" t="s">
        <v>638</v>
      </c>
      <c r="G64" s="110" t="s">
        <v>439</v>
      </c>
      <c r="H64" s="110" t="s">
        <v>712</v>
      </c>
      <c r="I64" s="110"/>
      <c r="J64" s="110" t="s">
        <v>708</v>
      </c>
      <c r="K64" s="453" t="s">
        <v>1020</v>
      </c>
      <c r="L64" s="309"/>
      <c r="M64" s="310"/>
      <c r="N64" s="311"/>
      <c r="O64" s="379"/>
      <c r="P64" s="379"/>
      <c r="Q64" s="379"/>
      <c r="R64" s="379"/>
      <c r="S64" s="379"/>
      <c r="T64" s="387"/>
      <c r="U64" s="387"/>
      <c r="V64" s="387"/>
      <c r="W64" s="379"/>
      <c r="X64" s="380"/>
      <c r="Y64" s="381" t="e">
        <f>AH64/O64</f>
        <v>#DIV/0!</v>
      </c>
      <c r="Z64" s="380"/>
      <c r="AA64" s="380"/>
      <c r="AB64" s="381"/>
      <c r="AC64" s="110" t="s">
        <v>26</v>
      </c>
      <c r="AD64" s="640">
        <f>(AE64+AF64)</f>
        <v>24</v>
      </c>
      <c r="AE64" s="121"/>
      <c r="AF64" s="110">
        <v>24</v>
      </c>
      <c r="AG64" s="114">
        <v>1779.08</v>
      </c>
      <c r="AH64" s="152"/>
      <c r="AI64" s="22"/>
      <c r="AJ64" s="135">
        <f>3/AF64</f>
        <v>0.125</v>
      </c>
      <c r="AK64" s="135">
        <f>9/AF64</f>
        <v>0.375</v>
      </c>
      <c r="AL64" s="135">
        <f>6/AF64</f>
        <v>0.25</v>
      </c>
      <c r="AM64" s="135">
        <f>3/AF64</f>
        <v>0.125</v>
      </c>
      <c r="AN64" s="135">
        <f>3/AF64</f>
        <v>0.125</v>
      </c>
      <c r="AO64" s="114"/>
      <c r="AP64" s="133"/>
      <c r="AQ64" s="135"/>
      <c r="AR64" s="114"/>
      <c r="AS64" s="110"/>
      <c r="AT64" s="110"/>
      <c r="AU64" s="110"/>
      <c r="AV64" s="110"/>
      <c r="AW64" s="415">
        <v>42639</v>
      </c>
      <c r="AX64" s="415">
        <v>42761</v>
      </c>
      <c r="AY64" s="110"/>
      <c r="AZ64" s="415">
        <v>42674</v>
      </c>
      <c r="BA64" s="110"/>
      <c r="BB64" s="110"/>
      <c r="BC64" s="540" t="s">
        <v>757</v>
      </c>
      <c r="BD64" s="110"/>
      <c r="BE64" s="110"/>
      <c r="BF64" s="110"/>
      <c r="BG64" s="110"/>
      <c r="BH64" s="110"/>
      <c r="BI64" s="110"/>
      <c r="BJ64" s="110"/>
      <c r="BK64" s="110"/>
      <c r="BL64" s="110"/>
      <c r="BM64" s="110"/>
      <c r="BN64" s="196"/>
      <c r="BO64" s="196"/>
      <c r="BP64" s="196"/>
      <c r="BQ64" s="196"/>
      <c r="BR64" s="196"/>
      <c r="BS64" s="196"/>
      <c r="BT64" s="158"/>
      <c r="BU64" s="376"/>
      <c r="BV64" s="160"/>
      <c r="BW64" s="160"/>
      <c r="BX64" s="160"/>
      <c r="BY64" s="160"/>
      <c r="BZ64" s="376"/>
      <c r="CA64" s="160"/>
      <c r="CB64" s="302"/>
      <c r="CC64" s="374"/>
      <c r="CD64" s="302"/>
      <c r="CE64" s="302"/>
      <c r="CF64" s="161"/>
      <c r="CG64" s="336">
        <f>DATE(YEAR(CF64),MONTH(CF64)+24,DAY(CF64))</f>
        <v>731</v>
      </c>
      <c r="CH64" s="336">
        <f>DATE(YEAR(CF64),MONTH(CF64)+36,DAY(CF64))</f>
        <v>1096</v>
      </c>
      <c r="CI64" s="336"/>
      <c r="CJ64" s="302"/>
      <c r="CK64" s="308"/>
      <c r="CL64" s="161"/>
      <c r="CM64" s="371"/>
      <c r="CN64" s="161"/>
      <c r="CO64" s="161"/>
      <c r="CP64" s="162"/>
      <c r="CQ64" s="367"/>
      <c r="CR64" s="162"/>
      <c r="CS64" s="162"/>
      <c r="CT64" s="162"/>
      <c r="CU64" s="367"/>
      <c r="CV64" s="162"/>
      <c r="CW64" s="162"/>
      <c r="CX64" s="162"/>
      <c r="CY64" s="367"/>
      <c r="CZ64" s="162"/>
      <c r="DA64" s="162"/>
      <c r="DB64" s="299"/>
      <c r="DC64" s="299"/>
      <c r="DD64" s="299"/>
      <c r="DE64" s="312"/>
      <c r="DF64" s="312"/>
      <c r="DG64" s="312"/>
      <c r="DH64" s="312"/>
      <c r="DI64" s="312"/>
      <c r="DJ64" s="312"/>
      <c r="DK64" s="293"/>
      <c r="DL64" s="293"/>
      <c r="DM64" s="293"/>
      <c r="DN64" s="293"/>
      <c r="DO64" s="293"/>
      <c r="DP64" s="293"/>
      <c r="DQ64" s="443"/>
      <c r="DR64" s="443"/>
      <c r="DS64" s="443"/>
      <c r="DT64" s="298"/>
      <c r="DU64" s="443"/>
      <c r="DV64" s="443"/>
      <c r="DW64" s="443"/>
      <c r="DX64" s="423"/>
      <c r="DY64" s="423"/>
      <c r="DZ64" s="423"/>
      <c r="EA64" s="434">
        <v>43282</v>
      </c>
      <c r="EB64" s="423"/>
      <c r="EC64" s="430"/>
      <c r="ED64" s="430"/>
      <c r="EE64" s="422"/>
      <c r="EF64" s="422"/>
      <c r="EG64" s="423"/>
      <c r="EH64" s="423"/>
      <c r="EI64" s="431"/>
      <c r="EJ64" s="431"/>
      <c r="EK64" s="423"/>
      <c r="EL64" s="423"/>
      <c r="EM64" s="423"/>
      <c r="EN64" s="210"/>
      <c r="EO64" s="210"/>
      <c r="EP64" s="423"/>
      <c r="EQ64" s="423"/>
      <c r="ER64" s="423"/>
      <c r="ES64" s="423"/>
      <c r="ET64" s="423"/>
      <c r="EU64" s="334"/>
      <c r="EV64" s="206"/>
      <c r="EW64" s="206"/>
      <c r="EX64" s="209"/>
      <c r="EY64" s="434"/>
      <c r="EZ64" s="212"/>
      <c r="FA64" s="212"/>
      <c r="FB64" s="212"/>
      <c r="FC64" s="212"/>
      <c r="FD64" s="110"/>
      <c r="FE64" s="110"/>
      <c r="FF64" s="110"/>
      <c r="FG64" s="110"/>
      <c r="FH64" s="110"/>
      <c r="FI64" s="110"/>
      <c r="FJ64" s="110"/>
      <c r="FK64" s="110"/>
      <c r="FL64" s="110"/>
      <c r="FM64" s="110"/>
      <c r="FN64" s="110"/>
      <c r="FO64" s="110"/>
      <c r="FP64" s="199"/>
      <c r="FQ64" s="153">
        <f>+GA64+GE64+GL64+HF64+GQ64</f>
        <v>3866130.6767742028</v>
      </c>
      <c r="FR64" s="124"/>
      <c r="FS64" s="154">
        <f>FR64-FQ64</f>
        <v>-3866130.6767742028</v>
      </c>
      <c r="FT64" s="50">
        <f>FQ64/AG64</f>
        <v>2173.106705024059</v>
      </c>
      <c r="FU64" s="50">
        <f>FQ64/AD64</f>
        <v>161088.77819892511</v>
      </c>
      <c r="FV64" s="153">
        <v>3537549.5398594467</v>
      </c>
      <c r="FW64" s="124"/>
      <c r="FX64" s="25">
        <f>FW64-FV64</f>
        <v>-3537549.5398594467</v>
      </c>
      <c r="FY64" s="231" t="e">
        <f>FW64*1.021/FR64</f>
        <v>#DIV/0!</v>
      </c>
      <c r="FZ64" s="232">
        <v>0.4</v>
      </c>
      <c r="GA64" s="153">
        <v>1224437.8025662941</v>
      </c>
      <c r="GB64" s="124"/>
      <c r="GC64" s="50">
        <f>GA64/AD64</f>
        <v>51018.24177359559</v>
      </c>
      <c r="GD64" s="73"/>
      <c r="GE64" s="153">
        <v>2131692.8742079088</v>
      </c>
      <c r="GF64" s="124"/>
      <c r="GG64" s="147"/>
      <c r="GH64" s="147"/>
      <c r="GI64" s="73">
        <f>GF64-GE64</f>
        <v>-2131692.8742079088</v>
      </c>
      <c r="GJ64" s="50">
        <f>GE64/AD64</f>
        <v>88820.536425329527</v>
      </c>
      <c r="GK64" s="124"/>
      <c r="GL64" s="153">
        <v>480000</v>
      </c>
      <c r="GM64" s="124"/>
      <c r="GN64" s="124"/>
      <c r="GO64" s="76">
        <f>GL64/FQ64</f>
        <v>0.12415514118123376</v>
      </c>
      <c r="GP64" s="590"/>
      <c r="GQ64" s="124">
        <v>30000</v>
      </c>
      <c r="GR64" s="51">
        <f>GM64-GL64</f>
        <v>-480000</v>
      </c>
      <c r="GS64" s="50">
        <f>GL64/AD64</f>
        <v>20000</v>
      </c>
      <c r="GT64" s="138">
        <f>(GA64+GL64)/AD64</f>
        <v>71018.241773595582</v>
      </c>
      <c r="GU64" s="51">
        <f>GR64/AD64</f>
        <v>-20000</v>
      </c>
      <c r="GV64" s="150">
        <v>5.38</v>
      </c>
      <c r="GW64" s="150">
        <v>5.38</v>
      </c>
      <c r="GX64" s="151"/>
      <c r="GY64" s="151"/>
      <c r="GZ64" s="50">
        <f>(GA64+GL64+GY64)/AD64</f>
        <v>71018.241773595582</v>
      </c>
      <c r="HA64" s="151"/>
      <c r="HB64" s="50">
        <f>(GB64+GM64+GY64+HA64)/AD64</f>
        <v>0</v>
      </c>
      <c r="HC64" s="99">
        <f>(GA64+GL64+GY64+HA64)/(GX64+FQ64-HD64)</f>
        <v>0.44086399169218771</v>
      </c>
      <c r="HD64" s="151"/>
      <c r="HE64" s="151"/>
      <c r="HF64" s="124"/>
      <c r="HG64" s="156">
        <f>FQ64+GX64</f>
        <v>3866130.6767742028</v>
      </c>
      <c r="HH64" s="491">
        <v>190789</v>
      </c>
      <c r="HI64" s="491">
        <f>HK64+IH64+ID64</f>
        <v>47697</v>
      </c>
      <c r="HJ64" s="201">
        <v>42562</v>
      </c>
      <c r="HK64" s="635">
        <v>19202</v>
      </c>
      <c r="HL64" s="638">
        <v>42583</v>
      </c>
      <c r="HM64" s="638">
        <f>DATE(YEAR(HL64),MONTH(HL64),DAY(HL64)+21)</f>
        <v>42604</v>
      </c>
      <c r="HN64" s="638">
        <v>42590</v>
      </c>
      <c r="HO64" s="202">
        <f>IF(AND(HM64&gt;0,HN64&gt;0),HN64-HM64,"0")</f>
        <v>-14</v>
      </c>
      <c r="HP64" s="201">
        <v>42647</v>
      </c>
      <c r="HQ64" s="202">
        <f>IF(AND(HN64&gt;0,HP64&gt;0),HP64-HN64,"0")</f>
        <v>57</v>
      </c>
      <c r="HR64" s="202">
        <f>+HQ64-30</f>
        <v>27</v>
      </c>
      <c r="HS64" s="634">
        <f>IF(AND(HL64&gt;0,HP64&gt;0),HP64-HL64,"0")</f>
        <v>64</v>
      </c>
      <c r="HT64" s="201">
        <v>42648</v>
      </c>
      <c r="HU64" s="202">
        <f>IF(AND(HP64&gt;0,HT64&gt;0),HT64-HP64,"0")</f>
        <v>1</v>
      </c>
      <c r="HV64" s="201">
        <f>DATE(YEAR(HT64),MONTH(HT64),DAY(HT64)+30)</f>
        <v>42678</v>
      </c>
      <c r="HW64" s="201">
        <v>42674</v>
      </c>
      <c r="HX64" s="202">
        <f>IF(AND(HV64&gt;0,HW64&gt;0),HW64-HV64,"0")</f>
        <v>-4</v>
      </c>
      <c r="HY64" s="201">
        <v>42674</v>
      </c>
      <c r="HZ64" s="202">
        <f>IF(AND(HW64&gt;0,HY64&gt;0),HY64-HW64,"0")</f>
        <v>0</v>
      </c>
      <c r="IA64" s="202">
        <f>+HZ64-30</f>
        <v>-30</v>
      </c>
      <c r="IB64" s="634">
        <f>IF(AND(HT64&gt;0,HY64&gt;0),HY64-HT64,"0")</f>
        <v>26</v>
      </c>
      <c r="IC64" s="328" t="s">
        <v>1054</v>
      </c>
      <c r="ID64" s="635">
        <f>7586+2159</f>
        <v>9745</v>
      </c>
      <c r="IE64" s="213">
        <v>42691</v>
      </c>
      <c r="IF64" s="347">
        <v>42695</v>
      </c>
      <c r="IG64" s="201">
        <v>42696</v>
      </c>
      <c r="IH64" s="635">
        <v>18750</v>
      </c>
      <c r="II64" s="213">
        <v>42758</v>
      </c>
      <c r="IJ64" s="497">
        <f>IF(AND(HY64&gt;0,II64&gt;0),II64-HY64,"0")</f>
        <v>84</v>
      </c>
      <c r="IK64" s="206">
        <f>DATE(YEAR(II64),MONTH(II64),DAY(II64)+30)</f>
        <v>42788</v>
      </c>
      <c r="IL64" s="206">
        <f ca="1">IF(IK64&lt;TODAY(),TODAY(),IK64)</f>
        <v>42789</v>
      </c>
      <c r="IM64" s="497">
        <f ca="1">IF(AND(IK64&gt;0,IL64&gt;0),IL64-IK64,"0")</f>
        <v>1</v>
      </c>
      <c r="IN64" s="206">
        <f>DATE(YEAR(IK64),MONTH(IK64),DAY(IK64)+30)</f>
        <v>42818</v>
      </c>
      <c r="IO64" s="481">
        <f ca="1">IF(AND(IL64&gt;0,IN64&gt;0),IN64-IL64,"0")</f>
        <v>29</v>
      </c>
      <c r="IP64" s="497">
        <f ca="1">+IO64-30</f>
        <v>-1</v>
      </c>
      <c r="IQ64" s="506">
        <f>IF(AND(II64&gt;0,IN64&gt;0),IN64-II64,"0")</f>
        <v>60</v>
      </c>
      <c r="IR64" s="490"/>
      <c r="IS64" s="491">
        <f>$IS$1*HH64</f>
        <v>19078.900000000001</v>
      </c>
      <c r="IT64" s="206">
        <f>IN64</f>
        <v>42818</v>
      </c>
      <c r="IU64" s="498">
        <f>IF(AND(IN64&gt;0,IT64&gt;0),IT64-IN64,"0")</f>
        <v>0</v>
      </c>
      <c r="IV64" s="206">
        <f>DATE(YEAR(IT64),MONTH(IT64),DAY(IT64)+30)</f>
        <v>42848</v>
      </c>
      <c r="IW64" s="206">
        <f ca="1">IF(IV64&lt;TODAY(),TODAY(),IV64)</f>
        <v>42848</v>
      </c>
      <c r="IX64" s="498">
        <f ca="1">IF(AND(IV64&gt;0,IW64&gt;0),IW64-IV64,"0")</f>
        <v>0</v>
      </c>
      <c r="IY64" s="206">
        <f>DATE(YEAR(IV64),MONTH(IV64),DAY(IV64)+30)</f>
        <v>42878</v>
      </c>
      <c r="IZ64" s="482">
        <f ca="1">IF(AND(IW64&gt;0,IY64&gt;0),IY64-IW64,"0")</f>
        <v>30</v>
      </c>
      <c r="JA64" s="498">
        <f ca="1">IZ64-30</f>
        <v>0</v>
      </c>
      <c r="JB64" s="508">
        <f>IF(AND(IT64&gt;0,IY64&gt;0),IY64-IT64,"0")</f>
        <v>60</v>
      </c>
      <c r="JC64" s="490"/>
      <c r="JD64" s="505">
        <f>$JD$1*$HH$65</f>
        <v>34029.599999999999</v>
      </c>
      <c r="JE64" s="502">
        <f>IY64</f>
        <v>42878</v>
      </c>
      <c r="JF64" s="487">
        <f>IF(AND(IY64&gt;0,JE64&gt;0),JE64-IY64,"0")</f>
        <v>0</v>
      </c>
      <c r="JG64" s="502">
        <f>DATE(YEAR(JE64),MONTH(JE64),DAY(JE64)+15)</f>
        <v>42893</v>
      </c>
      <c r="JH64" s="502">
        <f ca="1">IF(JG64&lt;TODAY(),TODAY(),JG64)</f>
        <v>42893</v>
      </c>
      <c r="JI64" s="487">
        <f ca="1">IF(AND(JG64&gt;0,JH64&gt;0),JH64-JG64,"0")</f>
        <v>0</v>
      </c>
      <c r="JJ64" s="502">
        <f ca="1">DATE(YEAR(JH64),MONTH(JH64),DAY(JH64)+45)</f>
        <v>42938</v>
      </c>
      <c r="JK64" s="502">
        <f ca="1">JJ64</f>
        <v>42938</v>
      </c>
      <c r="JL64" s="487">
        <f ca="1">IF(AND(JJ64&gt;0,JK64&gt;0),JK64-JJ64,"0")</f>
        <v>0</v>
      </c>
      <c r="JM64" s="509">
        <f ca="1">IF(AND(JE64&gt;0,JK64&gt;0),JK64-JE64,"0")</f>
        <v>60</v>
      </c>
      <c r="JN64" s="502">
        <f ca="1">DATE(YEAR(JK64),MONTH(JK64),DAY(JK64)+60)</f>
        <v>42998</v>
      </c>
      <c r="JO64" s="501">
        <f ca="1">IF(AND(JK64&gt;0,JN64&gt;0),JN64-JK64,"0")</f>
        <v>60</v>
      </c>
      <c r="JP64" s="498">
        <f ca="1">JO64-60</f>
        <v>0</v>
      </c>
      <c r="JQ64" s="482">
        <f>291/30</f>
        <v>9.6999999999999993</v>
      </c>
      <c r="JR64" s="504">
        <f ca="1">((+HS64+HU64+IB64+IJ64+IQ64+IU64+JB64+JM64+JF64)/30)-JQ64</f>
        <v>2.1333333333333346</v>
      </c>
      <c r="JS64" s="490"/>
      <c r="JT64" s="491"/>
      <c r="JU64" s="490"/>
      <c r="JV64" s="491"/>
      <c r="JW64" s="586"/>
      <c r="JX64" s="586"/>
      <c r="JY64" s="586"/>
      <c r="JZ64" s="586"/>
    </row>
    <row r="65" spans="1:286" ht="60.75" customHeight="1" x14ac:dyDescent="0.25">
      <c r="A65" s="146" t="s">
        <v>702</v>
      </c>
      <c r="B65" s="110" t="s">
        <v>46</v>
      </c>
      <c r="C65" s="110" t="s">
        <v>157</v>
      </c>
      <c r="D65" s="110">
        <v>2017</v>
      </c>
      <c r="E65" s="110" t="s">
        <v>716</v>
      </c>
      <c r="F65" s="110" t="s">
        <v>638</v>
      </c>
      <c r="G65" s="110" t="s">
        <v>278</v>
      </c>
      <c r="H65" s="110" t="s">
        <v>712</v>
      </c>
      <c r="I65" s="110"/>
      <c r="J65" s="110" t="s">
        <v>703</v>
      </c>
      <c r="K65" s="453" t="s">
        <v>1020</v>
      </c>
      <c r="L65" s="309"/>
      <c r="M65" s="310"/>
      <c r="N65" s="311"/>
      <c r="O65" s="379"/>
      <c r="P65" s="379"/>
      <c r="Q65" s="379"/>
      <c r="R65" s="379"/>
      <c r="S65" s="379"/>
      <c r="T65" s="387"/>
      <c r="U65" s="387"/>
      <c r="V65" s="387"/>
      <c r="W65" s="379"/>
      <c r="X65" s="380"/>
      <c r="Y65" s="381" t="e">
        <f>AH65/O65</f>
        <v>#DIV/0!</v>
      </c>
      <c r="Z65" s="380"/>
      <c r="AA65" s="380"/>
      <c r="AB65" s="381"/>
      <c r="AC65" s="110" t="s">
        <v>26</v>
      </c>
      <c r="AD65" s="640">
        <f>(AE65+AF65)</f>
        <v>26</v>
      </c>
      <c r="AE65" s="121"/>
      <c r="AF65" s="110">
        <v>26</v>
      </c>
      <c r="AG65" s="114">
        <v>1730.4</v>
      </c>
      <c r="AH65" s="152"/>
      <c r="AI65" s="114">
        <f>AG65/AD65</f>
        <v>66.553846153846152</v>
      </c>
      <c r="AJ65" s="135"/>
      <c r="AK65" s="135">
        <f>26/AD65</f>
        <v>1</v>
      </c>
      <c r="AL65" s="135"/>
      <c r="AM65" s="135"/>
      <c r="AN65" s="135"/>
      <c r="AO65" s="114"/>
      <c r="AP65" s="133"/>
      <c r="AQ65" s="135"/>
      <c r="AR65" s="114"/>
      <c r="AS65" s="110"/>
      <c r="AT65" s="110"/>
      <c r="AU65" s="110"/>
      <c r="AV65" s="110"/>
      <c r="AW65" s="415">
        <v>42639</v>
      </c>
      <c r="AX65" s="415">
        <v>42691</v>
      </c>
      <c r="AY65" s="110"/>
      <c r="AZ65" s="415">
        <v>42674</v>
      </c>
      <c r="BA65" s="110"/>
      <c r="BB65" s="540" t="s">
        <v>812</v>
      </c>
      <c r="BC65" s="540" t="s">
        <v>757</v>
      </c>
      <c r="BD65" s="110"/>
      <c r="BE65" s="110"/>
      <c r="BF65" s="110"/>
      <c r="BG65" s="110"/>
      <c r="BH65" s="110"/>
      <c r="BI65" s="110"/>
      <c r="BJ65" s="110"/>
      <c r="BK65" s="110"/>
      <c r="BL65" s="110"/>
      <c r="BM65" s="110"/>
      <c r="BN65" s="196"/>
      <c r="BO65" s="196"/>
      <c r="BP65" s="196"/>
      <c r="BQ65" s="196"/>
      <c r="BR65" s="196"/>
      <c r="BS65" s="196"/>
      <c r="BT65" s="158"/>
      <c r="BU65" s="376"/>
      <c r="BV65" s="160"/>
      <c r="BW65" s="160"/>
      <c r="BX65" s="160"/>
      <c r="BY65" s="160"/>
      <c r="BZ65" s="376"/>
      <c r="CA65" s="160"/>
      <c r="CB65" s="302"/>
      <c r="CC65" s="374"/>
      <c r="CD65" s="302"/>
      <c r="CE65" s="302"/>
      <c r="CF65" s="161"/>
      <c r="CG65" s="336">
        <f>DATE(YEAR(CF65),MONTH(CF65)+24,DAY(CF65))</f>
        <v>731</v>
      </c>
      <c r="CH65" s="336">
        <f>DATE(YEAR(CF65),MONTH(CF65)+36,DAY(CF65))</f>
        <v>1096</v>
      </c>
      <c r="CI65" s="336"/>
      <c r="CJ65" s="302"/>
      <c r="CK65" s="308"/>
      <c r="CL65" s="161"/>
      <c r="CM65" s="371"/>
      <c r="CN65" s="161"/>
      <c r="CO65" s="161"/>
      <c r="CP65" s="162"/>
      <c r="CQ65" s="367"/>
      <c r="CR65" s="162"/>
      <c r="CS65" s="162"/>
      <c r="CT65" s="162"/>
      <c r="CU65" s="367"/>
      <c r="CV65" s="162"/>
      <c r="CW65" s="162"/>
      <c r="CX65" s="162"/>
      <c r="CY65" s="367"/>
      <c r="CZ65" s="162"/>
      <c r="DA65" s="162"/>
      <c r="DB65" s="299"/>
      <c r="DC65" s="299"/>
      <c r="DD65" s="299"/>
      <c r="DE65" s="312"/>
      <c r="DF65" s="312"/>
      <c r="DG65" s="312"/>
      <c r="DH65" s="312"/>
      <c r="DI65" s="312"/>
      <c r="DJ65" s="312"/>
      <c r="DK65" s="293"/>
      <c r="DL65" s="293"/>
      <c r="DM65" s="293"/>
      <c r="DN65" s="293"/>
      <c r="DO65" s="293"/>
      <c r="DP65" s="293"/>
      <c r="DQ65" s="443"/>
      <c r="DR65" s="443"/>
      <c r="DS65" s="443"/>
      <c r="DT65" s="298"/>
      <c r="DU65" s="443"/>
      <c r="DV65" s="443"/>
      <c r="DW65" s="443"/>
      <c r="DX65" s="423"/>
      <c r="DY65" s="423"/>
      <c r="DZ65" s="423"/>
      <c r="EA65" s="434">
        <v>43282</v>
      </c>
      <c r="EB65" s="423"/>
      <c r="EC65" s="430"/>
      <c r="ED65" s="430"/>
      <c r="EE65" s="422"/>
      <c r="EF65" s="422"/>
      <c r="EG65" s="423"/>
      <c r="EH65" s="423"/>
      <c r="EI65" s="431"/>
      <c r="EJ65" s="431"/>
      <c r="EK65" s="423"/>
      <c r="EL65" s="423"/>
      <c r="EM65" s="423"/>
      <c r="EN65" s="210"/>
      <c r="EO65" s="210"/>
      <c r="EP65" s="423"/>
      <c r="EQ65" s="423"/>
      <c r="ER65" s="423"/>
      <c r="ES65" s="423"/>
      <c r="ET65" s="423"/>
      <c r="EU65" s="334"/>
      <c r="EV65" s="206"/>
      <c r="EW65" s="206"/>
      <c r="EX65" s="209"/>
      <c r="EY65" s="434"/>
      <c r="EZ65" s="212"/>
      <c r="FA65" s="212"/>
      <c r="FB65" s="212"/>
      <c r="FC65" s="212"/>
      <c r="FD65" s="110"/>
      <c r="FE65" s="110"/>
      <c r="FF65" s="110"/>
      <c r="FG65" s="110"/>
      <c r="FH65" s="110"/>
      <c r="FI65" s="110"/>
      <c r="FJ65" s="110"/>
      <c r="FK65" s="110"/>
      <c r="FL65" s="110"/>
      <c r="FM65" s="110"/>
      <c r="FN65" s="110"/>
      <c r="FO65" s="110"/>
      <c r="FP65" s="199"/>
      <c r="FQ65" s="153">
        <f>+GA65+GE65+GL65+HF65+GQ65</f>
        <v>4112412.99</v>
      </c>
      <c r="FR65" s="124">
        <f>GB65+GF65+GK65+GM65+GQ65</f>
        <v>15600</v>
      </c>
      <c r="FS65" s="154">
        <f>FR65-FQ65</f>
        <v>-4096812.99</v>
      </c>
      <c r="FT65" s="50">
        <f>FQ65/AG65</f>
        <v>2376.5678398058253</v>
      </c>
      <c r="FU65" s="50">
        <f>FQ65/AD65</f>
        <v>158169.7303846154</v>
      </c>
      <c r="FV65" s="153">
        <v>3207102</v>
      </c>
      <c r="FW65" s="124"/>
      <c r="FX65" s="25">
        <f>FW65-FV65</f>
        <v>-3207102</v>
      </c>
      <c r="FY65" s="232">
        <f>FW65*1.021/FR65</f>
        <v>0</v>
      </c>
      <c r="FZ65" s="234">
        <v>0.4</v>
      </c>
      <c r="GA65" s="153">
        <v>1296385.9099999999</v>
      </c>
      <c r="GB65" s="124"/>
      <c r="GC65" s="50">
        <f>GA65/AD65</f>
        <v>49860.996538461535</v>
      </c>
      <c r="GD65" s="73">
        <f>GB65-GA65</f>
        <v>-1296385.9099999999</v>
      </c>
      <c r="GE65" s="153">
        <v>2030427.08</v>
      </c>
      <c r="GF65" s="124"/>
      <c r="GG65" s="147"/>
      <c r="GH65" s="147"/>
      <c r="GI65" s="73">
        <f>GF65-GE65</f>
        <v>-2030427.08</v>
      </c>
      <c r="GJ65" s="50">
        <f>GE65/AD65</f>
        <v>78093.349230769236</v>
      </c>
      <c r="GK65" s="124"/>
      <c r="GL65" s="153">
        <v>520000</v>
      </c>
      <c r="GM65" s="124"/>
      <c r="GN65" s="124"/>
      <c r="GO65" s="76">
        <f>GL65/FQ65</f>
        <v>0.12644644428087948</v>
      </c>
      <c r="GP65" s="590"/>
      <c r="GQ65" s="124">
        <v>15600</v>
      </c>
      <c r="GR65" s="51">
        <f>GM65-GL65</f>
        <v>-520000</v>
      </c>
      <c r="GS65" s="50">
        <f>GL65/AD65</f>
        <v>20000</v>
      </c>
      <c r="GT65" s="138">
        <f>(GA65+GL65)/AD65</f>
        <v>69860.996538461535</v>
      </c>
      <c r="GU65" s="51">
        <f>GR65/AD65</f>
        <v>-20000</v>
      </c>
      <c r="GV65" s="150">
        <v>5.56</v>
      </c>
      <c r="GW65" s="150">
        <v>5.55</v>
      </c>
      <c r="GX65" s="151"/>
      <c r="GY65" s="151"/>
      <c r="GZ65" s="50">
        <f>(GA65+GL65+GY65)/AD65</f>
        <v>69860.996538461535</v>
      </c>
      <c r="HA65" s="151"/>
      <c r="HB65" s="50">
        <f>(GB65+GM65+GY65+HA65)/AD65</f>
        <v>0</v>
      </c>
      <c r="HC65" s="99">
        <f>(GA65+GL65+GY65+HA65)/(GX65+FQ65-HD65)</f>
        <v>0.44168373031036451</v>
      </c>
      <c r="HD65" s="151"/>
      <c r="HE65" s="151"/>
      <c r="HF65" s="124">
        <v>250000</v>
      </c>
      <c r="HG65" s="156">
        <f>FQ65+GX65</f>
        <v>4112412.99</v>
      </c>
      <c r="HH65" s="491">
        <f>202517+24347</f>
        <v>226864</v>
      </c>
      <c r="HI65" s="491">
        <f>HK65+IH65+ID65</f>
        <v>56716</v>
      </c>
      <c r="HJ65" s="494">
        <v>42562</v>
      </c>
      <c r="HK65" s="511">
        <v>23880</v>
      </c>
      <c r="HL65" s="638">
        <v>42576</v>
      </c>
      <c r="HM65" s="638">
        <f>DATE(YEAR(HL65),MONTH(HL65),DAY(HL65)+21)</f>
        <v>42597</v>
      </c>
      <c r="HN65" s="638">
        <v>42629</v>
      </c>
      <c r="HO65" s="202">
        <f>IF(AND(HM65&gt;0,HN65&gt;0),HN65-HM65,"0")</f>
        <v>32</v>
      </c>
      <c r="HP65" s="638">
        <v>42649</v>
      </c>
      <c r="HQ65" s="202">
        <f>IF(AND(HN65&gt;0,HP65&gt;0),HP65-HN65,"0")</f>
        <v>20</v>
      </c>
      <c r="HR65" s="202">
        <f>+HQ65-30</f>
        <v>-10</v>
      </c>
      <c r="HS65" s="634">
        <f>IF(AND(HL65&gt;0,HP65&gt;0),HP65-HL65,"0")</f>
        <v>73</v>
      </c>
      <c r="HT65" s="638">
        <v>42650</v>
      </c>
      <c r="HU65" s="202">
        <f>IF(AND(HP65&gt;0,HT65&gt;0),HT65-HP65,"0")</f>
        <v>1</v>
      </c>
      <c r="HV65" s="201">
        <f>DATE(YEAR(HT65),MONTH(HT65),DAY(HT65)+30)</f>
        <v>42680</v>
      </c>
      <c r="HW65" s="201">
        <v>42681</v>
      </c>
      <c r="HX65" s="202">
        <f>IF(AND(HV65&gt;0,HW65&gt;0),HW65-HV65,"0")</f>
        <v>1</v>
      </c>
      <c r="HY65" s="636">
        <v>42681</v>
      </c>
      <c r="HZ65" s="202">
        <f>IF(AND(HW65&gt;0,HY65&gt;0),HY65-HW65,"0")</f>
        <v>0</v>
      </c>
      <c r="IA65" s="202">
        <f>+HZ65-30</f>
        <v>-30</v>
      </c>
      <c r="IB65" s="634">
        <f>IF(AND(HT65&gt;0,HY65&gt;0),HY65-HT65,"0")</f>
        <v>31</v>
      </c>
      <c r="IC65" s="328" t="s">
        <v>1054</v>
      </c>
      <c r="ID65" s="635">
        <f>7277+967+6885+285</f>
        <v>15414</v>
      </c>
      <c r="IE65" s="347">
        <v>42690</v>
      </c>
      <c r="IF65" s="347">
        <v>42704</v>
      </c>
      <c r="IG65" s="201">
        <v>42697</v>
      </c>
      <c r="IH65" s="635">
        <f>14653+2769</f>
        <v>17422</v>
      </c>
      <c r="II65" s="636">
        <v>42758</v>
      </c>
      <c r="IJ65" s="202">
        <f>IF(AND(HY65&gt;0,II65&gt;0),II65-HY65,"0")</f>
        <v>77</v>
      </c>
      <c r="IK65" s="206">
        <f>DATE(YEAR(II65),MONTH(II65),DAY(II65)+30)</f>
        <v>42788</v>
      </c>
      <c r="IL65" s="206">
        <f ca="1">IF(IK65&lt;TODAY(),TODAY(),IK65)</f>
        <v>42789</v>
      </c>
      <c r="IM65" s="497">
        <f ca="1">IF(AND(IK65&gt;0,IL65&gt;0),IL65-IK65,"0")</f>
        <v>1</v>
      </c>
      <c r="IN65" s="206">
        <f>DATE(YEAR(IK65),MONTH(IK65),DAY(IK65)+30)</f>
        <v>42818</v>
      </c>
      <c r="IO65" s="481">
        <f ca="1">IF(AND(IL65&gt;0,IN65&gt;0),IN65-IL65,"0")</f>
        <v>29</v>
      </c>
      <c r="IP65" s="497">
        <f ca="1">+IO65-30</f>
        <v>-1</v>
      </c>
      <c r="IQ65" s="506">
        <f>IF(AND(II65&gt;0,IN65&gt;0),IN65-II65,"0")</f>
        <v>60</v>
      </c>
      <c r="IR65" s="490"/>
      <c r="IS65" s="505">
        <f>$IS$1*HH65</f>
        <v>22686.400000000001</v>
      </c>
      <c r="IT65" s="206">
        <f>IN65</f>
        <v>42818</v>
      </c>
      <c r="IU65" s="498">
        <f>IF(AND(IN65&gt;0,IT65&gt;0),IT65-IN65,"0")</f>
        <v>0</v>
      </c>
      <c r="IV65" s="206">
        <f>DATE(YEAR(IT65),MONTH(IT65),DAY(IT65)+30)</f>
        <v>42848</v>
      </c>
      <c r="IW65" s="206">
        <f ca="1">IF(IV65&lt;TODAY(),TODAY(),IV65)</f>
        <v>42848</v>
      </c>
      <c r="IX65" s="498">
        <f ca="1">IF(AND(IV65&gt;0,IW65&gt;0),IW65-IV65,"0")</f>
        <v>0</v>
      </c>
      <c r="IY65" s="206">
        <f>DATE(YEAR(IV65),MONTH(IV65),DAY(IV65)+30)</f>
        <v>42878</v>
      </c>
      <c r="IZ65" s="482">
        <f ca="1">IF(AND(IW65&gt;0,IY65&gt;0),IY65-IW65,"0")</f>
        <v>30</v>
      </c>
      <c r="JA65" s="498">
        <f ca="1">IZ65-30</f>
        <v>0</v>
      </c>
      <c r="JB65" s="508">
        <f>IF(AND(IT65&gt;0,IY65&gt;0),IY65-IT65,"0")</f>
        <v>60</v>
      </c>
      <c r="JC65" s="490"/>
      <c r="JD65" s="505">
        <f>$JD$1*$HH$65</f>
        <v>34029.599999999999</v>
      </c>
      <c r="JE65" s="502">
        <f>IY65</f>
        <v>42878</v>
      </c>
      <c r="JF65" s="487">
        <f>IF(AND(IY65&gt;0,JE65&gt;0),JE65-IY65,"0")</f>
        <v>0</v>
      </c>
      <c r="JG65" s="502">
        <f>DATE(YEAR(JE65),MONTH(JE65),DAY(JE65)+15)</f>
        <v>42893</v>
      </c>
      <c r="JH65" s="502">
        <f ca="1">IF(JG65&lt;TODAY(),TODAY(),JG65)</f>
        <v>42893</v>
      </c>
      <c r="JI65" s="487">
        <f ca="1">IF(AND(JG65&gt;0,JH65&gt;0),JH65-JG65,"0")</f>
        <v>0</v>
      </c>
      <c r="JJ65" s="502">
        <f ca="1">DATE(YEAR(JH65),MONTH(JH65),DAY(JH65)+45)</f>
        <v>42938</v>
      </c>
      <c r="JK65" s="502">
        <f ca="1">JJ65</f>
        <v>42938</v>
      </c>
      <c r="JL65" s="487">
        <f ca="1">IF(AND(JJ65&gt;0,JK65&gt;0),JK65-JJ65,"0")</f>
        <v>0</v>
      </c>
      <c r="JM65" s="509">
        <f ca="1">IF(AND(JE65&gt;0,JK65&gt;0),JK65-JE65,"0")</f>
        <v>60</v>
      </c>
      <c r="JN65" s="502">
        <f ca="1">DATE(YEAR(JK65),MONTH(JK65),DAY(JK65)+60)</f>
        <v>42998</v>
      </c>
      <c r="JO65" s="501">
        <f ca="1">IF(AND(JK65&gt;0,JN65&gt;0),JN65-JK65,"0")</f>
        <v>60</v>
      </c>
      <c r="JP65" s="498">
        <f ca="1">JO65-60</f>
        <v>0</v>
      </c>
      <c r="JQ65" s="482">
        <f>291/30</f>
        <v>9.6999999999999993</v>
      </c>
      <c r="JR65" s="504">
        <f ca="1">((+HS65+HU65+IB65+IJ65+IQ65+IU65+JB65+JM65+JF65)/30)-JQ65</f>
        <v>2.3666666666666671</v>
      </c>
      <c r="JS65" s="490"/>
      <c r="JT65" s="505"/>
      <c r="JU65" s="490"/>
      <c r="JV65" s="505"/>
      <c r="JW65" s="586"/>
      <c r="JX65" s="586"/>
      <c r="JY65" s="586"/>
      <c r="JZ65" s="586"/>
    </row>
    <row r="66" spans="1:286" ht="15" customHeight="1" x14ac:dyDescent="0.25">
      <c r="A66" s="146" t="s">
        <v>1001</v>
      </c>
      <c r="B66" s="110" t="s">
        <v>44</v>
      </c>
      <c r="C66" s="110" t="s">
        <v>158</v>
      </c>
      <c r="D66" s="110">
        <v>2017</v>
      </c>
      <c r="E66" s="110" t="s">
        <v>715</v>
      </c>
      <c r="F66" s="110" t="s">
        <v>630</v>
      </c>
      <c r="G66" s="110" t="s">
        <v>278</v>
      </c>
      <c r="H66" s="112" t="s">
        <v>713</v>
      </c>
      <c r="I66" s="110"/>
      <c r="J66" s="110" t="s">
        <v>816</v>
      </c>
      <c r="K66" s="453" t="s">
        <v>1020</v>
      </c>
      <c r="L66" s="309"/>
      <c r="M66" s="310"/>
      <c r="N66" s="311"/>
      <c r="O66" s="379"/>
      <c r="P66" s="379"/>
      <c r="Q66" s="379"/>
      <c r="R66" s="379"/>
      <c r="S66" s="379"/>
      <c r="T66" s="387"/>
      <c r="U66" s="387"/>
      <c r="V66" s="387"/>
      <c r="W66" s="379"/>
      <c r="X66" s="380"/>
      <c r="Y66" s="381" t="e">
        <f>AH66/O66</f>
        <v>#DIV/0!</v>
      </c>
      <c r="Z66" s="380"/>
      <c r="AA66" s="380"/>
      <c r="AB66" s="381"/>
      <c r="AC66" s="110" t="s">
        <v>26</v>
      </c>
      <c r="AD66" s="640">
        <f>(AE66+AF66)</f>
        <v>84</v>
      </c>
      <c r="AE66" s="121"/>
      <c r="AF66" s="110">
        <v>84</v>
      </c>
      <c r="AG66" s="114">
        <v>6502.48</v>
      </c>
      <c r="AH66" s="401"/>
      <c r="AI66" s="114">
        <f>AH66/AD66</f>
        <v>0</v>
      </c>
      <c r="AJ66" s="135"/>
      <c r="AK66" s="135"/>
      <c r="AL66" s="135"/>
      <c r="AM66" s="135"/>
      <c r="AN66" s="135"/>
      <c r="AO66" s="114"/>
      <c r="AP66" s="133"/>
      <c r="AQ66" s="135"/>
      <c r="AR66" s="114"/>
      <c r="AS66" s="110"/>
      <c r="AT66" s="110"/>
      <c r="AU66" s="110"/>
      <c r="AV66" s="110"/>
      <c r="AW66" s="332"/>
      <c r="AX66" s="418" t="s">
        <v>994</v>
      </c>
      <c r="AY66" s="332"/>
      <c r="AZ66" s="110"/>
      <c r="BA66" s="332"/>
      <c r="BB66" s="332"/>
      <c r="BC66" s="332"/>
      <c r="BD66" s="332"/>
      <c r="BE66" s="332"/>
      <c r="BF66" s="332"/>
      <c r="BG66" s="110"/>
      <c r="BH66" s="110"/>
      <c r="BI66" s="110"/>
      <c r="BJ66" s="110"/>
      <c r="BK66" s="110"/>
      <c r="BL66" s="110"/>
      <c r="BM66" s="110"/>
      <c r="BN66" s="196"/>
      <c r="BO66" s="196"/>
      <c r="BP66" s="196"/>
      <c r="BQ66" s="196"/>
      <c r="BR66" s="196"/>
      <c r="BS66" s="196"/>
      <c r="BT66" s="158"/>
      <c r="BU66" s="376"/>
      <c r="BV66" s="160"/>
      <c r="BW66" s="160"/>
      <c r="BX66" s="160"/>
      <c r="BY66" s="160"/>
      <c r="BZ66" s="376"/>
      <c r="CA66" s="160"/>
      <c r="CB66" s="302"/>
      <c r="CC66" s="374"/>
      <c r="CD66" s="302"/>
      <c r="CE66" s="302"/>
      <c r="CF66" s="161"/>
      <c r="CG66" s="336">
        <f>DATE(YEAR(CF66),MONTH(CF66)+24,DAY(CF66))</f>
        <v>731</v>
      </c>
      <c r="CH66" s="336">
        <f>DATE(YEAR(CF66),MONTH(CF66)+36,DAY(CF66))</f>
        <v>1096</v>
      </c>
      <c r="CI66" s="336"/>
      <c r="CJ66" s="302"/>
      <c r="CK66" s="306"/>
      <c r="CL66" s="161"/>
      <c r="CM66" s="371"/>
      <c r="CN66" s="161"/>
      <c r="CO66" s="161"/>
      <c r="CP66" s="162"/>
      <c r="CQ66" s="367"/>
      <c r="CR66" s="162"/>
      <c r="CS66" s="162"/>
      <c r="CT66" s="162"/>
      <c r="CU66" s="367"/>
      <c r="CV66" s="162"/>
      <c r="CW66" s="162"/>
      <c r="CX66" s="162"/>
      <c r="CY66" s="367"/>
      <c r="CZ66" s="162"/>
      <c r="DA66" s="162"/>
      <c r="DB66" s="299"/>
      <c r="DC66" s="299"/>
      <c r="DD66" s="299"/>
      <c r="DE66" s="312"/>
      <c r="DF66" s="312"/>
      <c r="DG66" s="312"/>
      <c r="DH66" s="312"/>
      <c r="DI66" s="312"/>
      <c r="DJ66" s="312"/>
      <c r="DK66" s="293"/>
      <c r="DL66" s="293"/>
      <c r="DM66" s="293"/>
      <c r="DN66" s="293"/>
      <c r="DO66" s="293"/>
      <c r="DP66" s="293"/>
      <c r="DQ66" s="304"/>
      <c r="DR66" s="443"/>
      <c r="DS66" s="443"/>
      <c r="DT66" s="298"/>
      <c r="DU66" s="304"/>
      <c r="DV66" s="443"/>
      <c r="DW66" s="443"/>
      <c r="DX66" s="423"/>
      <c r="DY66" s="423"/>
      <c r="DZ66" s="423"/>
      <c r="EA66" s="434">
        <v>43282</v>
      </c>
      <c r="EB66" s="423"/>
      <c r="EC66" s="430"/>
      <c r="ED66" s="430"/>
      <c r="EE66" s="422"/>
      <c r="EF66" s="422"/>
      <c r="EG66" s="422"/>
      <c r="EH66" s="422"/>
      <c r="EI66" s="431"/>
      <c r="EJ66" s="431"/>
      <c r="EK66" s="423"/>
      <c r="EL66" s="423"/>
      <c r="EM66" s="423"/>
      <c r="EN66" s="210"/>
      <c r="EO66" s="210"/>
      <c r="EP66" s="423"/>
      <c r="EQ66" s="423"/>
      <c r="ER66" s="423"/>
      <c r="ES66" s="423"/>
      <c r="ET66" s="423"/>
      <c r="EU66" s="334"/>
      <c r="EV66" s="206"/>
      <c r="EW66" s="206"/>
      <c r="EX66" s="209"/>
      <c r="EY66" s="434"/>
      <c r="EZ66" s="212"/>
      <c r="FA66" s="212"/>
      <c r="FB66" s="212"/>
      <c r="FC66" s="212"/>
      <c r="FD66" s="110"/>
      <c r="FE66" s="110"/>
      <c r="FF66" s="110"/>
      <c r="FG66" s="110"/>
      <c r="FH66" s="110"/>
      <c r="FI66" s="110"/>
      <c r="FJ66" s="110"/>
      <c r="FK66" s="110"/>
      <c r="FL66" s="110"/>
      <c r="FM66" s="110"/>
      <c r="FN66" s="110"/>
      <c r="FO66" s="110"/>
      <c r="FP66" s="199"/>
      <c r="FQ66" s="153">
        <f>+GA66+GE66+GL66+HF66+GQ66</f>
        <v>12677324</v>
      </c>
      <c r="FR66" s="124">
        <f>GB66+GF66+GK66+GM66+GQ66+GN66</f>
        <v>0</v>
      </c>
      <c r="FS66" s="25">
        <f>FR66-FQ66</f>
        <v>-12677324</v>
      </c>
      <c r="FT66" s="50">
        <f>FQ66/AG66</f>
        <v>1949.6136858552431</v>
      </c>
      <c r="FU66" s="50">
        <f>FQ66/AD66</f>
        <v>150920.52380952382</v>
      </c>
      <c r="FV66" s="153">
        <v>14981542.360255377</v>
      </c>
      <c r="FW66" s="124"/>
      <c r="FX66" s="25">
        <f>FW66-FV66</f>
        <v>-14981542.360255377</v>
      </c>
      <c r="FY66" s="232" t="e">
        <f>FW66*1.021/FR66</f>
        <v>#DIV/0!</v>
      </c>
      <c r="FZ66" s="234">
        <v>0.4</v>
      </c>
      <c r="GA66" s="153">
        <v>3890729</v>
      </c>
      <c r="GB66" s="24"/>
      <c r="GC66" s="50">
        <f>GA66/AD66</f>
        <v>46318.202380952382</v>
      </c>
      <c r="GD66" s="73">
        <f>GB66-GA66</f>
        <v>-3890729</v>
      </c>
      <c r="GE66" s="153">
        <f>6070791+1203804</f>
        <v>7274595</v>
      </c>
      <c r="GF66" s="124"/>
      <c r="GG66" s="147"/>
      <c r="GH66" s="147"/>
      <c r="GI66" s="73">
        <f>GF66-GE66</f>
        <v>-7274595</v>
      </c>
      <c r="GJ66" s="50">
        <f>GE66/AD66</f>
        <v>86602.321428571435</v>
      </c>
      <c r="GK66" s="124"/>
      <c r="GL66" s="523">
        <v>1512000</v>
      </c>
      <c r="GM66" s="24"/>
      <c r="GN66" s="124"/>
      <c r="GO66" s="76">
        <f>GL66/FQ66</f>
        <v>0.11926807266265341</v>
      </c>
      <c r="GP66" s="590"/>
      <c r="GQ66" s="124"/>
      <c r="GR66" s="51">
        <f>GM66-GL66</f>
        <v>-1512000</v>
      </c>
      <c r="GS66" s="50">
        <f>GL66/AD66</f>
        <v>18000</v>
      </c>
      <c r="GT66" s="138">
        <f>(GA66+GL66)/AD66</f>
        <v>64318.202380952382</v>
      </c>
      <c r="GU66" s="51">
        <f>GR66/AD66</f>
        <v>-18000</v>
      </c>
      <c r="GV66" s="150">
        <v>5.31</v>
      </c>
      <c r="GW66" s="150">
        <v>5.05</v>
      </c>
      <c r="GX66" s="151"/>
      <c r="GY66" s="151"/>
      <c r="GZ66" s="50">
        <f>(GA66+GL66+GY66)/AD66</f>
        <v>64318.202380952382</v>
      </c>
      <c r="HA66" s="151"/>
      <c r="HB66" s="50">
        <f>(GB66+GM66+GY66+HA66)/AD66</f>
        <v>0</v>
      </c>
      <c r="HC66" s="99">
        <f>(GA66+GL66+GY66+HA66)/(GX66+FQ66-HD66)</f>
        <v>0.42617266861681535</v>
      </c>
      <c r="HD66" s="151"/>
      <c r="HE66" s="151"/>
      <c r="HF66" s="124"/>
      <c r="HG66" s="77">
        <f>FQ66+GX66</f>
        <v>12677324</v>
      </c>
      <c r="HH66" s="491"/>
      <c r="HI66" s="491"/>
      <c r="HJ66" s="494">
        <v>42605</v>
      </c>
      <c r="HK66" s="511"/>
      <c r="HL66" s="526">
        <v>42619</v>
      </c>
      <c r="HM66" s="450">
        <f>DATE(YEAR(HL66),MONTH(HL66),DAY(HL66)+21)</f>
        <v>42640</v>
      </c>
      <c r="HN66" s="415">
        <v>42674</v>
      </c>
      <c r="HO66" s="497">
        <f>IF(AND(HM66&gt;0,HN66&gt;0),HN66-HM66,"0")</f>
        <v>34</v>
      </c>
      <c r="HP66" s="415">
        <v>42676</v>
      </c>
      <c r="HQ66" s="481">
        <f>IF(AND(HN66&gt;0,HP66&gt;0),HP66-HN66,"0")</f>
        <v>2</v>
      </c>
      <c r="HR66" s="497">
        <f>+HQ66-30</f>
        <v>-28</v>
      </c>
      <c r="HS66" s="506">
        <f>IF(AND(HL66&gt;0,HP66&gt;0),HP66-HL66,"0")</f>
        <v>57</v>
      </c>
      <c r="HT66" s="420">
        <v>42688</v>
      </c>
      <c r="HU66" s="497">
        <f>IF(AND(HP66&gt;0,HT66&gt;0),HT66-HP66,"0")</f>
        <v>12</v>
      </c>
      <c r="HV66" s="420">
        <f>DATE(YEAR(HT66),MONTH(HT66),DAY(HT66)+30)</f>
        <v>42718</v>
      </c>
      <c r="HW66" s="420">
        <v>42717</v>
      </c>
      <c r="HX66" s="497">
        <f>IF(AND(HV66&gt;0,HW66&gt;0),HW66-HV66,"0")</f>
        <v>-1</v>
      </c>
      <c r="HY66" s="206">
        <f>DATE(YEAR(HV66),MONTH(HV66),DAY(HV66)+15)</f>
        <v>42733</v>
      </c>
      <c r="HZ66" s="481">
        <f>IF(AND(HW66&gt;0,HY66&gt;0),HY66-HW66,"0")</f>
        <v>16</v>
      </c>
      <c r="IA66" s="497">
        <f>+HZ66-30</f>
        <v>-14</v>
      </c>
      <c r="IB66" s="506">
        <f>IF(AND(HT66&gt;0,HY66&gt;0),HY66-HT66,"0")</f>
        <v>45</v>
      </c>
      <c r="IC66" s="490"/>
      <c r="ID66" s="505"/>
      <c r="IE66" s="450">
        <f>DATE(YEAR(HY66),MONTH(HY66),DAY(HY66)+15)</f>
        <v>42748</v>
      </c>
      <c r="IF66" s="450">
        <f>DATE(YEAR(IE66),MONTH(IE66),DAY(IE66)+7)</f>
        <v>42755</v>
      </c>
      <c r="IG66" s="494"/>
      <c r="IH66" s="505">
        <f>$IH$1*HH66</f>
        <v>0</v>
      </c>
      <c r="II66" s="206">
        <f>DATE(YEAR(IF66),MONTH(IF66),DAY(IF66)+21)</f>
        <v>42776</v>
      </c>
      <c r="IJ66" s="497">
        <f>IF(AND(HY66&gt;0,II66&gt;0),II66-HY66,"0")</f>
        <v>43</v>
      </c>
      <c r="IK66" s="206">
        <f>DATE(YEAR(II66),MONTH(II66),DAY(II66)+30)</f>
        <v>42806</v>
      </c>
      <c r="IL66" s="206">
        <f ca="1">IF(IK66&lt;TODAY(),TODAY(),IK66)</f>
        <v>42806</v>
      </c>
      <c r="IM66" s="497">
        <f ca="1">IF(AND(IK66&gt;0,IL66&gt;0),IL66-IK66,"0")</f>
        <v>0</v>
      </c>
      <c r="IN66" s="206">
        <f>DATE(YEAR(IK66),MONTH(IK66),DAY(IK66)+30)</f>
        <v>42836</v>
      </c>
      <c r="IO66" s="481">
        <f ca="1">IF(AND(IL66&gt;0,IN66&gt;0),IN66-IL66,"0")</f>
        <v>30</v>
      </c>
      <c r="IP66" s="497">
        <f ca="1">+IO66-30</f>
        <v>0</v>
      </c>
      <c r="IQ66" s="506">
        <f>IF(AND(II66&gt;0,IN66&gt;0),IN66-II66,"0")</f>
        <v>60</v>
      </c>
      <c r="IR66" s="490"/>
      <c r="IS66" s="505">
        <f>$IS$1*HH66</f>
        <v>0</v>
      </c>
      <c r="IT66" s="206">
        <f>IN66</f>
        <v>42836</v>
      </c>
      <c r="IU66" s="498">
        <f>IF(AND(IN66&gt;0,IT66&gt;0),IT66-IN66,"0")</f>
        <v>0</v>
      </c>
      <c r="IV66" s="206">
        <f>DATE(YEAR(IT66),MONTH(IT66),DAY(IT66)+30)</f>
        <v>42866</v>
      </c>
      <c r="IW66" s="206">
        <f ca="1">IF(IV66&lt;TODAY(),TODAY(),IV66)</f>
        <v>42866</v>
      </c>
      <c r="IX66" s="498">
        <f ca="1">IF(AND(IV66&gt;0,IW66&gt;0),IW66-IV66,"0")</f>
        <v>0</v>
      </c>
      <c r="IY66" s="206">
        <f>DATE(YEAR(IV66),MONTH(IV66),DAY(IV66)+30)</f>
        <v>42896</v>
      </c>
      <c r="IZ66" s="482">
        <f ca="1">IF(AND(IW66&gt;0,IY66&gt;0),IY66-IW66,"0")</f>
        <v>30</v>
      </c>
      <c r="JA66" s="498">
        <f ca="1">IZ66-30</f>
        <v>0</v>
      </c>
      <c r="JB66" s="508">
        <f>IF(AND(IT66&gt;0,IY66&gt;0),IY66-IT66,"0")</f>
        <v>60</v>
      </c>
      <c r="JC66" s="490"/>
      <c r="JD66" s="505"/>
      <c r="JE66" s="502">
        <f>IY66</f>
        <v>42896</v>
      </c>
      <c r="JF66" s="487">
        <f>IF(AND(IY66&gt;0,JE66&gt;0),JE66-IY66,"0")</f>
        <v>0</v>
      </c>
      <c r="JG66" s="502">
        <f>DATE(YEAR(JE66),MONTH(JE66),DAY(JE66)+15)</f>
        <v>42911</v>
      </c>
      <c r="JH66" s="502">
        <f ca="1">IF(JG66&lt;TODAY(),TODAY(),JG66)</f>
        <v>42911</v>
      </c>
      <c r="JI66" s="487">
        <f ca="1">IF(AND(JG66&gt;0,JH66&gt;0),JH66-JG66,"0")</f>
        <v>0</v>
      </c>
      <c r="JJ66" s="502">
        <f ca="1">DATE(YEAR(JH66),MONTH(JH66),DAY(JH66)+45)</f>
        <v>42956</v>
      </c>
      <c r="JK66" s="502">
        <f ca="1">JJ66</f>
        <v>42956</v>
      </c>
      <c r="JL66" s="487">
        <f ca="1">IF(AND(JJ66&gt;0,JK66&gt;0),JK66-JJ66,"0")</f>
        <v>0</v>
      </c>
      <c r="JM66" s="509">
        <f ca="1">IF(AND(JE66&gt;0,JK66&gt;0),JK66-JE66,"0")</f>
        <v>60</v>
      </c>
      <c r="JN66" s="502">
        <f ca="1">DATE(YEAR(JK66),MONTH(JK66),DAY(JK66)+60)</f>
        <v>43016</v>
      </c>
      <c r="JO66" s="501">
        <f ca="1">IF(AND(JK66&gt;0,JN66&gt;0),JN66-JK66,"0")</f>
        <v>60</v>
      </c>
      <c r="JP66" s="498">
        <f ca="1">JO66-60</f>
        <v>0</v>
      </c>
      <c r="JQ66" s="482">
        <f>291/30</f>
        <v>9.6999999999999993</v>
      </c>
      <c r="JR66" s="504">
        <f ca="1">((+HS66+HU66+IB66+IJ66+IQ66+IU66+JB66+JM66+JF66)/30)-JQ66</f>
        <v>1.5333333333333332</v>
      </c>
      <c r="JS66" s="490"/>
      <c r="JT66" s="505"/>
      <c r="JU66" s="490"/>
      <c r="JV66" s="505"/>
      <c r="JW66" s="586"/>
      <c r="JX66" s="586"/>
      <c r="JY66" s="586"/>
      <c r="JZ66" s="586"/>
    </row>
    <row r="67" spans="1:286" ht="15" customHeight="1" x14ac:dyDescent="0.25">
      <c r="A67" s="146" t="s">
        <v>744</v>
      </c>
      <c r="B67" s="110" t="s">
        <v>398</v>
      </c>
      <c r="C67" s="110" t="s">
        <v>159</v>
      </c>
      <c r="D67" s="110">
        <v>2017</v>
      </c>
      <c r="E67" s="110" t="s">
        <v>714</v>
      </c>
      <c r="F67" s="110" t="s">
        <v>637</v>
      </c>
      <c r="G67" s="110" t="s">
        <v>273</v>
      </c>
      <c r="H67" s="112" t="s">
        <v>713</v>
      </c>
      <c r="I67" s="110"/>
      <c r="J67" s="110" t="s">
        <v>701</v>
      </c>
      <c r="K67" s="453" t="s">
        <v>1020</v>
      </c>
      <c r="L67" s="309"/>
      <c r="M67" s="310"/>
      <c r="N67" s="311"/>
      <c r="O67" s="379"/>
      <c r="P67" s="379"/>
      <c r="Q67" s="379"/>
      <c r="R67" s="379"/>
      <c r="S67" s="379"/>
      <c r="T67" s="387"/>
      <c r="U67" s="387"/>
      <c r="V67" s="387"/>
      <c r="W67" s="379"/>
      <c r="X67" s="380"/>
      <c r="Y67" s="381" t="e">
        <f>AH67/O67</f>
        <v>#DIV/0!</v>
      </c>
      <c r="Z67" s="380"/>
      <c r="AA67" s="380"/>
      <c r="AB67" s="381"/>
      <c r="AC67" s="110" t="s">
        <v>26</v>
      </c>
      <c r="AD67" s="342">
        <f>(AE67+AF67)</f>
        <v>21</v>
      </c>
      <c r="AE67" s="121"/>
      <c r="AF67" s="110">
        <v>21</v>
      </c>
      <c r="AG67" s="114">
        <v>1580.35</v>
      </c>
      <c r="AH67" s="152"/>
      <c r="AI67" s="114">
        <f>AH67/AD67</f>
        <v>0</v>
      </c>
      <c r="AJ67" s="135"/>
      <c r="AK67" s="135"/>
      <c r="AL67" s="135"/>
      <c r="AM67" s="135"/>
      <c r="AN67" s="135"/>
      <c r="AO67" s="114"/>
      <c r="AP67" s="133"/>
      <c r="AQ67" s="135"/>
      <c r="AR67" s="114"/>
      <c r="AS67" s="110"/>
      <c r="AT67" s="110"/>
      <c r="AU67" s="110"/>
      <c r="AV67" s="110"/>
      <c r="AW67" s="415">
        <v>42639</v>
      </c>
      <c r="AX67" s="415">
        <v>42761</v>
      </c>
      <c r="AY67" s="110"/>
      <c r="AZ67" s="415">
        <v>42691</v>
      </c>
      <c r="BA67" s="110"/>
      <c r="BB67" s="415" t="s">
        <v>810</v>
      </c>
      <c r="BC67" s="110"/>
      <c r="BD67" s="110"/>
      <c r="BE67" s="110"/>
      <c r="BF67" s="110"/>
      <c r="BG67" s="110"/>
      <c r="BH67" s="110"/>
      <c r="BI67" s="110"/>
      <c r="BJ67" s="110"/>
      <c r="BK67" s="110"/>
      <c r="BL67" s="110"/>
      <c r="BM67" s="110"/>
      <c r="BN67" s="196"/>
      <c r="BO67" s="196"/>
      <c r="BP67" s="196"/>
      <c r="BQ67" s="196"/>
      <c r="BR67" s="196"/>
      <c r="BS67" s="196"/>
      <c r="BT67" s="158"/>
      <c r="BU67" s="376"/>
      <c r="BV67" s="160"/>
      <c r="BW67" s="160"/>
      <c r="BX67" s="160"/>
      <c r="BY67" s="160"/>
      <c r="BZ67" s="376"/>
      <c r="CA67" s="160"/>
      <c r="CB67" s="302"/>
      <c r="CC67" s="374"/>
      <c r="CD67" s="302"/>
      <c r="CE67" s="302"/>
      <c r="CF67" s="161"/>
      <c r="CG67" s="336">
        <f>DATE(YEAR(CF67),MONTH(CF67)+24,DAY(CF67))</f>
        <v>731</v>
      </c>
      <c r="CH67" s="336">
        <f>DATE(YEAR(CF67),MONTH(CF67)+36,DAY(CF67))</f>
        <v>1096</v>
      </c>
      <c r="CI67" s="336"/>
      <c r="CJ67" s="302"/>
      <c r="CK67" s="308"/>
      <c r="CL67" s="161"/>
      <c r="CM67" s="371"/>
      <c r="CN67" s="161"/>
      <c r="CO67" s="161"/>
      <c r="CP67" s="162"/>
      <c r="CQ67" s="367"/>
      <c r="CR67" s="162"/>
      <c r="CS67" s="162"/>
      <c r="CT67" s="162"/>
      <c r="CU67" s="367"/>
      <c r="CV67" s="162"/>
      <c r="CW67" s="162"/>
      <c r="CX67" s="162"/>
      <c r="CY67" s="367"/>
      <c r="CZ67" s="162"/>
      <c r="DA67" s="162"/>
      <c r="DB67" s="299"/>
      <c r="DC67" s="299"/>
      <c r="DD67" s="299"/>
      <c r="DE67" s="312"/>
      <c r="DF67" s="312"/>
      <c r="DG67" s="312"/>
      <c r="DH67" s="312"/>
      <c r="DI67" s="312"/>
      <c r="DJ67" s="312"/>
      <c r="DK67" s="293"/>
      <c r="DL67" s="293"/>
      <c r="DM67" s="293"/>
      <c r="DN67" s="293"/>
      <c r="DO67" s="293"/>
      <c r="DP67" s="293"/>
      <c r="DQ67" s="443"/>
      <c r="DR67" s="443"/>
      <c r="DS67" s="443"/>
      <c r="DT67" s="298"/>
      <c r="DU67" s="443">
        <f>DATE(YEAR(DQ67),MONTH(DQ67)+18,DAY(DQ67))</f>
        <v>547</v>
      </c>
      <c r="DV67" s="443"/>
      <c r="DW67" s="443"/>
      <c r="DX67" s="423"/>
      <c r="DY67" s="423"/>
      <c r="DZ67" s="423"/>
      <c r="EA67" s="434">
        <v>43282</v>
      </c>
      <c r="EB67" s="423"/>
      <c r="EC67" s="430">
        <v>18</v>
      </c>
      <c r="ED67" s="430">
        <f>EC67+2</f>
        <v>20</v>
      </c>
      <c r="EE67" s="422">
        <f>DATEDIF(EA67,EN67,"M")</f>
        <v>18</v>
      </c>
      <c r="EF67" s="422">
        <f>DATEDIF(EA67,EV67,"M")</f>
        <v>19</v>
      </c>
      <c r="EG67" s="423">
        <f>EE67-EC67</f>
        <v>0</v>
      </c>
      <c r="EH67" s="423"/>
      <c r="EI67" s="431"/>
      <c r="EJ67" s="431"/>
      <c r="EK67" s="423"/>
      <c r="EL67" s="423"/>
      <c r="EM67" s="423"/>
      <c r="EN67" s="210">
        <f>DATE(YEAR(EA67),MONTH(EA67)+EC67,DAY(EA67))</f>
        <v>43831</v>
      </c>
      <c r="EO67" s="210">
        <f>DATE(YEAR(DV67)+2,MONTH(DV67),DAY(DV67))</f>
        <v>731</v>
      </c>
      <c r="EP67" s="423"/>
      <c r="EQ67" s="423"/>
      <c r="ER67" s="423"/>
      <c r="ES67" s="423"/>
      <c r="ET67" s="423"/>
      <c r="EU67" s="334">
        <f>DATE(YEAR(EN67),MONTH(EN67)+1,DAY(EN67))</f>
        <v>43862</v>
      </c>
      <c r="EV67" s="206">
        <f>EU67</f>
        <v>43862</v>
      </c>
      <c r="EW67" s="206"/>
      <c r="EX67" s="209"/>
      <c r="EY67" s="434"/>
      <c r="EZ67" s="212"/>
      <c r="FA67" s="212"/>
      <c r="FB67" s="212"/>
      <c r="FC67" s="212"/>
      <c r="FD67" s="110"/>
      <c r="FE67" s="110"/>
      <c r="FF67" s="110"/>
      <c r="FG67" s="110"/>
      <c r="FH67" s="110"/>
      <c r="FI67" s="110"/>
      <c r="FJ67" s="110"/>
      <c r="FK67" s="110"/>
      <c r="FL67" s="110"/>
      <c r="FM67" s="110"/>
      <c r="FN67" s="110"/>
      <c r="FO67" s="110"/>
      <c r="FP67" s="199"/>
      <c r="FQ67" s="153">
        <f>+GA67+GE67+GL67+HF67+GQ67</f>
        <v>3874931.87</v>
      </c>
      <c r="FR67" s="124">
        <f>GB67+GF67+GK67+GM67+GQ67</f>
        <v>114303</v>
      </c>
      <c r="FS67" s="154">
        <f>FR67-FQ67</f>
        <v>-3760628.87</v>
      </c>
      <c r="FT67" s="98">
        <f>FQ67/AG67</f>
        <v>2451.9453728604426</v>
      </c>
      <c r="FU67" s="98">
        <f>FQ67/AD67</f>
        <v>184520.56523809524</v>
      </c>
      <c r="FV67" s="153"/>
      <c r="FW67" s="124"/>
      <c r="FX67" s="154">
        <f>FW67-FV67</f>
        <v>0</v>
      </c>
      <c r="FY67" s="232">
        <f>FW67*1.021/FR67</f>
        <v>0</v>
      </c>
      <c r="FZ67" s="232"/>
      <c r="GA67" s="153">
        <v>1246192.3500000001</v>
      </c>
      <c r="GB67" s="124"/>
      <c r="GC67" s="98">
        <f>GA67/AD67</f>
        <v>59342.492857142861</v>
      </c>
      <c r="GD67" s="155">
        <f>GB67-GA67</f>
        <v>-1246192.3500000001</v>
      </c>
      <c r="GE67" s="153">
        <v>1810436.52</v>
      </c>
      <c r="GF67" s="124">
        <f>GG67+GH67</f>
        <v>0</v>
      </c>
      <c r="GG67" s="147"/>
      <c r="GH67" s="147"/>
      <c r="GI67" s="155">
        <f>GF67-GE67</f>
        <v>-1810436.52</v>
      </c>
      <c r="GJ67" s="98">
        <f>GE67/AD67</f>
        <v>86211.262857142865</v>
      </c>
      <c r="GK67" s="124"/>
      <c r="GL67" s="153">
        <v>504000</v>
      </c>
      <c r="GM67" s="124"/>
      <c r="GN67" s="124"/>
      <c r="GO67" s="148">
        <f>GL67/FQ67</f>
        <v>0.1300668029551704</v>
      </c>
      <c r="GP67" s="153"/>
      <c r="GQ67" s="124">
        <v>114303</v>
      </c>
      <c r="GR67" s="149">
        <f>GM67-GL67</f>
        <v>-504000</v>
      </c>
      <c r="GS67" s="50">
        <f>GL67/AD67</f>
        <v>24000</v>
      </c>
      <c r="GT67" s="138">
        <f>(GA67+GL67)/AD67</f>
        <v>83342.492857142861</v>
      </c>
      <c r="GU67" s="149">
        <f>GR67/AD67</f>
        <v>-24000</v>
      </c>
      <c r="GV67" s="150">
        <v>5.35</v>
      </c>
      <c r="GW67" s="150">
        <v>5.34</v>
      </c>
      <c r="GX67" s="151"/>
      <c r="GY67" s="151"/>
      <c r="GZ67" s="98">
        <f>(GA67+GL67+GY67)/AD67</f>
        <v>83342.492857142861</v>
      </c>
      <c r="HA67" s="151"/>
      <c r="HB67" s="98">
        <f>(GB67+GM67+GY67+HA67)/AD67</f>
        <v>0</v>
      </c>
      <c r="HC67" s="99">
        <f>(GA67+GL67+GY67+HA67)/(GX67+FQ67-HD67)</f>
        <v>0.45167048317677905</v>
      </c>
      <c r="HD67" s="151"/>
      <c r="HE67" s="151"/>
      <c r="HF67" s="124">
        <v>200000</v>
      </c>
      <c r="HG67" s="156">
        <f>FQ67+GX67</f>
        <v>3874931.87</v>
      </c>
      <c r="HH67" s="491">
        <v>181806</v>
      </c>
      <c r="HI67" s="491">
        <f>HK67+ID67+IH67</f>
        <v>45452</v>
      </c>
      <c r="HJ67" s="494">
        <v>42579</v>
      </c>
      <c r="HK67" s="491">
        <v>17147</v>
      </c>
      <c r="HL67" s="526">
        <v>42585</v>
      </c>
      <c r="HM67" s="526">
        <f>DATE(YEAR(HL67),MONTH(HL67),DAY(HL67)+21)</f>
        <v>42606</v>
      </c>
      <c r="HN67" s="420">
        <v>42605</v>
      </c>
      <c r="HO67" s="497">
        <f>IF(AND(HM67&gt;0,HN67&gt;0),HN67-HM67,"0")</f>
        <v>-1</v>
      </c>
      <c r="HP67" s="415">
        <v>42647</v>
      </c>
      <c r="HQ67" s="481">
        <f>IF(AND(HN67&gt;0,HP67&gt;0),HP67-HN67,"0")</f>
        <v>42</v>
      </c>
      <c r="HR67" s="497">
        <f>+HQ67-30</f>
        <v>12</v>
      </c>
      <c r="HS67" s="506">
        <f>IF(AND(HL67&gt;0,HP67&gt;0),HP67-HL67,"0")</f>
        <v>62</v>
      </c>
      <c r="HT67" s="415">
        <v>42653</v>
      </c>
      <c r="HU67" s="497">
        <f>IF(AND(HP67&gt;0,HT67&gt;0),HT67-HP67,"0")</f>
        <v>6</v>
      </c>
      <c r="HV67" s="415">
        <f>DATE(YEAR(HT67),MONTH(HT67),DAY(HT67)+30)</f>
        <v>42683</v>
      </c>
      <c r="HW67" s="415">
        <v>42683</v>
      </c>
      <c r="HX67" s="497">
        <f>IF(AND(HV67&gt;0,HW67&gt;0),HW67-HV67,"0")</f>
        <v>0</v>
      </c>
      <c r="HY67" s="414">
        <v>42744</v>
      </c>
      <c r="HZ67" s="481">
        <f>IF(AND(HW67&gt;0,HY67&gt;0),HY67-HW67,"0")</f>
        <v>61</v>
      </c>
      <c r="IA67" s="497">
        <f>+HZ67-30</f>
        <v>31</v>
      </c>
      <c r="IB67" s="506">
        <f>IF(AND(HT67&gt;0,HY67&gt;0),HY67-HT67,"0")</f>
        <v>91</v>
      </c>
      <c r="IC67" s="490">
        <v>42716</v>
      </c>
      <c r="ID67" s="511">
        <v>0</v>
      </c>
      <c r="IE67" s="450">
        <f>DATE(YEAR(HY67),MONTH(HY67),DAY(HY67)+15)</f>
        <v>42759</v>
      </c>
      <c r="IF67" s="450">
        <f>DATE(YEAR(IE67),MONTH(IE67),DAY(IE67)+7)</f>
        <v>42766</v>
      </c>
      <c r="IG67" s="494">
        <v>42716</v>
      </c>
      <c r="IH67" s="511">
        <v>28305</v>
      </c>
      <c r="II67" s="414">
        <v>42744</v>
      </c>
      <c r="IJ67" s="497">
        <f>IF(AND(HY67&gt;0,II67&gt;0),II67-HY67,"0")</f>
        <v>0</v>
      </c>
      <c r="IK67" s="414">
        <f>DATE(YEAR(II67),MONTH(II67),DAY(II67)+30)</f>
        <v>42774</v>
      </c>
      <c r="IL67" s="414">
        <v>42782</v>
      </c>
      <c r="IM67" s="497">
        <f>IF(AND(IK67&gt;0,IL67&gt;0),IL67-IK67,"0")</f>
        <v>8</v>
      </c>
      <c r="IN67" s="206">
        <f>DATE(YEAR(IK67),MONTH(IK67),DAY(IK67)+30)</f>
        <v>42804</v>
      </c>
      <c r="IO67" s="481">
        <f>IF(AND(IL67&gt;0,IN67&gt;0),IN67-IL67,"0")</f>
        <v>22</v>
      </c>
      <c r="IP67" s="497">
        <f>+IO67-30</f>
        <v>-8</v>
      </c>
      <c r="IQ67" s="506">
        <f>IF(AND(II67&gt;0,IN67&gt;0),IN67-II67,"0")</f>
        <v>60</v>
      </c>
      <c r="IR67" s="490"/>
      <c r="IS67" s="491">
        <f>$IS$1*HH67</f>
        <v>18180.600000000002</v>
      </c>
      <c r="IT67" s="206">
        <v>42825</v>
      </c>
      <c r="IU67" s="498">
        <f>IF(AND(IN67&gt;0,IT67&gt;0),IT67-IN67,"0")</f>
        <v>21</v>
      </c>
      <c r="IV67" s="206">
        <f>DATE(YEAR(IT67),MONTH(IT67),DAY(IT67)+30)</f>
        <v>42855</v>
      </c>
      <c r="IW67" s="206">
        <f ca="1">IF(IV67&lt;TODAY(),TODAY(),IV67)</f>
        <v>42855</v>
      </c>
      <c r="IX67" s="498">
        <f ca="1">IF(AND(IV67&gt;0,IW67&gt;0),IW67-IV67,"0")</f>
        <v>0</v>
      </c>
      <c r="IY67" s="206">
        <f>DATE(YEAR(IV67),MONTH(IV67),DAY(IV67)+30)</f>
        <v>42885</v>
      </c>
      <c r="IZ67" s="482">
        <f ca="1">IF(AND(IW67&gt;0,IY67&gt;0),IY67-IW67,"0")</f>
        <v>30</v>
      </c>
      <c r="JA67" s="498">
        <f ca="1">IZ67-30</f>
        <v>0</v>
      </c>
      <c r="JB67" s="508">
        <f>IF(AND(IT67&gt;0,IY67&gt;0),IY67-IT67,"0")</f>
        <v>60</v>
      </c>
      <c r="JC67" s="490"/>
      <c r="JD67" s="505">
        <f>$JD$1*$HH$65</f>
        <v>34029.599999999999</v>
      </c>
      <c r="JE67" s="502">
        <f>IY67</f>
        <v>42885</v>
      </c>
      <c r="JF67" s="487">
        <f>IF(AND(IY67&gt;0,JE67&gt;0),JE67-IY67,"0")</f>
        <v>0</v>
      </c>
      <c r="JG67" s="502">
        <f>DATE(YEAR(JE67),MONTH(JE67),DAY(JE67)+15)</f>
        <v>42900</v>
      </c>
      <c r="JH67" s="502">
        <f ca="1">IF(JG67&lt;TODAY(),TODAY(),JG67)</f>
        <v>42900</v>
      </c>
      <c r="JI67" s="487">
        <f ca="1">IF(AND(JG67&gt;0,JH67&gt;0),JH67-JG67,"0")</f>
        <v>0</v>
      </c>
      <c r="JJ67" s="502">
        <f ca="1">DATE(YEAR(JH67),MONTH(JH67),DAY(JH67)+45)</f>
        <v>42945</v>
      </c>
      <c r="JK67" s="502">
        <f ca="1">JJ67</f>
        <v>42945</v>
      </c>
      <c r="JL67" s="487">
        <f ca="1">IF(AND(JJ67&gt;0,JK67&gt;0),JK67-JJ67,"0")</f>
        <v>0</v>
      </c>
      <c r="JM67" s="509">
        <f ca="1">IF(AND(JE67&gt;0,JK67&gt;0),JK67-JE67,"0")</f>
        <v>60</v>
      </c>
      <c r="JN67" s="502">
        <f ca="1">DATE(YEAR(JK67),MONTH(JK67),DAY(JK67)+60)</f>
        <v>43005</v>
      </c>
      <c r="JO67" s="501">
        <f ca="1">IF(AND(JK67&gt;0,JN67&gt;0),JN67-JK67,"0")</f>
        <v>60</v>
      </c>
      <c r="JP67" s="498">
        <f ca="1">JO67-60</f>
        <v>0</v>
      </c>
      <c r="JQ67" s="482">
        <f>291/30</f>
        <v>9.6999999999999993</v>
      </c>
      <c r="JR67" s="504">
        <f ca="1">((+HS67+HU67+IB67+IJ67+IQ67+IU67+JB67+JM67+JF67)/30)-JQ67</f>
        <v>2.3000000000000007</v>
      </c>
      <c r="JS67" s="490"/>
      <c r="JT67" s="505"/>
      <c r="JU67" s="490"/>
      <c r="JV67" s="505"/>
      <c r="JW67" s="586"/>
      <c r="JX67" s="586"/>
      <c r="JY67" s="586"/>
      <c r="JZ67" s="586"/>
    </row>
    <row r="68" spans="1:286" ht="15" customHeight="1" x14ac:dyDescent="0.25">
      <c r="A68" s="146" t="s">
        <v>574</v>
      </c>
      <c r="B68" s="110" t="s">
        <v>217</v>
      </c>
      <c r="C68" s="110" t="s">
        <v>159</v>
      </c>
      <c r="D68" s="110">
        <v>2017</v>
      </c>
      <c r="E68" s="110"/>
      <c r="F68" s="110"/>
      <c r="G68" s="110"/>
      <c r="H68" s="110"/>
      <c r="I68" s="110"/>
      <c r="J68" s="110" t="s">
        <v>562</v>
      </c>
      <c r="K68" s="453"/>
      <c r="L68" s="309"/>
      <c r="M68" s="310"/>
      <c r="N68" s="311"/>
      <c r="O68" s="379"/>
      <c r="P68" s="379"/>
      <c r="Q68" s="379"/>
      <c r="R68" s="379"/>
      <c r="S68" s="379"/>
      <c r="T68" s="387"/>
      <c r="U68" s="387"/>
      <c r="V68" s="387"/>
      <c r="W68" s="379"/>
      <c r="X68" s="380"/>
      <c r="Y68" s="381" t="e">
        <f>AH68/O68</f>
        <v>#DIV/0!</v>
      </c>
      <c r="Z68" s="380"/>
      <c r="AA68" s="380"/>
      <c r="AB68" s="381"/>
      <c r="AC68" s="111" t="s">
        <v>26</v>
      </c>
      <c r="AD68" s="640">
        <f>(AE68+AF68)</f>
        <v>59</v>
      </c>
      <c r="AE68" s="121"/>
      <c r="AF68" s="110">
        <f>59</f>
        <v>59</v>
      </c>
      <c r="AG68" s="114">
        <v>3438.3249999999998</v>
      </c>
      <c r="AH68" s="152"/>
      <c r="AI68" s="114">
        <f>AH68/AD68</f>
        <v>0</v>
      </c>
      <c r="AJ68" s="135"/>
      <c r="AK68" s="135"/>
      <c r="AL68" s="135"/>
      <c r="AM68" s="135"/>
      <c r="AN68" s="135"/>
      <c r="AO68" s="114"/>
      <c r="AP68" s="133"/>
      <c r="AQ68" s="135"/>
      <c r="AR68" s="114"/>
      <c r="AS68" s="110"/>
      <c r="AT68" s="110"/>
      <c r="AU68" s="110"/>
      <c r="AV68" s="110"/>
      <c r="AW68" s="332">
        <v>42297</v>
      </c>
      <c r="AX68" s="415">
        <v>42396</v>
      </c>
      <c r="AY68" s="110"/>
      <c r="AZ68" s="110"/>
      <c r="BA68" s="110"/>
      <c r="BB68" s="110"/>
      <c r="BC68" s="110"/>
      <c r="BD68" s="110"/>
      <c r="BE68" s="110"/>
      <c r="BF68" s="110"/>
      <c r="BG68" s="110"/>
      <c r="BH68" s="110"/>
      <c r="BI68" s="110"/>
      <c r="BJ68" s="110"/>
      <c r="BK68" s="110"/>
      <c r="BL68" s="110"/>
      <c r="BM68" s="110"/>
      <c r="BN68" s="196"/>
      <c r="BO68" s="196"/>
      <c r="BP68" s="196"/>
      <c r="BQ68" s="196"/>
      <c r="BR68" s="196"/>
      <c r="BS68" s="196"/>
      <c r="BT68" s="158"/>
      <c r="BU68" s="376"/>
      <c r="BV68" s="160"/>
      <c r="BW68" s="160"/>
      <c r="BX68" s="160"/>
      <c r="BY68" s="160"/>
      <c r="BZ68" s="376"/>
      <c r="CA68" s="160"/>
      <c r="CB68" s="302"/>
      <c r="CC68" s="374"/>
      <c r="CD68" s="302"/>
      <c r="CE68" s="302"/>
      <c r="CF68" s="161"/>
      <c r="CG68" s="336">
        <f>DATE(YEAR(CF68),MONTH(CF68)+24,DAY(CF68))</f>
        <v>731</v>
      </c>
      <c r="CH68" s="336">
        <f>DATE(YEAR(CF68),MONTH(CF68)+36,DAY(CF68))</f>
        <v>1096</v>
      </c>
      <c r="CI68" s="336"/>
      <c r="CJ68" s="302"/>
      <c r="CK68" s="308"/>
      <c r="CL68" s="161"/>
      <c r="CM68" s="371"/>
      <c r="CN68" s="161"/>
      <c r="CO68" s="161"/>
      <c r="CP68" s="162"/>
      <c r="CQ68" s="367"/>
      <c r="CR68" s="162"/>
      <c r="CS68" s="162"/>
      <c r="CT68" s="162"/>
      <c r="CU68" s="367"/>
      <c r="CV68" s="162"/>
      <c r="CW68" s="162"/>
      <c r="CX68" s="162"/>
      <c r="CY68" s="367"/>
      <c r="CZ68" s="162"/>
      <c r="DA68" s="162"/>
      <c r="DB68" s="299"/>
      <c r="DC68" s="299"/>
      <c r="DD68" s="299"/>
      <c r="DE68" s="312"/>
      <c r="DF68" s="312"/>
      <c r="DG68" s="312"/>
      <c r="DH68" s="312"/>
      <c r="DI68" s="312"/>
      <c r="DJ68" s="312"/>
      <c r="DK68" s="293"/>
      <c r="DL68" s="293"/>
      <c r="DM68" s="293"/>
      <c r="DN68" s="293"/>
      <c r="DO68" s="293"/>
      <c r="DP68" s="293"/>
      <c r="DQ68" s="443"/>
      <c r="DR68" s="443"/>
      <c r="DS68" s="443"/>
      <c r="DT68" s="298"/>
      <c r="DU68" s="443"/>
      <c r="DV68" s="443"/>
      <c r="DW68" s="443"/>
      <c r="DX68" s="423"/>
      <c r="DY68" s="423"/>
      <c r="DZ68" s="423"/>
      <c r="EA68" s="434">
        <v>43497</v>
      </c>
      <c r="EB68" s="423"/>
      <c r="EC68" s="430">
        <v>16</v>
      </c>
      <c r="ED68" s="430">
        <f>EC68+2</f>
        <v>18</v>
      </c>
      <c r="EE68" s="422">
        <f>DATEDIF(EA68,EN68,"M")</f>
        <v>16</v>
      </c>
      <c r="EF68" s="422">
        <f>DATEDIF(EA68,EV68,"M")</f>
        <v>17</v>
      </c>
      <c r="EG68" s="422">
        <f>EE68-EC68</f>
        <v>0</v>
      </c>
      <c r="EH68" s="422"/>
      <c r="EI68" s="431"/>
      <c r="EJ68" s="431"/>
      <c r="EK68" s="423"/>
      <c r="EL68" s="423"/>
      <c r="EM68" s="423"/>
      <c r="EN68" s="210">
        <f>DATE(YEAR(EA68),MONTH(EA68)+EC68,DAY(EA68))</f>
        <v>43983</v>
      </c>
      <c r="EO68" s="210">
        <f>DATE(YEAR(DV68)+2,MONTH(DV68),DAY(DV68))</f>
        <v>731</v>
      </c>
      <c r="EP68" s="423"/>
      <c r="EQ68" s="423"/>
      <c r="ER68" s="423"/>
      <c r="ES68" s="423"/>
      <c r="ET68" s="423"/>
      <c r="EU68" s="210">
        <f>DATE(YEAR(EN68),MONTH(EN68)+1,DAY(EN68))</f>
        <v>44013</v>
      </c>
      <c r="EV68" s="206">
        <f>EU68</f>
        <v>44013</v>
      </c>
      <c r="EW68" s="206"/>
      <c r="EX68" s="206"/>
      <c r="EY68" s="434"/>
      <c r="EZ68" s="212"/>
      <c r="FA68" s="212"/>
      <c r="FB68" s="212"/>
      <c r="FC68" s="212"/>
      <c r="FD68" s="110"/>
      <c r="FE68" s="110"/>
      <c r="FF68" s="110"/>
      <c r="FG68" s="110"/>
      <c r="FH68" s="110"/>
      <c r="FI68" s="110"/>
      <c r="FJ68" s="110"/>
      <c r="FK68" s="110"/>
      <c r="FL68" s="110"/>
      <c r="FM68" s="110"/>
      <c r="FN68" s="110"/>
      <c r="FO68" s="110"/>
      <c r="FP68" s="199"/>
      <c r="FQ68" s="153">
        <f>+GA68+GE68+GL68+HF68+GQ68</f>
        <v>7116741.2516585328</v>
      </c>
      <c r="FR68" s="124">
        <f>GB68+GF68+GK68+GM68+GQ68</f>
        <v>0</v>
      </c>
      <c r="FS68" s="154">
        <f>FR68-FQ68</f>
        <v>-7116741.2516585328</v>
      </c>
      <c r="FT68" s="98">
        <f>FQ68/AG68</f>
        <v>2069.8279690426393</v>
      </c>
      <c r="FU68" s="98">
        <f>FQ68/AD68</f>
        <v>120622.73307895818</v>
      </c>
      <c r="FV68" s="153"/>
      <c r="FW68" s="124"/>
      <c r="FX68" s="154">
        <f>FW68-FV68</f>
        <v>0</v>
      </c>
      <c r="FY68" s="232" t="e">
        <f>FW68*1.021/FR68</f>
        <v>#DIV/0!</v>
      </c>
      <c r="FZ68" s="234"/>
      <c r="GA68" s="153">
        <v>2026406.2043719999</v>
      </c>
      <c r="GB68" s="124"/>
      <c r="GC68" s="98">
        <f>GA68/AD68</f>
        <v>34345.867870711867</v>
      </c>
      <c r="GD68" s="155"/>
      <c r="GE68" s="153">
        <v>4116835.0472865333</v>
      </c>
      <c r="GF68" s="124"/>
      <c r="GG68" s="147"/>
      <c r="GH68" s="147"/>
      <c r="GI68" s="155">
        <f>GF68-GE68</f>
        <v>-4116835.0472865333</v>
      </c>
      <c r="GJ68" s="98">
        <f>GE68/AD68</f>
        <v>69776.865208246323</v>
      </c>
      <c r="GK68" s="124"/>
      <c r="GL68" s="153">
        <v>973500</v>
      </c>
      <c r="GM68" s="124"/>
      <c r="GN68" s="124"/>
      <c r="GO68" s="148">
        <f>GL68/FQ68</f>
        <v>0.13679013548133834</v>
      </c>
      <c r="GP68" s="153"/>
      <c r="GQ68" s="124"/>
      <c r="GR68" s="149">
        <f>GM68-GL68</f>
        <v>-973500</v>
      </c>
      <c r="GS68" s="50">
        <f>GL68/AD68</f>
        <v>16500</v>
      </c>
      <c r="GT68" s="138">
        <f>(GA68+GL68)/AD68</f>
        <v>50845.867870711867</v>
      </c>
      <c r="GU68" s="149">
        <f>GR68/AD68</f>
        <v>-16500</v>
      </c>
      <c r="GV68" s="150"/>
      <c r="GW68" s="150"/>
      <c r="GX68" s="151"/>
      <c r="GY68" s="151"/>
      <c r="GZ68" s="98">
        <f>(GA68+GL68+GY68)/AD68</f>
        <v>50845.867870711867</v>
      </c>
      <c r="HA68" s="151"/>
      <c r="HB68" s="98">
        <f>(GB68+GM68+GY68+HA68)/AD68</f>
        <v>0</v>
      </c>
      <c r="HC68" s="99">
        <f>(GA68+GL68+GY68+HA68)/(GX68+FQ68-HD68)</f>
        <v>0.42152806998187292</v>
      </c>
      <c r="HD68" s="151"/>
      <c r="HE68" s="151"/>
      <c r="HF68" s="124"/>
      <c r="HG68" s="156">
        <f>FQ68+GX68</f>
        <v>7116741.2516585328</v>
      </c>
      <c r="HH68" s="491"/>
      <c r="HI68" s="491"/>
      <c r="HJ68" s="494"/>
      <c r="HK68" s="491"/>
      <c r="HL68" s="477"/>
      <c r="HM68" s="477">
        <f>DATE(YEAR(HL68),MONTH(HL68),DAY(HL68)+21)</f>
        <v>21</v>
      </c>
      <c r="HN68" s="477"/>
      <c r="HO68" s="497" t="str">
        <f>IF(AND(HM68&gt;0,HN68&gt;0),HN68-HM68,"0")</f>
        <v>0</v>
      </c>
      <c r="HP68" s="477"/>
      <c r="HQ68" s="481" t="str">
        <f>IF(AND(HN68&gt;0,HP68&gt;0),HP68-HN68,"0")</f>
        <v>0</v>
      </c>
      <c r="HR68" s="497">
        <f>+HQ68-30</f>
        <v>-30</v>
      </c>
      <c r="HS68" s="506" t="str">
        <f>IF(AND(HL68&gt;0,HP68&gt;0),HP68-HL68,"0")</f>
        <v>0</v>
      </c>
      <c r="HT68" s="477"/>
      <c r="HU68" s="497" t="str">
        <f>IF(AND(HP68&gt;0,HT68&gt;0),HT68-HP68,"0")</f>
        <v>0</v>
      </c>
      <c r="HV68" s="477">
        <f>DATE(YEAR(HT68),MONTH(HT68),DAY(HT68)+21)</f>
        <v>21</v>
      </c>
      <c r="HW68" s="477"/>
      <c r="HX68" s="497" t="str">
        <f>IF(AND(HV68&gt;0,HW68&gt;0),HW68-HV68,"0")</f>
        <v>0</v>
      </c>
      <c r="HY68" s="476"/>
      <c r="HZ68" s="481" t="str">
        <f>IF(AND(HW68&gt;0,HY68&gt;0),HY68-HW68,"0")</f>
        <v>0</v>
      </c>
      <c r="IA68" s="497">
        <f>+HZ68-30</f>
        <v>-30</v>
      </c>
      <c r="IB68" s="506" t="str">
        <f>IF(AND(HT68&gt;0,HY68&gt;0),HY68-HT68,"0")</f>
        <v>0</v>
      </c>
      <c r="IC68" s="490"/>
      <c r="ID68" s="491"/>
      <c r="IE68" s="477"/>
      <c r="IF68" s="477"/>
      <c r="IG68" s="494"/>
      <c r="IH68" s="491"/>
      <c r="II68" s="478"/>
      <c r="IJ68" s="497" t="str">
        <f>IF(AND(HY68&gt;0,II68&gt;0),II68-HY68,"0")</f>
        <v>0</v>
      </c>
      <c r="IK68" s="478"/>
      <c r="IL68" s="478">
        <f ca="1">IF(IK68&lt;TODAY(),TODAY(),IK68)</f>
        <v>42789</v>
      </c>
      <c r="IM68" s="497" t="str">
        <f ca="1">IF(AND(IK68&gt;0,IL68&gt;0),IL68-IK68,"0")</f>
        <v>0</v>
      </c>
      <c r="IN68" s="478"/>
      <c r="IO68" s="481" t="str">
        <f ca="1">IF(AND(IL68&gt;0,IN68&gt;0),IN68-IL68,"0")</f>
        <v>0</v>
      </c>
      <c r="IP68" s="497">
        <f ca="1">+IO68-30</f>
        <v>-30</v>
      </c>
      <c r="IQ68" s="506" t="str">
        <f>IF(AND(II68&gt;0,IN68&gt;0),IN68-II68,"0")</f>
        <v>0</v>
      </c>
      <c r="IR68" s="490"/>
      <c r="IS68" s="491"/>
      <c r="IT68" s="478"/>
      <c r="IU68" s="498" t="str">
        <f>IF(AND(IN68&gt;0,IT68&gt;0),IT68-IN68,"0")</f>
        <v>0</v>
      </c>
      <c r="IV68" s="478"/>
      <c r="IW68" s="478"/>
      <c r="IX68" s="498" t="str">
        <f>IF(AND(IV68&gt;0,IW68&gt;0),IW68-IV68,"0")</f>
        <v>0</v>
      </c>
      <c r="IY68" s="478"/>
      <c r="IZ68" s="482" t="str">
        <f>IF(AND(IW68&gt;0,IY68&gt;0),IY68-IW68,"0")</f>
        <v>0</v>
      </c>
      <c r="JA68" s="498">
        <f>IZ68-30</f>
        <v>-30</v>
      </c>
      <c r="JB68" s="508" t="str">
        <f>IF(AND(IT68&gt;0,IY68&gt;0),IY68-IT68,"0")</f>
        <v>0</v>
      </c>
      <c r="JC68" s="490"/>
      <c r="JD68" s="491"/>
      <c r="JE68" s="212"/>
      <c r="JF68" s="487" t="str">
        <f>IF(AND(IY68&gt;0,JE68&gt;0),JE68-IY68,"0")</f>
        <v>0</v>
      </c>
      <c r="JG68" s="212">
        <f>DATE(YEAR(JE68),MONTH(JE68),DAY(JE68)+15)</f>
        <v>15</v>
      </c>
      <c r="JH68" s="212">
        <f ca="1">TODAY()</f>
        <v>42789</v>
      </c>
      <c r="JI68" s="487">
        <f ca="1">IF(AND(JG68&gt;0,JH68&gt;0),JH68-JG68,"0")</f>
        <v>42774</v>
      </c>
      <c r="JJ68" s="212">
        <f ca="1">DATE(YEAR(JH68),MONTH(JH68),DAY(JH68)+15)</f>
        <v>42804</v>
      </c>
      <c r="JK68" s="212"/>
      <c r="JL68" s="487" t="str">
        <f ca="1">IF(AND(JJ68&gt;0,JK68&gt;0),JK68-JJ68,"0")</f>
        <v>0</v>
      </c>
      <c r="JM68" s="509" t="str">
        <f>IF(AND(JE68&gt;0,JK68&gt;0),JK68-JE68,"0")</f>
        <v>0</v>
      </c>
      <c r="JN68" s="212">
        <f>DATE(YEAR(JK68),MONTH(JK68),DAY(JK68)+60)</f>
        <v>60</v>
      </c>
      <c r="JO68" s="501" t="str">
        <f>IF(AND(JK68&gt;0,JN68&gt;0),JN68-JK68,"0")</f>
        <v>0</v>
      </c>
      <c r="JP68" s="498">
        <f>JO68-60</f>
        <v>-60</v>
      </c>
      <c r="JQ68" s="482">
        <f>291/30</f>
        <v>9.6999999999999993</v>
      </c>
      <c r="JR68" s="504">
        <f>((+HS68+HU68+IB68+IJ68+IQ68+IU68+JB68+JM68+JF68)/30)-JQ68</f>
        <v>-9.6999999999999993</v>
      </c>
      <c r="JS68" s="490"/>
      <c r="JT68" s="505"/>
      <c r="JU68" s="490"/>
      <c r="JV68" s="505"/>
      <c r="JW68" s="586"/>
      <c r="JX68" s="586"/>
      <c r="JY68" s="586"/>
      <c r="JZ68" s="586"/>
    </row>
    <row r="69" spans="1:286" ht="15" hidden="1" customHeight="1" x14ac:dyDescent="0.25">
      <c r="A69" s="146" t="s">
        <v>869</v>
      </c>
      <c r="B69" s="110" t="s">
        <v>62</v>
      </c>
      <c r="C69" s="110" t="s">
        <v>158</v>
      </c>
      <c r="D69" s="110">
        <v>2018</v>
      </c>
      <c r="E69" s="110"/>
      <c r="F69" s="110"/>
      <c r="G69" s="110"/>
      <c r="H69" s="110"/>
      <c r="I69" s="110"/>
      <c r="J69" s="110" t="s">
        <v>568</v>
      </c>
      <c r="K69" s="453"/>
      <c r="L69" s="309"/>
      <c r="M69" s="310"/>
      <c r="N69" s="311"/>
      <c r="O69" s="379"/>
      <c r="P69" s="379"/>
      <c r="Q69" s="379"/>
      <c r="R69" s="379"/>
      <c r="S69" s="379"/>
      <c r="T69" s="387"/>
      <c r="U69" s="387"/>
      <c r="V69" s="387"/>
      <c r="W69" s="379"/>
      <c r="X69" s="380"/>
      <c r="Y69" s="381" t="e">
        <f>AH69/O69</f>
        <v>#DIV/0!</v>
      </c>
      <c r="Z69" s="380"/>
      <c r="AA69" s="380"/>
      <c r="AB69" s="381"/>
      <c r="AC69" s="111" t="s">
        <v>26</v>
      </c>
      <c r="AD69" s="640">
        <v>0</v>
      </c>
      <c r="AE69" s="121"/>
      <c r="AF69" s="110">
        <f>48</f>
        <v>48</v>
      </c>
      <c r="AG69" s="114">
        <v>3960</v>
      </c>
      <c r="AH69" s="152"/>
      <c r="AI69" s="114" t="e">
        <f>AH69/AD69</f>
        <v>#DIV/0!</v>
      </c>
      <c r="AJ69" s="135"/>
      <c r="AK69" s="135"/>
      <c r="AL69" s="135"/>
      <c r="AM69" s="135"/>
      <c r="AN69" s="135"/>
      <c r="AO69" s="114"/>
      <c r="AP69" s="133"/>
      <c r="AQ69" s="135"/>
      <c r="AR69" s="114"/>
      <c r="AS69" s="110"/>
      <c r="AT69" s="110"/>
      <c r="AU69" s="110"/>
      <c r="AV69" s="110"/>
      <c r="AW69" s="332"/>
      <c r="AX69" s="415"/>
      <c r="AY69" s="110"/>
      <c r="AZ69" s="110"/>
      <c r="BA69" s="110"/>
      <c r="BB69" s="110"/>
      <c r="BC69" s="110"/>
      <c r="BD69" s="110"/>
      <c r="BE69" s="110"/>
      <c r="BF69" s="110"/>
      <c r="BG69" s="110"/>
      <c r="BH69" s="110"/>
      <c r="BI69" s="110"/>
      <c r="BJ69" s="110"/>
      <c r="BK69" s="110"/>
      <c r="BL69" s="110"/>
      <c r="BM69" s="110"/>
      <c r="BN69" s="196"/>
      <c r="BO69" s="196"/>
      <c r="BP69" s="196"/>
      <c r="BQ69" s="196"/>
      <c r="BR69" s="196"/>
      <c r="BS69" s="196"/>
      <c r="BT69" s="158"/>
      <c r="BU69" s="376"/>
      <c r="BV69" s="160"/>
      <c r="BW69" s="160"/>
      <c r="BX69" s="160"/>
      <c r="BY69" s="160"/>
      <c r="BZ69" s="376"/>
      <c r="CA69" s="160"/>
      <c r="CB69" s="302"/>
      <c r="CC69" s="374"/>
      <c r="CD69" s="302"/>
      <c r="CE69" s="302"/>
      <c r="CF69" s="161"/>
      <c r="CG69" s="336">
        <f>DATE(YEAR(CF69),MONTH(CF69)+24,DAY(CF69))</f>
        <v>731</v>
      </c>
      <c r="CH69" s="336">
        <f>DATE(YEAR(CF69),MONTH(CF69)+36,DAY(CF69))</f>
        <v>1096</v>
      </c>
      <c r="CI69" s="336"/>
      <c r="CJ69" s="302"/>
      <c r="CK69" s="308"/>
      <c r="CL69" s="161"/>
      <c r="CM69" s="371"/>
      <c r="CN69" s="161"/>
      <c r="CO69" s="161"/>
      <c r="CP69" s="162"/>
      <c r="CQ69" s="367"/>
      <c r="CR69" s="162"/>
      <c r="CS69" s="162"/>
      <c r="CT69" s="162"/>
      <c r="CU69" s="367"/>
      <c r="CV69" s="162"/>
      <c r="CW69" s="162"/>
      <c r="CX69" s="162"/>
      <c r="CY69" s="367"/>
      <c r="CZ69" s="162"/>
      <c r="DA69" s="162"/>
      <c r="DB69" s="299"/>
      <c r="DC69" s="299"/>
      <c r="DD69" s="299"/>
      <c r="DE69" s="312"/>
      <c r="DF69" s="312"/>
      <c r="DG69" s="312"/>
      <c r="DH69" s="312"/>
      <c r="DI69" s="312"/>
      <c r="DJ69" s="312"/>
      <c r="DK69" s="293"/>
      <c r="DL69" s="293"/>
      <c r="DM69" s="293"/>
      <c r="DN69" s="293"/>
      <c r="DO69" s="293"/>
      <c r="DP69" s="293"/>
      <c r="DQ69" s="443"/>
      <c r="DR69" s="443"/>
      <c r="DS69" s="443"/>
      <c r="DT69" s="298"/>
      <c r="DU69" s="443"/>
      <c r="DV69" s="443"/>
      <c r="DW69" s="443"/>
      <c r="DX69" s="423"/>
      <c r="DY69" s="423"/>
      <c r="DZ69" s="423"/>
      <c r="EA69" s="434">
        <v>43497</v>
      </c>
      <c r="EB69" s="423"/>
      <c r="EC69" s="430">
        <v>16</v>
      </c>
      <c r="ED69" s="430">
        <f>EC69+2</f>
        <v>18</v>
      </c>
      <c r="EE69" s="422">
        <f>DATEDIF(EA69,EN69,"M")</f>
        <v>16</v>
      </c>
      <c r="EF69" s="422">
        <f>DATEDIF(EA69,EV69,"M")</f>
        <v>17</v>
      </c>
      <c r="EG69" s="422">
        <f>EE69-EC69</f>
        <v>0</v>
      </c>
      <c r="EH69" s="422"/>
      <c r="EI69" s="431"/>
      <c r="EJ69" s="431"/>
      <c r="EK69" s="423"/>
      <c r="EL69" s="423"/>
      <c r="EM69" s="423"/>
      <c r="EN69" s="210">
        <f>DATE(YEAR(EA69),MONTH(EA69)+EC69,DAY(EA69))</f>
        <v>43983</v>
      </c>
      <c r="EO69" s="210">
        <f>DATE(YEAR(DV69)+2,MONTH(DV69),DAY(DV69))</f>
        <v>731</v>
      </c>
      <c r="EP69" s="423"/>
      <c r="EQ69" s="423"/>
      <c r="ER69" s="423"/>
      <c r="ES69" s="423"/>
      <c r="ET69" s="423"/>
      <c r="EU69" s="210">
        <f>DATE(YEAR(EN69),MONTH(EN69)+1,DAY(EN69))</f>
        <v>44013</v>
      </c>
      <c r="EV69" s="206">
        <f>EU69</f>
        <v>44013</v>
      </c>
      <c r="EW69" s="206"/>
      <c r="EX69" s="206"/>
      <c r="EY69" s="434"/>
      <c r="EZ69" s="212"/>
      <c r="FA69" s="212"/>
      <c r="FB69" s="212"/>
      <c r="FC69" s="212"/>
      <c r="FD69" s="110"/>
      <c r="FE69" s="110"/>
      <c r="FF69" s="110"/>
      <c r="FG69" s="110"/>
      <c r="FH69" s="110"/>
      <c r="FI69" s="110"/>
      <c r="FJ69" s="110"/>
      <c r="FK69" s="110"/>
      <c r="FL69" s="110"/>
      <c r="FM69" s="110"/>
      <c r="FN69" s="110"/>
      <c r="FO69" s="110"/>
      <c r="FP69" s="199"/>
      <c r="FQ69" s="153">
        <f>+GA69+GE69+GL69+HF69+GQ69</f>
        <v>960000</v>
      </c>
      <c r="FR69" s="124">
        <f>GB69+GF69+GK69+GM69+GQ69</f>
        <v>0</v>
      </c>
      <c r="FS69" s="25">
        <f>FR69-FQ69</f>
        <v>-960000</v>
      </c>
      <c r="FT69" s="98">
        <f>FQ69/AG69</f>
        <v>242.42424242424244</v>
      </c>
      <c r="FU69" s="50" t="e">
        <f>FQ69/AD69</f>
        <v>#DIV/0!</v>
      </c>
      <c r="FV69" s="153"/>
      <c r="FW69" s="124"/>
      <c r="FX69" s="25">
        <f>FW69-FV69</f>
        <v>0</v>
      </c>
      <c r="FY69" s="232" t="e">
        <f>FW69*1.021/FR69</f>
        <v>#DIV/0!</v>
      </c>
      <c r="FZ69" s="234"/>
      <c r="GA69" s="153"/>
      <c r="GB69" s="124"/>
      <c r="GC69" s="50" t="e">
        <f>GA69/AD69</f>
        <v>#DIV/0!</v>
      </c>
      <c r="GD69" s="73">
        <f>GB69-GA69</f>
        <v>0</v>
      </c>
      <c r="GE69" s="153"/>
      <c r="GF69" s="124">
        <f>GE69</f>
        <v>0</v>
      </c>
      <c r="GG69" s="147"/>
      <c r="GH69" s="147"/>
      <c r="GI69" s="73">
        <f>GF69-GE69</f>
        <v>0</v>
      </c>
      <c r="GJ69" s="50" t="e">
        <f>GE69/AD69</f>
        <v>#DIV/0!</v>
      </c>
      <c r="GK69" s="124"/>
      <c r="GL69" s="153">
        <f>20000*48</f>
        <v>960000</v>
      </c>
      <c r="GM69" s="124"/>
      <c r="GN69" s="124"/>
      <c r="GO69" s="76">
        <f>GL69/FQ69</f>
        <v>1</v>
      </c>
      <c r="GP69" s="153"/>
      <c r="GQ69" s="124"/>
      <c r="GR69" s="51">
        <f>GM69-GL69</f>
        <v>-960000</v>
      </c>
      <c r="GS69" s="50" t="e">
        <f>GL69/AD69</f>
        <v>#DIV/0!</v>
      </c>
      <c r="GT69" s="138" t="e">
        <f>(GA69+GL69)/AD69</f>
        <v>#DIV/0!</v>
      </c>
      <c r="GU69" s="51" t="e">
        <f>GR69/AD69</f>
        <v>#DIV/0!</v>
      </c>
      <c r="GV69" s="150"/>
      <c r="GW69" s="150"/>
      <c r="GX69" s="151"/>
      <c r="GY69" s="151"/>
      <c r="GZ69" s="50" t="e">
        <f>(GA69+GL69+GY69)/AD69</f>
        <v>#DIV/0!</v>
      </c>
      <c r="HA69" s="151"/>
      <c r="HB69" s="50" t="e">
        <f>(GB69+GM69+GY69+HA69)/AD69</f>
        <v>#DIV/0!</v>
      </c>
      <c r="HC69" s="99">
        <f>(GA69+GL69+GY69+HA69)/(GX69+FQ69-HD69)</f>
        <v>1</v>
      </c>
      <c r="HD69" s="151"/>
      <c r="HE69" s="151"/>
      <c r="HF69" s="124"/>
      <c r="HG69" s="77">
        <f>FQ69+GX69</f>
        <v>960000</v>
      </c>
      <c r="HH69" s="491"/>
      <c r="HI69" s="491"/>
      <c r="HJ69" s="494"/>
      <c r="HK69" s="505">
        <f>$HK$1*HH69</f>
        <v>0</v>
      </c>
      <c r="HL69" s="450">
        <f ca="1">TODAY()</f>
        <v>42789</v>
      </c>
      <c r="HM69" s="450">
        <f ca="1">DATE(YEAR(HL69),MONTH(HL69),DAY(HL69)+21)</f>
        <v>42810</v>
      </c>
      <c r="HN69" s="464">
        <f ca="1">IF(HM69&lt;TODAY(),TODAY(),HM69)</f>
        <v>42810</v>
      </c>
      <c r="HO69" s="497">
        <f ca="1">IF(AND(HM69&gt;0,HN69&gt;0),HN69-HM69,"0")</f>
        <v>0</v>
      </c>
      <c r="HP69" s="464">
        <f ca="1">DATE(YEAR(HL69),MONTH(HL69),DAY(HL69)+21)</f>
        <v>42810</v>
      </c>
      <c r="HQ69" s="481">
        <f ca="1">IF(AND(HN69&gt;0,HP69&gt;0),HP69-HN69,"0")</f>
        <v>0</v>
      </c>
      <c r="HR69" s="497">
        <f ca="1">+HQ69-30</f>
        <v>-30</v>
      </c>
      <c r="HS69" s="506">
        <f ca="1">IF(AND(HL69&gt;0,HP69&gt;0),HP69-HL69,"0")</f>
        <v>21</v>
      </c>
      <c r="HT69" s="450">
        <f ca="1">DATE(YEAR(HP69),MONTH(HP69),DAY(HP69)+30)</f>
        <v>42840</v>
      </c>
      <c r="HU69" s="497">
        <f ca="1">IF(AND(HP69&gt;0,HT69&gt;0),HT69-HP69,"0")</f>
        <v>30</v>
      </c>
      <c r="HV69" s="450">
        <f ca="1">DATE(YEAR(HT69),MONTH(HT69),DAY(HT69)+30)</f>
        <v>42870</v>
      </c>
      <c r="HW69" s="450">
        <f ca="1">IF(HV69&lt;TODAY(),TODAY(),HV69)</f>
        <v>42870</v>
      </c>
      <c r="HX69" s="497">
        <f ca="1">IF(AND(HV69&gt;0,HW69&gt;0),HW69-HV69,"0")</f>
        <v>0</v>
      </c>
      <c r="HY69" s="206">
        <f ca="1">DATE(YEAR(HV69),MONTH(HV69),DAY(HV69)+30)</f>
        <v>42900</v>
      </c>
      <c r="HZ69" s="481">
        <f ca="1">IF(AND(HW69&gt;0,HY69&gt;0),HY69-HW69,"0")</f>
        <v>30</v>
      </c>
      <c r="IA69" s="497">
        <f ca="1">+HZ69-30</f>
        <v>0</v>
      </c>
      <c r="IB69" s="506">
        <f ca="1">IF(AND(HT69&gt;0,HY69&gt;0),HY69-HT69,"0")</f>
        <v>60</v>
      </c>
      <c r="IC69" s="490"/>
      <c r="ID69" s="505">
        <f>$ID$1*HH69</f>
        <v>0</v>
      </c>
      <c r="IE69" s="450">
        <f ca="1">DATE(YEAR(HY69),MONTH(HY69),DAY(HY69)+15)</f>
        <v>42915</v>
      </c>
      <c r="IF69" s="450">
        <f ca="1">DATE(YEAR(IE69),MONTH(IE69),DAY(IE69)+7)</f>
        <v>42922</v>
      </c>
      <c r="IG69" s="494"/>
      <c r="IH69" s="505">
        <f>$IH$1*HH69</f>
        <v>0</v>
      </c>
      <c r="II69" s="206">
        <f ca="1">DATE(YEAR(IF69),MONTH(IF69),DAY(IF69)+21)</f>
        <v>42943</v>
      </c>
      <c r="IJ69" s="497">
        <f ca="1">IF(AND(HY69&gt;0,II69&gt;0),II69-HY69,"0")</f>
        <v>43</v>
      </c>
      <c r="IK69" s="206">
        <f ca="1">DATE(YEAR(II69),MONTH(II69),DAY(II69)+30)</f>
        <v>42973</v>
      </c>
      <c r="IL69" s="478">
        <f ca="1">IF(IK69&lt;TODAY(),TODAY(),IK69)</f>
        <v>42973</v>
      </c>
      <c r="IM69" s="497">
        <f ca="1">IF(AND(IK69&gt;0,IL69&gt;0),IL69-IK69,"0")</f>
        <v>0</v>
      </c>
      <c r="IN69" s="478"/>
      <c r="IO69" s="481" t="str">
        <f ca="1">IF(AND(IL69&gt;0,IN69&gt;0),IN69-IL69,"0")</f>
        <v>0</v>
      </c>
      <c r="IP69" s="497">
        <f ca="1">+IO69-30</f>
        <v>-30</v>
      </c>
      <c r="IQ69" s="506" t="str">
        <f ca="1">IF(AND(II69&gt;0,IN69&gt;0),IN69-II69,"0")</f>
        <v>0</v>
      </c>
      <c r="IR69" s="490"/>
      <c r="IS69" s="491"/>
      <c r="IT69" s="206">
        <f>IN69</f>
        <v>0</v>
      </c>
      <c r="IU69" s="498" t="str">
        <f>IF(AND(IN69&gt;0,IT69&gt;0),IT69-IN69,"0")</f>
        <v>0</v>
      </c>
      <c r="IV69" s="206">
        <f>DATE(YEAR(IT69),MONTH(IT69),DAY(IT69)+30)</f>
        <v>30</v>
      </c>
      <c r="IW69" s="206">
        <f ca="1">IF(IV69&lt;TODAY(),TODAY(),IV69)</f>
        <v>42789</v>
      </c>
      <c r="IX69" s="498">
        <f ca="1">IF(AND(IV69&gt;0,IW69&gt;0),IW69-IV69,"0")</f>
        <v>42759</v>
      </c>
      <c r="IY69" s="206">
        <f>DATE(YEAR(IV69),MONTH(IV69),DAY(IV69)+30)</f>
        <v>60</v>
      </c>
      <c r="IZ69" s="482">
        <f ca="1">IF(AND(IW69&gt;0,IY69&gt;0),IY69-IW69,"0")</f>
        <v>-42729</v>
      </c>
      <c r="JA69" s="498">
        <f ca="1">IZ69-30</f>
        <v>-42759</v>
      </c>
      <c r="JB69" s="508" t="str">
        <f>IF(AND(IT69&gt;0,IY69&gt;0),IY69-IT69,"0")</f>
        <v>0</v>
      </c>
      <c r="JC69" s="490"/>
      <c r="JD69" s="491"/>
      <c r="JE69" s="502">
        <f>IY69</f>
        <v>60</v>
      </c>
      <c r="JF69" s="487">
        <f>IF(AND(IY69&gt;0,JE69&gt;0),JE69-IY69,"0")</f>
        <v>0</v>
      </c>
      <c r="JG69" s="502">
        <f>DATE(YEAR(JE69),MONTH(JE69),DAY(JE69)+15)</f>
        <v>75</v>
      </c>
      <c r="JH69" s="502">
        <f ca="1">IF(JG69&lt;TODAY(),TODAY(),JG69)</f>
        <v>42789</v>
      </c>
      <c r="JI69" s="487">
        <f ca="1">IF(AND(JG69&gt;0,JH69&gt;0),JH69-JG69,"0")</f>
        <v>42714</v>
      </c>
      <c r="JJ69" s="502">
        <f ca="1">DATE(YEAR(JH69),MONTH(JH69),DAY(JH69)+45)</f>
        <v>42834</v>
      </c>
      <c r="JK69" s="502">
        <f ca="1">JJ69</f>
        <v>42834</v>
      </c>
      <c r="JL69" s="487">
        <f ca="1">IF(AND(JJ69&gt;0,JK69&gt;0),JK69-JJ69,"0")</f>
        <v>0</v>
      </c>
      <c r="JM69" s="509">
        <f ca="1">IF(AND(JE69&gt;0,JK69&gt;0),JK69-JE69,"0")</f>
        <v>42774</v>
      </c>
      <c r="JN69" s="502">
        <f ca="1">DATE(YEAR(JK69),MONTH(JK69),DAY(JK69)+60)</f>
        <v>42894</v>
      </c>
      <c r="JO69" s="501">
        <f ca="1">IF(AND(JK69&gt;0,JN69&gt;0),JN69-JK69,"0")</f>
        <v>60</v>
      </c>
      <c r="JP69" s="498">
        <f ca="1">JO69-60</f>
        <v>0</v>
      </c>
      <c r="JQ69" s="482">
        <f>291/30</f>
        <v>9.6999999999999993</v>
      </c>
      <c r="JR69" s="504">
        <f ca="1">((+HS69+HU69+IB69+IJ69+IQ69+IU69+JB69+JM69+JF69)/30)-JQ69</f>
        <v>1421.2333333333333</v>
      </c>
      <c r="JS69" s="490"/>
      <c r="JT69" s="505"/>
      <c r="JU69" s="490"/>
      <c r="JV69" s="505"/>
      <c r="JW69" s="586"/>
      <c r="JX69" s="586"/>
      <c r="JY69" s="586"/>
      <c r="JZ69" s="586"/>
    </row>
    <row r="70" spans="1:286" ht="15" hidden="1" customHeight="1" x14ac:dyDescent="0.25">
      <c r="A70" s="552" t="s">
        <v>711</v>
      </c>
      <c r="B70" s="110" t="s">
        <v>41</v>
      </c>
      <c r="C70" s="110" t="s">
        <v>157</v>
      </c>
      <c r="D70" s="110">
        <v>2018</v>
      </c>
      <c r="E70" s="110"/>
      <c r="F70" s="110"/>
      <c r="G70" s="110"/>
      <c r="H70" s="110" t="s">
        <v>712</v>
      </c>
      <c r="I70" s="110"/>
      <c r="J70" s="112" t="s">
        <v>831</v>
      </c>
      <c r="K70" s="453" t="s">
        <v>704</v>
      </c>
      <c r="L70" s="309"/>
      <c r="M70" s="310"/>
      <c r="N70" s="311"/>
      <c r="O70" s="379"/>
      <c r="P70" s="379"/>
      <c r="Q70" s="379"/>
      <c r="R70" s="379">
        <f>P70/AD70</f>
        <v>0</v>
      </c>
      <c r="S70" s="379" t="e">
        <f>P70/O70</f>
        <v>#DIV/0!</v>
      </c>
      <c r="T70" s="387" t="e">
        <f>Q70/O70</f>
        <v>#DIV/0!</v>
      </c>
      <c r="U70" s="387" t="e">
        <f>Q70/AH70</f>
        <v>#DIV/0!</v>
      </c>
      <c r="V70" s="387">
        <f>Q70/AD70</f>
        <v>0</v>
      </c>
      <c r="W70" s="379">
        <f>O70/AD70</f>
        <v>0</v>
      </c>
      <c r="X70" s="380"/>
      <c r="Y70" s="381" t="e">
        <f>AH70/O70</f>
        <v>#DIV/0!</v>
      </c>
      <c r="Z70" s="380"/>
      <c r="AA70" s="380"/>
      <c r="AB70" s="381"/>
      <c r="AC70" s="110" t="s">
        <v>26</v>
      </c>
      <c r="AD70" s="640">
        <f>(AE70+AF70)</f>
        <v>18</v>
      </c>
      <c r="AE70" s="121"/>
      <c r="AF70" s="110">
        <v>18</v>
      </c>
      <c r="AG70" s="114"/>
      <c r="AH70" s="152"/>
      <c r="AI70" s="114"/>
      <c r="AJ70" s="135"/>
      <c r="AK70" s="135"/>
      <c r="AL70" s="135"/>
      <c r="AM70" s="135"/>
      <c r="AN70" s="135"/>
      <c r="AO70" s="114"/>
      <c r="AP70" s="133"/>
      <c r="AQ70" s="135"/>
      <c r="AR70" s="114"/>
      <c r="AS70" s="110"/>
      <c r="AT70" s="110"/>
      <c r="AU70" s="110"/>
      <c r="AV70" s="110"/>
      <c r="AW70" s="110"/>
      <c r="AX70" s="415"/>
      <c r="AY70" s="110"/>
      <c r="AZ70" s="110"/>
      <c r="BA70" s="110"/>
      <c r="BB70" s="110"/>
      <c r="BC70" s="110"/>
      <c r="BD70" s="110"/>
      <c r="BE70" s="110"/>
      <c r="BF70" s="110"/>
      <c r="BG70" s="110"/>
      <c r="BH70" s="110"/>
      <c r="BI70" s="110"/>
      <c r="BJ70" s="110"/>
      <c r="BK70" s="110"/>
      <c r="BL70" s="110"/>
      <c r="BM70" s="110"/>
      <c r="BN70" s="196"/>
      <c r="BO70" s="196"/>
      <c r="BP70" s="196"/>
      <c r="BQ70" s="196"/>
      <c r="BR70" s="196"/>
      <c r="BS70" s="196"/>
      <c r="BT70" s="158"/>
      <c r="BU70" s="376"/>
      <c r="BV70" s="160"/>
      <c r="BW70" s="160"/>
      <c r="BX70" s="160"/>
      <c r="BY70" s="160"/>
      <c r="BZ70" s="376"/>
      <c r="CA70" s="160"/>
      <c r="CB70" s="302"/>
      <c r="CC70" s="374"/>
      <c r="CD70" s="302"/>
      <c r="CE70" s="302"/>
      <c r="CF70" s="161"/>
      <c r="CG70" s="336">
        <f>DATE(YEAR(CF70),MONTH(CF70)+24,DAY(CF70))</f>
        <v>731</v>
      </c>
      <c r="CH70" s="336">
        <f>DATE(YEAR(CF70),MONTH(CF70)+36,DAY(CF70))</f>
        <v>1096</v>
      </c>
      <c r="CI70" s="336"/>
      <c r="CJ70" s="302"/>
      <c r="CK70" s="308"/>
      <c r="CL70" s="161"/>
      <c r="CM70" s="371"/>
      <c r="CN70" s="161"/>
      <c r="CO70" s="161"/>
      <c r="CP70" s="162"/>
      <c r="CQ70" s="367"/>
      <c r="CR70" s="162"/>
      <c r="CS70" s="162"/>
      <c r="CT70" s="162"/>
      <c r="CU70" s="367"/>
      <c r="CV70" s="162"/>
      <c r="CW70" s="162"/>
      <c r="CX70" s="162"/>
      <c r="CY70" s="367"/>
      <c r="CZ70" s="162"/>
      <c r="DA70" s="162"/>
      <c r="DB70" s="299"/>
      <c r="DC70" s="299"/>
      <c r="DD70" s="299"/>
      <c r="DE70" s="312"/>
      <c r="DF70" s="312"/>
      <c r="DG70" s="312"/>
      <c r="DH70" s="312"/>
      <c r="DI70" s="312"/>
      <c r="DJ70" s="312"/>
      <c r="DK70" s="293"/>
      <c r="DL70" s="293"/>
      <c r="DM70" s="293"/>
      <c r="DN70" s="293"/>
      <c r="DO70" s="293"/>
      <c r="DP70" s="293"/>
      <c r="DQ70" s="443"/>
      <c r="DR70" s="443"/>
      <c r="DS70" s="443"/>
      <c r="DT70" s="298"/>
      <c r="DU70" s="443"/>
      <c r="DV70" s="443"/>
      <c r="DW70" s="443"/>
      <c r="DX70" s="423"/>
      <c r="DY70" s="423"/>
      <c r="DZ70" s="423"/>
      <c r="EA70" s="434">
        <v>43497</v>
      </c>
      <c r="EB70" s="423"/>
      <c r="EC70" s="430">
        <v>14</v>
      </c>
      <c r="ED70" s="430">
        <f>EC70+2</f>
        <v>16</v>
      </c>
      <c r="EE70" s="422">
        <f>DATEDIF(EA70,EN70,"M")</f>
        <v>14</v>
      </c>
      <c r="EF70" s="422">
        <f>DATEDIF(EA70,EV70,"M")</f>
        <v>15</v>
      </c>
      <c r="EG70" s="422">
        <f>EE70-EC70</f>
        <v>0</v>
      </c>
      <c r="EH70" s="423"/>
      <c r="EI70" s="431"/>
      <c r="EJ70" s="431"/>
      <c r="EK70" s="423"/>
      <c r="EL70" s="423"/>
      <c r="EM70" s="423"/>
      <c r="EN70" s="210">
        <f>DATE(YEAR(EA70),MONTH(EA70)+EC70,DAY(EA70))</f>
        <v>43922</v>
      </c>
      <c r="EO70" s="210">
        <f>DATE(YEAR(DV70)+2,MONTH(DV70),DAY(DV70))</f>
        <v>731</v>
      </c>
      <c r="EP70" s="423"/>
      <c r="EQ70" s="423"/>
      <c r="ER70" s="423"/>
      <c r="ES70" s="423"/>
      <c r="ET70" s="423"/>
      <c r="EU70" s="210">
        <f>DATE(YEAR(EN70),MONTH(EN70)+1,DAY(EN70))</f>
        <v>43952</v>
      </c>
      <c r="EV70" s="206">
        <f>EU70</f>
        <v>43952</v>
      </c>
      <c r="EW70" s="206"/>
      <c r="EX70" s="209"/>
      <c r="EY70" s="434"/>
      <c r="EZ70" s="212"/>
      <c r="FA70" s="212"/>
      <c r="FB70" s="212"/>
      <c r="FC70" s="212"/>
      <c r="FD70" s="110"/>
      <c r="FE70" s="110"/>
      <c r="FF70" s="110"/>
      <c r="FG70" s="110"/>
      <c r="FH70" s="110"/>
      <c r="FI70" s="110"/>
      <c r="FJ70" s="110"/>
      <c r="FK70" s="110"/>
      <c r="FL70" s="110"/>
      <c r="FM70" s="110"/>
      <c r="FN70" s="110"/>
      <c r="FO70" s="110"/>
      <c r="FP70" s="199"/>
      <c r="FQ70" s="153">
        <f>+GA70+GE70+GL70+HF70+GQ70</f>
        <v>2343364.2150658444</v>
      </c>
      <c r="FR70" s="124">
        <f>GB70+GF70+GK70+GM70+GQ70</f>
        <v>1259621.2150658446</v>
      </c>
      <c r="FS70" s="25">
        <f>FR70-FQ70</f>
        <v>-1083742.9999999998</v>
      </c>
      <c r="FT70" s="50" t="e">
        <f>FQ70/AG70</f>
        <v>#DIV/0!</v>
      </c>
      <c r="FU70" s="50">
        <f>FQ70/AD70</f>
        <v>130186.90083699135</v>
      </c>
      <c r="FV70" s="153"/>
      <c r="FW70" s="124"/>
      <c r="FX70" s="25">
        <f>FW70-FV70</f>
        <v>0</v>
      </c>
      <c r="FY70" s="232">
        <f>FW70*1.021/FR70</f>
        <v>0</v>
      </c>
      <c r="FZ70" s="234"/>
      <c r="GA70" s="153">
        <v>723743</v>
      </c>
      <c r="GB70" s="124"/>
      <c r="GC70" s="50">
        <f>GA70/AD70</f>
        <v>40207.944444444445</v>
      </c>
      <c r="GD70" s="73">
        <f>GB70-GA70</f>
        <v>-723743</v>
      </c>
      <c r="GE70" s="153">
        <v>1259621.2150658446</v>
      </c>
      <c r="GF70" s="124">
        <f>GE70</f>
        <v>1259621.2150658446</v>
      </c>
      <c r="GG70" s="147"/>
      <c r="GH70" s="147"/>
      <c r="GI70" s="73">
        <f>GF70-GE70</f>
        <v>0</v>
      </c>
      <c r="GJ70" s="50">
        <f>GE70/AD70</f>
        <v>69978.956392546927</v>
      </c>
      <c r="GK70" s="124"/>
      <c r="GL70" s="153">
        <v>360000</v>
      </c>
      <c r="GM70" s="124"/>
      <c r="GN70" s="124"/>
      <c r="GO70" s="76">
        <f>GL70/FQ70</f>
        <v>0.1536252869637188</v>
      </c>
      <c r="GP70" s="590"/>
      <c r="GQ70" s="124"/>
      <c r="GR70" s="149">
        <f>GM70-GL70</f>
        <v>-360000</v>
      </c>
      <c r="GS70" s="50">
        <f>GL70/AD70</f>
        <v>20000</v>
      </c>
      <c r="GT70" s="138">
        <f>(GA70+GL70)/AD70</f>
        <v>60207.944444444445</v>
      </c>
      <c r="GU70" s="51">
        <f>GR70/AD70</f>
        <v>-20000</v>
      </c>
      <c r="GV70" s="150"/>
      <c r="GW70" s="150"/>
      <c r="GX70" s="151"/>
      <c r="GY70" s="151"/>
      <c r="GZ70" s="50">
        <f>(GA70+GL70+GY70)/AD70</f>
        <v>60207.944444444445</v>
      </c>
      <c r="HA70" s="151"/>
      <c r="HB70" s="50">
        <f>(GB70+GM70+GY70+HA70)/AD70</f>
        <v>0</v>
      </c>
      <c r="HC70" s="99">
        <f>(GA70+GL70+GY70+HA70)/(GX70+FQ70-HD70)</f>
        <v>0.46247313713867083</v>
      </c>
      <c r="HD70" s="151"/>
      <c r="HE70" s="151"/>
      <c r="HF70" s="124"/>
      <c r="HG70" s="77">
        <f>FQ70+GX70</f>
        <v>2343364.2150658444</v>
      </c>
      <c r="HH70" s="491"/>
      <c r="HI70" s="491"/>
      <c r="HJ70" s="494"/>
      <c r="HK70" s="505">
        <f>$HK$1*HH70</f>
        <v>0</v>
      </c>
      <c r="HL70" s="450">
        <f ca="1">TODAY()</f>
        <v>42789</v>
      </c>
      <c r="HM70" s="464">
        <f ca="1">DATE(YEAR(HL70),MONTH(HL70),DAY(HL70)+21)</f>
        <v>42810</v>
      </c>
      <c r="HN70" s="464">
        <f ca="1">IF(HM70&lt;TODAY(),TODAY(),HM70)</f>
        <v>42810</v>
      </c>
      <c r="HO70" s="497">
        <f ca="1">IF(AND(HM70&gt;0,HN70&gt;0),HN70-HM70,"0")</f>
        <v>0</v>
      </c>
      <c r="HP70" s="464">
        <f ca="1">DATE(YEAR(HL70),MONTH(HL70),DAY(HL70)+21)</f>
        <v>42810</v>
      </c>
      <c r="HQ70" s="481">
        <f ca="1">IF(AND(HN70&gt;0,HP70&gt;0),HP70-HN70,"0")</f>
        <v>0</v>
      </c>
      <c r="HR70" s="497">
        <f ca="1">+HQ70-30</f>
        <v>-30</v>
      </c>
      <c r="HS70" s="506">
        <f ca="1">IF(AND(HL70&gt;0,HP70&gt;0),HP70-HL70,"0")</f>
        <v>21</v>
      </c>
      <c r="HT70" s="450">
        <f ca="1">DATE(YEAR(HP70),MONTH(HP70),DAY(HP70)+30)</f>
        <v>42840</v>
      </c>
      <c r="HU70" s="497">
        <f ca="1">IF(AND(HP70&gt;0,HT70&gt;0),HT70-HP70,"0")</f>
        <v>30</v>
      </c>
      <c r="HV70" s="450">
        <f ca="1">DATE(YEAR(HT70),MONTH(HT70),DAY(HT70)+30)</f>
        <v>42870</v>
      </c>
      <c r="HW70" s="450">
        <f ca="1">IF(HV70&lt;TODAY(),TODAY(),HV70)</f>
        <v>42870</v>
      </c>
      <c r="HX70" s="497">
        <f ca="1">IF(AND(HV70&gt;0,HW70&gt;0),HW70-HV70,"0")</f>
        <v>0</v>
      </c>
      <c r="HY70" s="206">
        <f ca="1">DATE(YEAR(HV70),MONTH(HV70),DAY(HV70)+30)</f>
        <v>42900</v>
      </c>
      <c r="HZ70" s="481">
        <f ca="1">IF(AND(HW70&gt;0,HY70&gt;0),HY70-HW70,"0")</f>
        <v>30</v>
      </c>
      <c r="IA70" s="497">
        <f ca="1">+HZ70-30</f>
        <v>0</v>
      </c>
      <c r="IB70" s="506">
        <f ca="1">IF(AND(HT70&gt;0,HY70&gt;0),HY70-HT70,"0")</f>
        <v>60</v>
      </c>
      <c r="IC70" s="490"/>
      <c r="ID70" s="505">
        <f>$ID$1*HH70</f>
        <v>0</v>
      </c>
      <c r="IE70" s="450">
        <f ca="1">DATE(YEAR(HY70),MONTH(HY70),DAY(HY70)+15)</f>
        <v>42915</v>
      </c>
      <c r="IF70" s="450">
        <f ca="1">DATE(YEAR(IE70),MONTH(IE70),DAY(IE70)+7)</f>
        <v>42922</v>
      </c>
      <c r="IG70" s="494"/>
      <c r="IH70" s="505">
        <f>$IH$1*HH70</f>
        <v>0</v>
      </c>
      <c r="II70" s="206">
        <f ca="1">DATE(YEAR(IF70),MONTH(IF70),DAY(IF70)+21)</f>
        <v>42943</v>
      </c>
      <c r="IJ70" s="497">
        <f ca="1">IF(AND(HY70&gt;0,II70&gt;0),II70-HY70,"0")</f>
        <v>43</v>
      </c>
      <c r="IK70" s="206">
        <f ca="1">DATE(YEAR(II70),MONTH(II70),DAY(II70)+30)</f>
        <v>42973</v>
      </c>
      <c r="IL70" s="206">
        <f ca="1">IF(IK70&lt;TODAY(),TODAY(),IK70)</f>
        <v>42973</v>
      </c>
      <c r="IM70" s="497">
        <f ca="1">IF(AND(IK70&gt;0,IL70&gt;0),IL70-IK70,"0")</f>
        <v>0</v>
      </c>
      <c r="IN70" s="206">
        <f ca="1">DATE(YEAR(IK70),MONTH(IK70),DAY(IK70)+30)</f>
        <v>43003</v>
      </c>
      <c r="IO70" s="481">
        <f ca="1">IF(AND(IL70&gt;0,IN70&gt;0),IN70-IL70,"0")</f>
        <v>30</v>
      </c>
      <c r="IP70" s="497">
        <f ca="1">+IO70-30</f>
        <v>0</v>
      </c>
      <c r="IQ70" s="506">
        <f ca="1">IF(AND(II70&gt;0,IN70&gt;0),IN70-II70,"0")</f>
        <v>60</v>
      </c>
      <c r="IR70" s="490"/>
      <c r="IS70" s="491">
        <f>$IS$1*HH70</f>
        <v>0</v>
      </c>
      <c r="IT70" s="206">
        <f ca="1">IN70</f>
        <v>43003</v>
      </c>
      <c r="IU70" s="498">
        <f ca="1">IF(AND(IN70&gt;0,IT70&gt;0),IT70-IN70,"0")</f>
        <v>0</v>
      </c>
      <c r="IV70" s="206">
        <f ca="1">DATE(YEAR(IT70),MONTH(IT70),DAY(IT70)+30)</f>
        <v>43033</v>
      </c>
      <c r="IW70" s="206">
        <f ca="1">IF(IV70&lt;TODAY(),TODAY(),IV70)</f>
        <v>43033</v>
      </c>
      <c r="IX70" s="498">
        <f ca="1">IF(AND(IV70&gt;0,IW70&gt;0),IW70-IV70,"0")</f>
        <v>0</v>
      </c>
      <c r="IY70" s="206">
        <f ca="1">DATE(YEAR(IV70),MONTH(IV70),DAY(IV70)+30)</f>
        <v>43063</v>
      </c>
      <c r="IZ70" s="482">
        <f ca="1">IF(AND(IW70&gt;0,IY70&gt;0),IY70-IW70,"0")</f>
        <v>30</v>
      </c>
      <c r="JA70" s="498">
        <f ca="1">IZ70-30</f>
        <v>0</v>
      </c>
      <c r="JB70" s="508">
        <f ca="1">IF(AND(IT70&gt;0,IY70&gt;0),IY70-IT70,"0")</f>
        <v>60</v>
      </c>
      <c r="JC70" s="490"/>
      <c r="JD70" s="505">
        <f>$JD$1*$HH$65</f>
        <v>34029.599999999999</v>
      </c>
      <c r="JE70" s="502">
        <f ca="1">IY70</f>
        <v>43063</v>
      </c>
      <c r="JF70" s="487">
        <f ca="1">IF(AND(IY70&gt;0,JE70&gt;0),JE70-IY70,"0")</f>
        <v>0</v>
      </c>
      <c r="JG70" s="502">
        <f ca="1">DATE(YEAR(JE70),MONTH(JE70),DAY(JE70)+15)</f>
        <v>43078</v>
      </c>
      <c r="JH70" s="502">
        <f ca="1">IF(JG70&lt;TODAY(),TODAY(),JG70)</f>
        <v>43078</v>
      </c>
      <c r="JI70" s="487">
        <f ca="1">IF(AND(JG70&gt;0,JH70&gt;0),JH70-JG70,"0")</f>
        <v>0</v>
      </c>
      <c r="JJ70" s="502">
        <f ca="1">DATE(YEAR(JH70),MONTH(JH70),DAY(JH70)+45)</f>
        <v>43123</v>
      </c>
      <c r="JK70" s="502">
        <f ca="1">JJ70</f>
        <v>43123</v>
      </c>
      <c r="JL70" s="487">
        <f ca="1">IF(AND(JJ70&gt;0,JK70&gt;0),JK70-JJ70,"0")</f>
        <v>0</v>
      </c>
      <c r="JM70" s="509">
        <f ca="1">IF(AND(JE70&gt;0,JK70&gt;0),JK70-JE70,"0")</f>
        <v>60</v>
      </c>
      <c r="JN70" s="502">
        <f ca="1">DATE(YEAR(JK70),MONTH(JK70),DAY(JK70)+60)</f>
        <v>43183</v>
      </c>
      <c r="JO70" s="501">
        <f ca="1">IF(AND(JK70&gt;0,JN70&gt;0),JN70-JK70,"0")</f>
        <v>60</v>
      </c>
      <c r="JP70" s="498">
        <f ca="1">JO70-60</f>
        <v>0</v>
      </c>
      <c r="JQ70" s="482">
        <f>291/30</f>
        <v>9.6999999999999993</v>
      </c>
      <c r="JR70" s="504">
        <f ca="1">((+HS70+HU70+IB70+IJ70+IQ70+IU70+JB70+JM70+JF70)/30)-JQ70</f>
        <v>1.4333333333333336</v>
      </c>
      <c r="JS70" s="490"/>
      <c r="JT70" s="491"/>
      <c r="JU70" s="490"/>
      <c r="JV70" s="491"/>
      <c r="JW70" s="586"/>
      <c r="JX70" s="586"/>
      <c r="JY70" s="586"/>
      <c r="JZ70" s="586"/>
    </row>
    <row r="71" spans="1:286" ht="63" hidden="1" customHeight="1" x14ac:dyDescent="0.25">
      <c r="A71" s="552" t="s">
        <v>401</v>
      </c>
      <c r="B71" s="110" t="s">
        <v>130</v>
      </c>
      <c r="C71" s="110" t="s">
        <v>159</v>
      </c>
      <c r="D71" s="110">
        <v>2018</v>
      </c>
      <c r="E71" s="110"/>
      <c r="F71" s="110"/>
      <c r="G71" s="110"/>
      <c r="H71" s="110" t="s">
        <v>415</v>
      </c>
      <c r="I71" s="110"/>
      <c r="J71" s="110"/>
      <c r="K71" s="453"/>
      <c r="L71" s="309"/>
      <c r="M71" s="310"/>
      <c r="N71" s="311"/>
      <c r="O71" s="379"/>
      <c r="P71" s="379">
        <v>800000</v>
      </c>
      <c r="Q71" s="379">
        <f>P71</f>
        <v>800000</v>
      </c>
      <c r="R71" s="379">
        <f>P71/AD71</f>
        <v>16000</v>
      </c>
      <c r="S71" s="379" t="e">
        <f>P71/O71</f>
        <v>#DIV/0!</v>
      </c>
      <c r="T71" s="387" t="e">
        <f>Q71/O71</f>
        <v>#DIV/0!</v>
      </c>
      <c r="U71" s="387">
        <f>Q71/AH71</f>
        <v>248.75621890547265</v>
      </c>
      <c r="V71" s="387">
        <f>Q71/AD71</f>
        <v>16000</v>
      </c>
      <c r="W71" s="379">
        <f>O71/AD71</f>
        <v>0</v>
      </c>
      <c r="X71" s="380"/>
      <c r="Y71" s="381" t="e">
        <f>AH71/O71</f>
        <v>#DIV/0!</v>
      </c>
      <c r="Z71" s="380"/>
      <c r="AA71" s="380"/>
      <c r="AB71" s="381"/>
      <c r="AC71" s="110" t="s">
        <v>25</v>
      </c>
      <c r="AD71" s="640">
        <f>(AE71+AF71)</f>
        <v>50</v>
      </c>
      <c r="AE71" s="121"/>
      <c r="AF71" s="110">
        <v>50</v>
      </c>
      <c r="AG71" s="114">
        <v>3216</v>
      </c>
      <c r="AH71" s="152">
        <f>AG71</f>
        <v>3216</v>
      </c>
      <c r="AI71" s="114">
        <f>AH71/AD71</f>
        <v>64.319999999999993</v>
      </c>
      <c r="AJ71" s="135"/>
      <c r="AK71" s="135"/>
      <c r="AL71" s="135"/>
      <c r="AM71" s="135"/>
      <c r="AN71" s="135"/>
      <c r="AO71" s="114"/>
      <c r="AP71" s="133"/>
      <c r="AQ71" s="135"/>
      <c r="AR71" s="114"/>
      <c r="AS71" s="110"/>
      <c r="AT71" s="110"/>
      <c r="AU71" s="110"/>
      <c r="AV71" s="110"/>
      <c r="AW71" s="110"/>
      <c r="AX71" s="415"/>
      <c r="AY71" s="110"/>
      <c r="AZ71" s="110"/>
      <c r="BA71" s="110"/>
      <c r="BB71" s="110"/>
      <c r="BC71" s="110"/>
      <c r="BD71" s="110"/>
      <c r="BE71" s="110"/>
      <c r="BF71" s="110"/>
      <c r="BG71" s="110"/>
      <c r="BH71" s="110"/>
      <c r="BI71" s="110"/>
      <c r="BJ71" s="110"/>
      <c r="BK71" s="110"/>
      <c r="BL71" s="110"/>
      <c r="BM71" s="110"/>
      <c r="BN71" s="196"/>
      <c r="BO71" s="196"/>
      <c r="BP71" s="196"/>
      <c r="BQ71" s="196"/>
      <c r="BR71" s="196"/>
      <c r="BS71" s="196"/>
      <c r="BT71" s="158"/>
      <c r="BU71" s="376"/>
      <c r="BV71" s="160"/>
      <c r="BW71" s="160"/>
      <c r="BX71" s="160"/>
      <c r="BY71" s="160"/>
      <c r="BZ71" s="376"/>
      <c r="CA71" s="160"/>
      <c r="CB71" s="302"/>
      <c r="CC71" s="374"/>
      <c r="CD71" s="302"/>
      <c r="CE71" s="302"/>
      <c r="CF71" s="161"/>
      <c r="CG71" s="336">
        <f>DATE(YEAR(CF71),MONTH(CF71)+24,DAY(CF71))</f>
        <v>731</v>
      </c>
      <c r="CH71" s="336">
        <f>DATE(YEAR(CF71),MONTH(CF71)+36,DAY(CF71))</f>
        <v>1096</v>
      </c>
      <c r="CI71" s="336"/>
      <c r="CJ71" s="302"/>
      <c r="CK71" s="308"/>
      <c r="CL71" s="161"/>
      <c r="CM71" s="371"/>
      <c r="CN71" s="161"/>
      <c r="CO71" s="161"/>
      <c r="CP71" s="162"/>
      <c r="CQ71" s="367"/>
      <c r="CR71" s="162"/>
      <c r="CS71" s="162"/>
      <c r="CT71" s="162"/>
      <c r="CU71" s="367"/>
      <c r="CV71" s="162"/>
      <c r="CW71" s="162"/>
      <c r="CX71" s="162"/>
      <c r="CY71" s="367"/>
      <c r="CZ71" s="162"/>
      <c r="DA71" s="162"/>
      <c r="DB71" s="299"/>
      <c r="DC71" s="299"/>
      <c r="DD71" s="299"/>
      <c r="DE71" s="312"/>
      <c r="DF71" s="312"/>
      <c r="DG71" s="312"/>
      <c r="DH71" s="312"/>
      <c r="DI71" s="312"/>
      <c r="DJ71" s="312"/>
      <c r="DK71" s="293"/>
      <c r="DL71" s="293"/>
      <c r="DM71" s="293"/>
      <c r="DN71" s="293"/>
      <c r="DO71" s="293"/>
      <c r="DP71" s="293"/>
      <c r="DQ71" s="443"/>
      <c r="DR71" s="443"/>
      <c r="DS71" s="443"/>
      <c r="DT71" s="298"/>
      <c r="DU71" s="443">
        <f>DATE(YEAR(DQ71),MONTH(DQ71)+18,DAY(DQ71))</f>
        <v>547</v>
      </c>
      <c r="DV71" s="443"/>
      <c r="DW71" s="443"/>
      <c r="DX71" s="423"/>
      <c r="DY71" s="423"/>
      <c r="DZ71" s="423"/>
      <c r="EA71" s="434">
        <v>43497</v>
      </c>
      <c r="EB71" s="423"/>
      <c r="EC71" s="430">
        <v>16</v>
      </c>
      <c r="ED71" s="430">
        <f>EC71+2</f>
        <v>18</v>
      </c>
      <c r="EE71" s="422">
        <f>DATEDIF(EA71,EN71,"M")</f>
        <v>16</v>
      </c>
      <c r="EF71" s="422">
        <f>DATEDIF(EA71,EV71,"M")</f>
        <v>17</v>
      </c>
      <c r="EG71" s="422">
        <f>EE71-EC71</f>
        <v>0</v>
      </c>
      <c r="EH71" s="422"/>
      <c r="EI71" s="431"/>
      <c r="EJ71" s="431"/>
      <c r="EK71" s="423"/>
      <c r="EL71" s="423"/>
      <c r="EM71" s="423"/>
      <c r="EN71" s="210">
        <f>DATE(YEAR(EA71),MONTH(EA71)+EC71,DAY(EA71))</f>
        <v>43983</v>
      </c>
      <c r="EO71" s="210">
        <f>DATE(YEAR(DV71)+2,MONTH(DV71),DAY(DV71))</f>
        <v>731</v>
      </c>
      <c r="EP71" s="423"/>
      <c r="EQ71" s="423"/>
      <c r="ER71" s="423"/>
      <c r="ES71" s="423"/>
      <c r="ET71" s="423"/>
      <c r="EU71" s="210">
        <f>DATE(YEAR(EN71),MONTH(EN71)+1,DAY(EN71))</f>
        <v>44013</v>
      </c>
      <c r="EV71" s="206">
        <f>EU71</f>
        <v>44013</v>
      </c>
      <c r="EW71" s="206"/>
      <c r="EX71" s="206"/>
      <c r="EY71" s="434"/>
      <c r="EZ71" s="212"/>
      <c r="FA71" s="212"/>
      <c r="FB71" s="212"/>
      <c r="FC71" s="212"/>
      <c r="FD71" s="110"/>
      <c r="FE71" s="110"/>
      <c r="FF71" s="110"/>
      <c r="FG71" s="110"/>
      <c r="FH71" s="110"/>
      <c r="FI71" s="110"/>
      <c r="FJ71" s="110"/>
      <c r="FK71" s="110"/>
      <c r="FL71" s="110"/>
      <c r="FM71" s="110"/>
      <c r="FN71" s="110"/>
      <c r="FO71" s="110"/>
      <c r="FP71" s="199"/>
      <c r="FQ71" s="153">
        <f>+GA71+GE71+GL71+HF71+GQ71</f>
        <v>0</v>
      </c>
      <c r="FR71" s="124">
        <f>GB71+GF71+GK71+GM71+GQ71</f>
        <v>0</v>
      </c>
      <c r="FS71" s="25">
        <f>FR71-FQ71</f>
        <v>0</v>
      </c>
      <c r="FT71" s="50">
        <f>FQ71/AG71</f>
        <v>0</v>
      </c>
      <c r="FU71" s="50">
        <f>FQ71/AD71</f>
        <v>0</v>
      </c>
      <c r="FV71" s="153"/>
      <c r="FW71" s="124"/>
      <c r="FX71" s="25">
        <f>FW71-FV71</f>
        <v>0</v>
      </c>
      <c r="FY71" s="232" t="e">
        <f>FW71*1.021/FR71</f>
        <v>#DIV/0!</v>
      </c>
      <c r="FZ71" s="234"/>
      <c r="GA71" s="153"/>
      <c r="GB71" s="124">
        <f>GA71</f>
        <v>0</v>
      </c>
      <c r="GC71" s="50">
        <f>GA71/AD71</f>
        <v>0</v>
      </c>
      <c r="GD71" s="73">
        <f>GB71-GA71</f>
        <v>0</v>
      </c>
      <c r="GE71" s="153"/>
      <c r="GF71" s="124">
        <f>GE71</f>
        <v>0</v>
      </c>
      <c r="GG71" s="147"/>
      <c r="GH71" s="147"/>
      <c r="GI71" s="73">
        <f>GF71-GE71</f>
        <v>0</v>
      </c>
      <c r="GJ71" s="50">
        <f>GE71/AD71</f>
        <v>0</v>
      </c>
      <c r="GK71" s="124"/>
      <c r="GL71" s="153"/>
      <c r="GM71" s="124">
        <f>GL71</f>
        <v>0</v>
      </c>
      <c r="GN71" s="124"/>
      <c r="GO71" s="76" t="e">
        <f>GL71/FQ71</f>
        <v>#DIV/0!</v>
      </c>
      <c r="GP71" s="590"/>
      <c r="GQ71" s="124"/>
      <c r="GR71" s="51">
        <f>GM71-GL71</f>
        <v>0</v>
      </c>
      <c r="GS71" s="50">
        <f>GL71/AD71</f>
        <v>0</v>
      </c>
      <c r="GT71" s="138">
        <f>(GA71+GL71)/AD71</f>
        <v>0</v>
      </c>
      <c r="GU71" s="51">
        <f>GR71/AD71</f>
        <v>0</v>
      </c>
      <c r="GV71" s="150"/>
      <c r="GW71" s="150"/>
      <c r="GX71" s="151"/>
      <c r="GY71" s="151"/>
      <c r="GZ71" s="50">
        <f>(GA71+GL71+GY71)/AD71</f>
        <v>0</v>
      </c>
      <c r="HA71" s="151"/>
      <c r="HB71" s="50">
        <f>(GB71+GM71+GY71+HA71)/AD71</f>
        <v>0</v>
      </c>
      <c r="HC71" s="99" t="e">
        <f>(GA71+GL71+GY71+HA71)/(GX71+FQ71-HD71)</f>
        <v>#DIV/0!</v>
      </c>
      <c r="HD71" s="151"/>
      <c r="HE71" s="151"/>
      <c r="HF71" s="124"/>
      <c r="HG71" s="77">
        <f>FQ71+GX71</f>
        <v>0</v>
      </c>
      <c r="HH71" s="491"/>
      <c r="HI71" s="491"/>
      <c r="HJ71" s="494"/>
      <c r="HK71" s="505">
        <f>$HK$1*HH71</f>
        <v>0</v>
      </c>
      <c r="HL71" s="450">
        <f ca="1">TODAY()</f>
        <v>42789</v>
      </c>
      <c r="HM71" s="464">
        <f ca="1">DATE(YEAR(HL71),MONTH(HL71),DAY(HL71)+21)</f>
        <v>42810</v>
      </c>
      <c r="HN71" s="464">
        <f ca="1">IF(HM71&lt;TODAY(),TODAY(),HM71)</f>
        <v>42810</v>
      </c>
      <c r="HO71" s="497">
        <f ca="1">IF(AND(HM71&gt;0,HN71&gt;0),HN71-HM71,"0")</f>
        <v>0</v>
      </c>
      <c r="HP71" s="464">
        <f ca="1">DATE(YEAR(HL71),MONTH(HL71),DAY(HL71)+21)</f>
        <v>42810</v>
      </c>
      <c r="HQ71" s="481">
        <f ca="1">IF(AND(HN71&gt;0,HP71&gt;0),HP71-HN71,"0")</f>
        <v>0</v>
      </c>
      <c r="HR71" s="497">
        <f ca="1">+HQ71-30</f>
        <v>-30</v>
      </c>
      <c r="HS71" s="506">
        <f ca="1">IF(AND(HL71&gt;0,HP71&gt;0),HP71-HL71,"0")</f>
        <v>21</v>
      </c>
      <c r="HT71" s="450">
        <f ca="1">DATE(YEAR(HP71),MONTH(HP71),DAY(HP71)+30)</f>
        <v>42840</v>
      </c>
      <c r="HU71" s="497">
        <f ca="1">IF(AND(HP71&gt;0,HT71&gt;0),HT71-HP71,"0")</f>
        <v>30</v>
      </c>
      <c r="HV71" s="450">
        <f ca="1">DATE(YEAR(HT71),MONTH(HT71),DAY(HT71)+30)</f>
        <v>42870</v>
      </c>
      <c r="HW71" s="450">
        <f ca="1">IF(HV71&lt;TODAY(),TODAY(),HV71)</f>
        <v>42870</v>
      </c>
      <c r="HX71" s="497">
        <f ca="1">IF(AND(HV71&gt;0,HW71&gt;0),HW71-HV71,"0")</f>
        <v>0</v>
      </c>
      <c r="HY71" s="206">
        <f ca="1">DATE(YEAR(HV71),MONTH(HV71),DAY(HV71)+30)</f>
        <v>42900</v>
      </c>
      <c r="HZ71" s="481">
        <f ca="1">IF(AND(HW71&gt;0,HY71&gt;0),HY71-HW71,"0")</f>
        <v>30</v>
      </c>
      <c r="IA71" s="497">
        <f ca="1">+HZ71-30</f>
        <v>0</v>
      </c>
      <c r="IB71" s="506">
        <f ca="1">IF(AND(HT71&gt;0,HY71&gt;0),HY71-HT71,"0")</f>
        <v>60</v>
      </c>
      <c r="IC71" s="490"/>
      <c r="ID71" s="505">
        <f>$ID$1*HH71</f>
        <v>0</v>
      </c>
      <c r="IE71" s="450">
        <f ca="1">DATE(YEAR(HY71),MONTH(HY71),DAY(HY71)+15)</f>
        <v>42915</v>
      </c>
      <c r="IF71" s="450">
        <f ca="1">DATE(YEAR(IE71),MONTH(IE71),DAY(IE71)+7)</f>
        <v>42922</v>
      </c>
      <c r="IG71" s="494"/>
      <c r="IH71" s="505">
        <f>$IH$1*HH71</f>
        <v>0</v>
      </c>
      <c r="II71" s="206">
        <f ca="1">DATE(YEAR(IF71),MONTH(IF71),DAY(IF71)+21)</f>
        <v>42943</v>
      </c>
      <c r="IJ71" s="497">
        <f ca="1">IF(AND(HY71&gt;0,II71&gt;0),II71-HY71,"0")</f>
        <v>43</v>
      </c>
      <c r="IK71" s="206">
        <f ca="1">DATE(YEAR(II71),MONTH(II71),DAY(II71)+30)</f>
        <v>42973</v>
      </c>
      <c r="IL71" s="478">
        <f ca="1">IF(IK71&lt;TODAY(),TODAY(),IK71)</f>
        <v>42973</v>
      </c>
      <c r="IM71" s="497">
        <f ca="1">IF(AND(IK71&gt;0,IL71&gt;0),IL71-IK71,"0")</f>
        <v>0</v>
      </c>
      <c r="IN71" s="478"/>
      <c r="IO71" s="481" t="str">
        <f ca="1">IF(AND(IL71&gt;0,IN71&gt;0),IN71-IL71,"0")</f>
        <v>0</v>
      </c>
      <c r="IP71" s="497">
        <f ca="1">+IO71-30</f>
        <v>-30</v>
      </c>
      <c r="IQ71" s="506" t="str">
        <f ca="1">IF(AND(II71&gt;0,IN71&gt;0),IN71-II71,"0")</f>
        <v>0</v>
      </c>
      <c r="IR71" s="490"/>
      <c r="IS71" s="491"/>
      <c r="IT71" s="206">
        <f>IN71</f>
        <v>0</v>
      </c>
      <c r="IU71" s="498" t="str">
        <f>IF(AND(IN71&gt;0,IT71&gt;0),IT71-IN71,"0")</f>
        <v>0</v>
      </c>
      <c r="IV71" s="206">
        <f>DATE(YEAR(IT71),MONTH(IT71),DAY(IT71)+30)</f>
        <v>30</v>
      </c>
      <c r="IW71" s="206">
        <f ca="1">IF(IV71&lt;TODAY(),TODAY(),IV71)</f>
        <v>42789</v>
      </c>
      <c r="IX71" s="498">
        <f ca="1">IF(AND(IV71&gt;0,IW71&gt;0),IW71-IV71,"0")</f>
        <v>42759</v>
      </c>
      <c r="IY71" s="206">
        <f>DATE(YEAR(IV71),MONTH(IV71),DAY(IV71)+30)</f>
        <v>60</v>
      </c>
      <c r="IZ71" s="482">
        <f ca="1">IF(AND(IW71&gt;0,IY71&gt;0),IY71-IW71,"0")</f>
        <v>-42729</v>
      </c>
      <c r="JA71" s="498">
        <f ca="1">IZ71-30</f>
        <v>-42759</v>
      </c>
      <c r="JB71" s="508" t="str">
        <f>IF(AND(IT71&gt;0,IY71&gt;0),IY71-IT71,"0")</f>
        <v>0</v>
      </c>
      <c r="JC71" s="490"/>
      <c r="JD71" s="491"/>
      <c r="JE71" s="502">
        <f>IY71</f>
        <v>60</v>
      </c>
      <c r="JF71" s="487">
        <f>IF(AND(IY71&gt;0,JE71&gt;0),JE71-IY71,"0")</f>
        <v>0</v>
      </c>
      <c r="JG71" s="502">
        <f>DATE(YEAR(JE71),MONTH(JE71),DAY(JE71)+15)</f>
        <v>75</v>
      </c>
      <c r="JH71" s="502">
        <f ca="1">IF(JG71&lt;TODAY(),TODAY(),JG71)</f>
        <v>42789</v>
      </c>
      <c r="JI71" s="487">
        <f ca="1">IF(AND(JG71&gt;0,JH71&gt;0),JH71-JG71,"0")</f>
        <v>42714</v>
      </c>
      <c r="JJ71" s="502">
        <f ca="1">DATE(YEAR(JH71),MONTH(JH71),DAY(JH71)+45)</f>
        <v>42834</v>
      </c>
      <c r="JK71" s="502">
        <f ca="1">JJ71</f>
        <v>42834</v>
      </c>
      <c r="JL71" s="487">
        <f ca="1">IF(AND(JJ71&gt;0,JK71&gt;0),JK71-JJ71,"0")</f>
        <v>0</v>
      </c>
      <c r="JM71" s="509">
        <f ca="1">IF(AND(JE71&gt;0,JK71&gt;0),JK71-JE71,"0")</f>
        <v>42774</v>
      </c>
      <c r="JN71" s="502">
        <f ca="1">DATE(YEAR(JK71),MONTH(JK71),DAY(JK71)+60)</f>
        <v>42894</v>
      </c>
      <c r="JO71" s="501">
        <f ca="1">IF(AND(JK71&gt;0,JN71&gt;0),JN71-JK71,"0")</f>
        <v>60</v>
      </c>
      <c r="JP71" s="498">
        <f ca="1">JO71-60</f>
        <v>0</v>
      </c>
      <c r="JQ71" s="482">
        <f>291/30</f>
        <v>9.6999999999999993</v>
      </c>
      <c r="JR71" s="504">
        <f ca="1">((+HS71+HU71+IB71+IJ71+IQ71+IU71+JB71+JM71+JF71)/30)-JQ71</f>
        <v>1421.2333333333333</v>
      </c>
      <c r="JS71" s="490"/>
      <c r="JT71" s="505"/>
      <c r="JU71" s="490"/>
      <c r="JV71" s="505"/>
      <c r="JW71" s="586"/>
      <c r="JX71" s="586"/>
      <c r="JY71" s="586"/>
      <c r="JZ71" s="586"/>
    </row>
    <row r="72" spans="1:286" ht="15" hidden="1" customHeight="1" x14ac:dyDescent="0.25">
      <c r="A72" s="552" t="s">
        <v>564</v>
      </c>
      <c r="B72" s="110" t="s">
        <v>44</v>
      </c>
      <c r="C72" s="110" t="s">
        <v>158</v>
      </c>
      <c r="D72" s="110">
        <v>2018</v>
      </c>
      <c r="E72" s="110"/>
      <c r="F72" s="110"/>
      <c r="G72" s="110"/>
      <c r="H72" s="110"/>
      <c r="I72" s="110"/>
      <c r="J72" s="110" t="s">
        <v>565</v>
      </c>
      <c r="K72" s="453"/>
      <c r="L72" s="309"/>
      <c r="M72" s="310"/>
      <c r="N72" s="311"/>
      <c r="O72" s="379"/>
      <c r="P72" s="379"/>
      <c r="Q72" s="379"/>
      <c r="R72" s="379"/>
      <c r="S72" s="379"/>
      <c r="T72" s="387"/>
      <c r="U72" s="387"/>
      <c r="V72" s="387"/>
      <c r="W72" s="379"/>
      <c r="X72" s="380"/>
      <c r="Y72" s="381" t="e">
        <f>AH72/O72</f>
        <v>#DIV/0!</v>
      </c>
      <c r="Z72" s="380"/>
      <c r="AA72" s="380"/>
      <c r="AB72" s="381"/>
      <c r="AC72" s="111" t="s">
        <v>26</v>
      </c>
      <c r="AD72" s="640">
        <f>AE72+AF72</f>
        <v>49</v>
      </c>
      <c r="AE72" s="121"/>
      <c r="AF72" s="110">
        <f>49</f>
        <v>49</v>
      </c>
      <c r="AG72" s="114"/>
      <c r="AH72" s="152"/>
      <c r="AI72" s="114">
        <f>AH72/AD72</f>
        <v>0</v>
      </c>
      <c r="AJ72" s="135"/>
      <c r="AK72" s="135"/>
      <c r="AL72" s="135"/>
      <c r="AM72" s="135"/>
      <c r="AN72" s="135"/>
      <c r="AO72" s="114"/>
      <c r="AP72" s="133"/>
      <c r="AQ72" s="135"/>
      <c r="AR72" s="114"/>
      <c r="AS72" s="110"/>
      <c r="AT72" s="110"/>
      <c r="AU72" s="110"/>
      <c r="AV72" s="110"/>
      <c r="AW72" s="332"/>
      <c r="AX72" s="415"/>
      <c r="AY72" s="110"/>
      <c r="AZ72" s="110"/>
      <c r="BA72" s="110"/>
      <c r="BB72" s="110"/>
      <c r="BC72" s="110"/>
      <c r="BD72" s="110"/>
      <c r="BE72" s="110"/>
      <c r="BF72" s="110"/>
      <c r="BG72" s="110"/>
      <c r="BH72" s="110"/>
      <c r="BI72" s="110"/>
      <c r="BJ72" s="110"/>
      <c r="BK72" s="110"/>
      <c r="BL72" s="110"/>
      <c r="BM72" s="110"/>
      <c r="BN72" s="196"/>
      <c r="BO72" s="196"/>
      <c r="BP72" s="196"/>
      <c r="BQ72" s="196"/>
      <c r="BR72" s="196"/>
      <c r="BS72" s="196"/>
      <c r="BT72" s="158"/>
      <c r="BU72" s="376"/>
      <c r="BV72" s="160"/>
      <c r="BW72" s="160"/>
      <c r="BX72" s="160"/>
      <c r="BY72" s="160"/>
      <c r="BZ72" s="376"/>
      <c r="CA72" s="160"/>
      <c r="CB72" s="302"/>
      <c r="CC72" s="374"/>
      <c r="CD72" s="302"/>
      <c r="CE72" s="302"/>
      <c r="CF72" s="161"/>
      <c r="CG72" s="336">
        <f>DATE(YEAR(CF72),MONTH(CF72)+24,DAY(CF72))</f>
        <v>731</v>
      </c>
      <c r="CH72" s="336">
        <f>DATE(YEAR(CF72),MONTH(CF72)+36,DAY(CF72))</f>
        <v>1096</v>
      </c>
      <c r="CI72" s="336"/>
      <c r="CJ72" s="302"/>
      <c r="CK72" s="308"/>
      <c r="CL72" s="161"/>
      <c r="CM72" s="371"/>
      <c r="CN72" s="161"/>
      <c r="CO72" s="161"/>
      <c r="CP72" s="162"/>
      <c r="CQ72" s="367"/>
      <c r="CR72" s="162"/>
      <c r="CS72" s="162"/>
      <c r="CT72" s="162"/>
      <c r="CU72" s="367"/>
      <c r="CV72" s="162"/>
      <c r="CW72" s="162"/>
      <c r="CX72" s="162"/>
      <c r="CY72" s="367"/>
      <c r="CZ72" s="162"/>
      <c r="DA72" s="162"/>
      <c r="DB72" s="299"/>
      <c r="DC72" s="299"/>
      <c r="DD72" s="299"/>
      <c r="DE72" s="312"/>
      <c r="DF72" s="312"/>
      <c r="DG72" s="312"/>
      <c r="DH72" s="312"/>
      <c r="DI72" s="312"/>
      <c r="DJ72" s="312"/>
      <c r="DK72" s="293"/>
      <c r="DL72" s="293"/>
      <c r="DM72" s="293"/>
      <c r="DN72" s="293"/>
      <c r="DO72" s="293"/>
      <c r="DP72" s="293"/>
      <c r="DQ72" s="443"/>
      <c r="DR72" s="443"/>
      <c r="DS72" s="443"/>
      <c r="DT72" s="298"/>
      <c r="DU72" s="443"/>
      <c r="DV72" s="443"/>
      <c r="DW72" s="443"/>
      <c r="DX72" s="423"/>
      <c r="DY72" s="423"/>
      <c r="DZ72" s="423"/>
      <c r="EA72" s="434">
        <v>43497</v>
      </c>
      <c r="EB72" s="423"/>
      <c r="EC72" s="430">
        <v>16</v>
      </c>
      <c r="ED72" s="430">
        <f>EC72+2</f>
        <v>18</v>
      </c>
      <c r="EE72" s="422">
        <f>DATEDIF(EA72,EN72,"M")</f>
        <v>16</v>
      </c>
      <c r="EF72" s="422">
        <f>DATEDIF(EA72,EV72,"M")</f>
        <v>17</v>
      </c>
      <c r="EG72" s="422">
        <f>EE72-EC72</f>
        <v>0</v>
      </c>
      <c r="EH72" s="422"/>
      <c r="EI72" s="431"/>
      <c r="EJ72" s="431"/>
      <c r="EK72" s="423"/>
      <c r="EL72" s="423"/>
      <c r="EM72" s="423"/>
      <c r="EN72" s="210">
        <f>DATE(YEAR(EA72),MONTH(EA72)+EC72,DAY(EA72))</f>
        <v>43983</v>
      </c>
      <c r="EO72" s="210">
        <f>DATE(YEAR(DV72)+2,MONTH(DV72),DAY(DV72))</f>
        <v>731</v>
      </c>
      <c r="EP72" s="423"/>
      <c r="EQ72" s="423"/>
      <c r="ER72" s="423"/>
      <c r="ES72" s="423"/>
      <c r="ET72" s="423"/>
      <c r="EU72" s="210">
        <f>DATE(YEAR(EN72),MONTH(EN72)+1,DAY(EN72))</f>
        <v>44013</v>
      </c>
      <c r="EV72" s="206">
        <f>EU72</f>
        <v>44013</v>
      </c>
      <c r="EW72" s="206"/>
      <c r="EX72" s="206"/>
      <c r="EY72" s="434"/>
      <c r="EZ72" s="212"/>
      <c r="FA72" s="212"/>
      <c r="FB72" s="212"/>
      <c r="FC72" s="212"/>
      <c r="FD72" s="110"/>
      <c r="FE72" s="110"/>
      <c r="FF72" s="110"/>
      <c r="FG72" s="110"/>
      <c r="FH72" s="110"/>
      <c r="FI72" s="110"/>
      <c r="FJ72" s="110"/>
      <c r="FK72" s="110"/>
      <c r="FL72" s="110"/>
      <c r="FM72" s="110"/>
      <c r="FN72" s="110"/>
      <c r="FO72" s="110"/>
      <c r="FP72" s="199"/>
      <c r="FQ72" s="153">
        <f>+GA72+GE72+GL72+HF72+GQ72</f>
        <v>980000</v>
      </c>
      <c r="FR72" s="124">
        <f>GB72+GF72+GK72+GM72+GQ72</f>
        <v>980000</v>
      </c>
      <c r="FS72" s="25">
        <f>FR72-FQ72</f>
        <v>0</v>
      </c>
      <c r="FT72" s="50" t="e">
        <f>FQ72/AG72</f>
        <v>#DIV/0!</v>
      </c>
      <c r="FU72" s="50">
        <f>FQ72/AD72</f>
        <v>20000</v>
      </c>
      <c r="FV72" s="153"/>
      <c r="FW72" s="124"/>
      <c r="FX72" s="25">
        <f>FW72-FV72</f>
        <v>0</v>
      </c>
      <c r="FY72" s="231">
        <f>FW72*1.021/FR72</f>
        <v>0</v>
      </c>
      <c r="FZ72" s="234"/>
      <c r="GA72" s="153"/>
      <c r="GB72" s="124"/>
      <c r="GC72" s="98">
        <f>GA72/AD72</f>
        <v>0</v>
      </c>
      <c r="GD72" s="155">
        <f>GB72-GA72</f>
        <v>0</v>
      </c>
      <c r="GE72" s="153"/>
      <c r="GF72" s="124">
        <f>GE72</f>
        <v>0</v>
      </c>
      <c r="GG72" s="147"/>
      <c r="GH72" s="147"/>
      <c r="GI72" s="73">
        <f>GF72-GE72</f>
        <v>0</v>
      </c>
      <c r="GJ72" s="50">
        <f>GE72/AD72</f>
        <v>0</v>
      </c>
      <c r="GK72" s="124"/>
      <c r="GL72" s="153">
        <v>980000</v>
      </c>
      <c r="GM72" s="124">
        <f>GL72</f>
        <v>980000</v>
      </c>
      <c r="GN72" s="124"/>
      <c r="GO72" s="148">
        <f>GL72/FQ72</f>
        <v>1</v>
      </c>
      <c r="GP72" s="590"/>
      <c r="GQ72" s="124"/>
      <c r="GR72" s="51">
        <f>GM72-GL72</f>
        <v>0</v>
      </c>
      <c r="GS72" s="50">
        <f>GL72/AD72</f>
        <v>20000</v>
      </c>
      <c r="GT72" s="138">
        <f>(GA72+GL72)/AD72</f>
        <v>20000</v>
      </c>
      <c r="GU72" s="51">
        <f>GR72/AD72</f>
        <v>0</v>
      </c>
      <c r="GV72" s="150"/>
      <c r="GW72" s="150"/>
      <c r="GX72" s="151"/>
      <c r="GY72" s="151"/>
      <c r="GZ72" s="50">
        <f>(GA72+GL72+GY72)/AD72</f>
        <v>20000</v>
      </c>
      <c r="HA72" s="151"/>
      <c r="HB72" s="50">
        <f>(GB72+GM72+GY72+HA72)/AD72</f>
        <v>20000</v>
      </c>
      <c r="HC72" s="99">
        <f>(GA72+GL72+GY72+HA72)/(GX72+FQ72-HD72)</f>
        <v>1</v>
      </c>
      <c r="HD72" s="151"/>
      <c r="HE72" s="151"/>
      <c r="HF72" s="124"/>
      <c r="HG72" s="77">
        <f>FQ72+GX72</f>
        <v>980000</v>
      </c>
      <c r="HH72" s="491"/>
      <c r="HI72" s="491"/>
      <c r="HJ72" s="494"/>
      <c r="HK72" s="491"/>
      <c r="HL72" s="477"/>
      <c r="HM72" s="477">
        <f>DATE(YEAR(HL72),MONTH(HL72),DAY(HL72)+21)</f>
        <v>21</v>
      </c>
      <c r="HN72" s="477"/>
      <c r="HO72" s="497" t="str">
        <f>IF(AND(HM72&gt;0,HN72&gt;0),HN72-HM72,"0")</f>
        <v>0</v>
      </c>
      <c r="HP72" s="477"/>
      <c r="HQ72" s="481" t="str">
        <f>IF(AND(HN72&gt;0,HP72&gt;0),HP72-HN72,"0")</f>
        <v>0</v>
      </c>
      <c r="HR72" s="497">
        <f>+HQ72-30</f>
        <v>-30</v>
      </c>
      <c r="HS72" s="506" t="str">
        <f>IF(AND(HL72&gt;0,HP72&gt;0),HP72-HL72,"0")</f>
        <v>0</v>
      </c>
      <c r="HT72" s="477"/>
      <c r="HU72" s="497" t="str">
        <f>IF(AND(HP72&gt;0,HT72&gt;0),HT72-HP72,"0")</f>
        <v>0</v>
      </c>
      <c r="HV72" s="477">
        <f>DATE(YEAR(HT72),MONTH(HT72),DAY(HT72)+21)</f>
        <v>21</v>
      </c>
      <c r="HW72" s="477"/>
      <c r="HX72" s="497" t="str">
        <f>IF(AND(HV72&gt;0,HW72&gt;0),HW72-HV72,"0")</f>
        <v>0</v>
      </c>
      <c r="HY72" s="476"/>
      <c r="HZ72" s="481" t="str">
        <f>IF(AND(HW72&gt;0,HY72&gt;0),HY72-HW72,"0")</f>
        <v>0</v>
      </c>
      <c r="IA72" s="497">
        <f>+HZ72-30</f>
        <v>-30</v>
      </c>
      <c r="IB72" s="506" t="str">
        <f>IF(AND(HT72&gt;0,HY72&gt;0),HY72-HT72,"0")</f>
        <v>0</v>
      </c>
      <c r="IC72" s="490"/>
      <c r="ID72" s="491"/>
      <c r="IE72" s="477"/>
      <c r="IF72" s="477"/>
      <c r="IG72" s="494"/>
      <c r="IH72" s="491"/>
      <c r="II72" s="478"/>
      <c r="IJ72" s="497" t="str">
        <f>IF(AND(HY72&gt;0,II72&gt;0),II72-HY72,"0")</f>
        <v>0</v>
      </c>
      <c r="IK72" s="478"/>
      <c r="IL72" s="478">
        <f ca="1">IF(IK72&lt;TODAY(),TODAY(),IK72)</f>
        <v>42789</v>
      </c>
      <c r="IM72" s="497" t="str">
        <f ca="1">IF(AND(IK72&gt;0,IL72&gt;0),IL72-IK72,"0")</f>
        <v>0</v>
      </c>
      <c r="IN72" s="478"/>
      <c r="IO72" s="481" t="str">
        <f ca="1">IF(AND(IL72&gt;0,IN72&gt;0),IN72-IL72,"0")</f>
        <v>0</v>
      </c>
      <c r="IP72" s="497">
        <f ca="1">+IO72-30</f>
        <v>-30</v>
      </c>
      <c r="IQ72" s="506" t="str">
        <f>IF(AND(II72&gt;0,IN72&gt;0),IN72-II72,"0")</f>
        <v>0</v>
      </c>
      <c r="IR72" s="490"/>
      <c r="IS72" s="491"/>
      <c r="IT72" s="478"/>
      <c r="IU72" s="498" t="str">
        <f>IF(AND(IN72&gt;0,IT72&gt;0),IT72-IN72,"0")</f>
        <v>0</v>
      </c>
      <c r="IV72" s="478"/>
      <c r="IW72" s="206"/>
      <c r="IX72" s="498" t="str">
        <f>IF(AND(IV72&gt;0,IW72&gt;0),IW72-IV72,"0")</f>
        <v>0</v>
      </c>
      <c r="IY72" s="478"/>
      <c r="IZ72" s="482" t="str">
        <f>IF(AND(IW72&gt;0,IY72&gt;0),IY72-IW72,"0")</f>
        <v>0</v>
      </c>
      <c r="JA72" s="498">
        <f>IZ72-30</f>
        <v>-30</v>
      </c>
      <c r="JB72" s="508" t="str">
        <f>IF(AND(IT72&gt;0,IY72&gt;0),IY72-IT72,"0")</f>
        <v>0</v>
      </c>
      <c r="JC72" s="490"/>
      <c r="JD72" s="491"/>
      <c r="JE72" s="212"/>
      <c r="JF72" s="487" t="str">
        <f>IF(AND(IY72&gt;0,JE72&gt;0),JE72-IY72,"0")</f>
        <v>0</v>
      </c>
      <c r="JG72" s="212">
        <f>DATE(YEAR(JE72),MONTH(JE72),DAY(JE72)+15)</f>
        <v>15</v>
      </c>
      <c r="JH72" s="212">
        <f ca="1">TODAY()</f>
        <v>42789</v>
      </c>
      <c r="JI72" s="487">
        <f ca="1">IF(AND(JG72&gt;0,JH72&gt;0),JH72-JG72,"0")</f>
        <v>42774</v>
      </c>
      <c r="JJ72" s="212">
        <f ca="1">DATE(YEAR(JH72),MONTH(JH72),DAY(JH72)+15)</f>
        <v>42804</v>
      </c>
      <c r="JK72" s="212"/>
      <c r="JL72" s="487" t="str">
        <f ca="1">IF(AND(JJ72&gt;0,JK72&gt;0),JK72-JJ72,"0")</f>
        <v>0</v>
      </c>
      <c r="JM72" s="509" t="str">
        <f>IF(AND(JE72&gt;0,JK72&gt;0),JK72-JE72,"0")</f>
        <v>0</v>
      </c>
      <c r="JN72" s="212">
        <f>DATE(YEAR(JK72),MONTH(JK72),DAY(JK72)+60)</f>
        <v>60</v>
      </c>
      <c r="JO72" s="501" t="str">
        <f>IF(AND(JK72&gt;0,JN72&gt;0),JN72-JK72,"0")</f>
        <v>0</v>
      </c>
      <c r="JP72" s="498">
        <f>JO72-60</f>
        <v>-60</v>
      </c>
      <c r="JQ72" s="482">
        <f>291/30</f>
        <v>9.6999999999999993</v>
      </c>
      <c r="JR72" s="504">
        <f>((+HS72+HU72+IB72+IJ72+IQ72+IU72+JB72+JM72+JF72)/30)-JQ72</f>
        <v>-9.6999999999999993</v>
      </c>
      <c r="JS72" s="490"/>
      <c r="JT72" s="505"/>
      <c r="JU72" s="490"/>
      <c r="JV72" s="505"/>
      <c r="JW72" s="586"/>
      <c r="JX72" s="586"/>
      <c r="JY72" s="586"/>
      <c r="JZ72" s="586"/>
    </row>
    <row r="73" spans="1:286" ht="63" hidden="1" customHeight="1" x14ac:dyDescent="0.25">
      <c r="A73" s="552" t="s">
        <v>566</v>
      </c>
      <c r="B73" s="110" t="s">
        <v>62</v>
      </c>
      <c r="C73" s="110" t="s">
        <v>158</v>
      </c>
      <c r="D73" s="110">
        <v>2018</v>
      </c>
      <c r="E73" s="110"/>
      <c r="F73" s="110"/>
      <c r="G73" s="110"/>
      <c r="H73" s="110"/>
      <c r="I73" s="110"/>
      <c r="J73" s="110" t="s">
        <v>567</v>
      </c>
      <c r="K73" s="453"/>
      <c r="L73" s="309"/>
      <c r="M73" s="310"/>
      <c r="N73" s="311"/>
      <c r="O73" s="379"/>
      <c r="P73" s="379"/>
      <c r="Q73" s="379"/>
      <c r="R73" s="379"/>
      <c r="S73" s="379"/>
      <c r="T73" s="387"/>
      <c r="U73" s="387"/>
      <c r="V73" s="387"/>
      <c r="W73" s="379"/>
      <c r="X73" s="380"/>
      <c r="Y73" s="381" t="e">
        <f>AH73/O73</f>
        <v>#DIV/0!</v>
      </c>
      <c r="Z73" s="380"/>
      <c r="AA73" s="380"/>
      <c r="AB73" s="381"/>
      <c r="AC73" s="111" t="s">
        <v>26</v>
      </c>
      <c r="AD73" s="640">
        <f>AE73+AF73</f>
        <v>47</v>
      </c>
      <c r="AE73" s="121"/>
      <c r="AF73" s="110">
        <f>47</f>
        <v>47</v>
      </c>
      <c r="AG73" s="114">
        <v>3357.36</v>
      </c>
      <c r="AH73" s="152"/>
      <c r="AI73" s="114">
        <f>AH73/AD73</f>
        <v>0</v>
      </c>
      <c r="AJ73" s="135"/>
      <c r="AK73" s="135"/>
      <c r="AL73" s="135"/>
      <c r="AM73" s="135"/>
      <c r="AN73" s="135"/>
      <c r="AO73" s="114"/>
      <c r="AP73" s="133"/>
      <c r="AQ73" s="135"/>
      <c r="AR73" s="114"/>
      <c r="AS73" s="110"/>
      <c r="AT73" s="110"/>
      <c r="AU73" s="110"/>
      <c r="AV73" s="110"/>
      <c r="AW73" s="332">
        <v>42388</v>
      </c>
      <c r="AX73" s="415"/>
      <c r="AY73" s="110"/>
      <c r="AZ73" s="110"/>
      <c r="BA73" s="110"/>
      <c r="BB73" s="110"/>
      <c r="BC73" s="110"/>
      <c r="BD73" s="110"/>
      <c r="BE73" s="110"/>
      <c r="BF73" s="110"/>
      <c r="BG73" s="110"/>
      <c r="BH73" s="110"/>
      <c r="BI73" s="110"/>
      <c r="BJ73" s="110"/>
      <c r="BK73" s="110"/>
      <c r="BL73" s="110"/>
      <c r="BM73" s="110"/>
      <c r="BN73" s="196"/>
      <c r="BO73" s="196"/>
      <c r="BP73" s="196"/>
      <c r="BQ73" s="196"/>
      <c r="BR73" s="196"/>
      <c r="BS73" s="196"/>
      <c r="BT73" s="158"/>
      <c r="BU73" s="376"/>
      <c r="BV73" s="160"/>
      <c r="BW73" s="160"/>
      <c r="BX73" s="160"/>
      <c r="BY73" s="160"/>
      <c r="BZ73" s="376"/>
      <c r="CA73" s="160"/>
      <c r="CB73" s="302"/>
      <c r="CC73" s="374"/>
      <c r="CD73" s="302"/>
      <c r="CE73" s="302"/>
      <c r="CF73" s="161"/>
      <c r="CG73" s="336">
        <f>DATE(YEAR(CF73),MONTH(CF73)+24,DAY(CF73))</f>
        <v>731</v>
      </c>
      <c r="CH73" s="336">
        <f>DATE(YEAR(CF73),MONTH(CF73)+36,DAY(CF73))</f>
        <v>1096</v>
      </c>
      <c r="CI73" s="336"/>
      <c r="CJ73" s="302"/>
      <c r="CK73" s="308"/>
      <c r="CL73" s="161"/>
      <c r="CM73" s="371"/>
      <c r="CN73" s="161"/>
      <c r="CO73" s="161"/>
      <c r="CP73" s="162"/>
      <c r="CQ73" s="367"/>
      <c r="CR73" s="162"/>
      <c r="CS73" s="162"/>
      <c r="CT73" s="162"/>
      <c r="CU73" s="367"/>
      <c r="CV73" s="162"/>
      <c r="CW73" s="162"/>
      <c r="CX73" s="162"/>
      <c r="CY73" s="367"/>
      <c r="CZ73" s="162"/>
      <c r="DA73" s="162"/>
      <c r="DB73" s="299"/>
      <c r="DC73" s="299"/>
      <c r="DD73" s="299"/>
      <c r="DE73" s="312"/>
      <c r="DF73" s="312"/>
      <c r="DG73" s="312"/>
      <c r="DH73" s="312"/>
      <c r="DI73" s="312"/>
      <c r="DJ73" s="312"/>
      <c r="DK73" s="293"/>
      <c r="DL73" s="293"/>
      <c r="DM73" s="293"/>
      <c r="DN73" s="293"/>
      <c r="DO73" s="293"/>
      <c r="DP73" s="293"/>
      <c r="DQ73" s="443"/>
      <c r="DR73" s="443"/>
      <c r="DS73" s="443"/>
      <c r="DT73" s="298"/>
      <c r="DU73" s="443"/>
      <c r="DV73" s="443"/>
      <c r="DW73" s="443"/>
      <c r="DX73" s="423"/>
      <c r="DY73" s="423"/>
      <c r="DZ73" s="423"/>
      <c r="EA73" s="434">
        <v>43497</v>
      </c>
      <c r="EB73" s="423"/>
      <c r="EC73" s="430">
        <v>16</v>
      </c>
      <c r="ED73" s="430">
        <f>EC73+2</f>
        <v>18</v>
      </c>
      <c r="EE73" s="422">
        <f>DATEDIF(EA73,EN73,"M")</f>
        <v>16</v>
      </c>
      <c r="EF73" s="422">
        <f>DATEDIF(EA73,EV73,"M")</f>
        <v>17</v>
      </c>
      <c r="EG73" s="422">
        <f>EE73-EC73</f>
        <v>0</v>
      </c>
      <c r="EH73" s="422"/>
      <c r="EI73" s="431"/>
      <c r="EJ73" s="431"/>
      <c r="EK73" s="423"/>
      <c r="EL73" s="423"/>
      <c r="EM73" s="423"/>
      <c r="EN73" s="210">
        <f>DATE(YEAR(EA73),MONTH(EA73)+EC73,DAY(EA73))</f>
        <v>43983</v>
      </c>
      <c r="EO73" s="210">
        <f>DATE(YEAR(DV73)+2,MONTH(DV73),DAY(DV73))</f>
        <v>731</v>
      </c>
      <c r="EP73" s="423"/>
      <c r="EQ73" s="423"/>
      <c r="ER73" s="423"/>
      <c r="ES73" s="423"/>
      <c r="ET73" s="423"/>
      <c r="EU73" s="210">
        <f>DATE(YEAR(EN73),MONTH(EN73)+1,DAY(EN73))</f>
        <v>44013</v>
      </c>
      <c r="EV73" s="206">
        <f>EU73</f>
        <v>44013</v>
      </c>
      <c r="EW73" s="206"/>
      <c r="EX73" s="206"/>
      <c r="EY73" s="434"/>
      <c r="EZ73" s="212"/>
      <c r="FA73" s="212"/>
      <c r="FB73" s="212"/>
      <c r="FC73" s="212"/>
      <c r="FD73" s="110"/>
      <c r="FE73" s="110"/>
      <c r="FF73" s="110"/>
      <c r="FG73" s="110"/>
      <c r="FH73" s="110"/>
      <c r="FI73" s="110"/>
      <c r="FJ73" s="110"/>
      <c r="FK73" s="110"/>
      <c r="FL73" s="110"/>
      <c r="FM73" s="110"/>
      <c r="FN73" s="110"/>
      <c r="FO73" s="110"/>
      <c r="FP73" s="199"/>
      <c r="FQ73" s="153">
        <f>+GA73+GE73+GL73+HF73+GQ73</f>
        <v>846000</v>
      </c>
      <c r="FR73" s="124">
        <f>GB73+GF73+GK73+GM73+GQ73</f>
        <v>846000</v>
      </c>
      <c r="FS73" s="25">
        <f>FR73-FQ73</f>
        <v>0</v>
      </c>
      <c r="FT73" s="50">
        <f>FQ73/AG73</f>
        <v>251.98370147973407</v>
      </c>
      <c r="FU73" s="50">
        <f>FQ73/AD73</f>
        <v>18000</v>
      </c>
      <c r="FV73" s="153"/>
      <c r="FW73" s="124"/>
      <c r="FX73" s="25">
        <f>FW73-FV73</f>
        <v>0</v>
      </c>
      <c r="FY73" s="232">
        <f>FW73*1.021/FR73</f>
        <v>0</v>
      </c>
      <c r="FZ73" s="234"/>
      <c r="GA73" s="153"/>
      <c r="GB73" s="124"/>
      <c r="GC73" s="98">
        <f>GA73/AD73</f>
        <v>0</v>
      </c>
      <c r="GD73" s="155">
        <f>GB73-GA73</f>
        <v>0</v>
      </c>
      <c r="GE73" s="153"/>
      <c r="GF73" s="124">
        <f>GE73</f>
        <v>0</v>
      </c>
      <c r="GG73" s="147"/>
      <c r="GH73" s="147"/>
      <c r="GI73" s="73">
        <f>GF73-GE73</f>
        <v>0</v>
      </c>
      <c r="GJ73" s="50">
        <f>GE73/AD73</f>
        <v>0</v>
      </c>
      <c r="GK73" s="124"/>
      <c r="GL73" s="153">
        <v>846000</v>
      </c>
      <c r="GM73" s="124">
        <f>GL73</f>
        <v>846000</v>
      </c>
      <c r="GN73" s="124"/>
      <c r="GO73" s="76">
        <f>GL73/FQ73</f>
        <v>1</v>
      </c>
      <c r="GP73" s="590"/>
      <c r="GQ73" s="124"/>
      <c r="GR73" s="51">
        <f>GM73-GL73</f>
        <v>0</v>
      </c>
      <c r="GS73" s="50">
        <f>GL73/AD73</f>
        <v>18000</v>
      </c>
      <c r="GT73" s="138">
        <f>(GA73+GL73)/AD73</f>
        <v>18000</v>
      </c>
      <c r="GU73" s="51">
        <f>GR73/AD73</f>
        <v>0</v>
      </c>
      <c r="GV73" s="150"/>
      <c r="GW73" s="150"/>
      <c r="GX73" s="151"/>
      <c r="GY73" s="151"/>
      <c r="GZ73" s="50">
        <f>(GA73+GL73+GY73)/AD73</f>
        <v>18000</v>
      </c>
      <c r="HA73" s="151"/>
      <c r="HB73" s="50">
        <f>(GB73+GM73+GY73+HA73)/AD73</f>
        <v>18000</v>
      </c>
      <c r="HC73" s="99">
        <f>(GA73+GL73+GY73+HA73)/(GX73+FQ73-HD73)</f>
        <v>1</v>
      </c>
      <c r="HD73" s="151"/>
      <c r="HE73" s="151"/>
      <c r="HF73" s="124"/>
      <c r="HG73" s="77">
        <f>FQ73+GX73</f>
        <v>846000</v>
      </c>
      <c r="HH73" s="491"/>
      <c r="HI73" s="491"/>
      <c r="HJ73" s="494"/>
      <c r="HK73" s="491"/>
      <c r="HL73" s="477"/>
      <c r="HM73" s="477">
        <f>DATE(YEAR(HL73),MONTH(HL73),DAY(HL73)+21)</f>
        <v>21</v>
      </c>
      <c r="HN73" s="477"/>
      <c r="HO73" s="497" t="str">
        <f>IF(AND(HM73&gt;0,HN73&gt;0),HN73-HM73,"0")</f>
        <v>0</v>
      </c>
      <c r="HP73" s="477"/>
      <c r="HQ73" s="481" t="str">
        <f>IF(AND(HN73&gt;0,HP73&gt;0),HP73-HN73,"0")</f>
        <v>0</v>
      </c>
      <c r="HR73" s="497">
        <f>+HQ73-30</f>
        <v>-30</v>
      </c>
      <c r="HS73" s="506" t="str">
        <f>IF(AND(HL73&gt;0,HP73&gt;0),HP73-HL73,"0")</f>
        <v>0</v>
      </c>
      <c r="HT73" s="477"/>
      <c r="HU73" s="497" t="str">
        <f>IF(AND(HP73&gt;0,HT73&gt;0),HT73-HP73,"0")</f>
        <v>0</v>
      </c>
      <c r="HV73" s="477">
        <f>DATE(YEAR(HT73),MONTH(HT73),DAY(HT73)+21)</f>
        <v>21</v>
      </c>
      <c r="HW73" s="477"/>
      <c r="HX73" s="497" t="str">
        <f>IF(AND(HV73&gt;0,HW73&gt;0),HW73-HV73,"0")</f>
        <v>0</v>
      </c>
      <c r="HY73" s="476"/>
      <c r="HZ73" s="481" t="str">
        <f>IF(AND(HW73&gt;0,HY73&gt;0),HY73-HW73,"0")</f>
        <v>0</v>
      </c>
      <c r="IA73" s="497">
        <f>+HZ73-30</f>
        <v>-30</v>
      </c>
      <c r="IB73" s="506" t="str">
        <f>IF(AND(HT73&gt;0,HY73&gt;0),HY73-HT73,"0")</f>
        <v>0</v>
      </c>
      <c r="IC73" s="490"/>
      <c r="ID73" s="491"/>
      <c r="IE73" s="477"/>
      <c r="IF73" s="477"/>
      <c r="IG73" s="494"/>
      <c r="IH73" s="491"/>
      <c r="II73" s="478"/>
      <c r="IJ73" s="497" t="str">
        <f>IF(AND(HY73&gt;0,II73&gt;0),II73-HY73,"0")</f>
        <v>0</v>
      </c>
      <c r="IK73" s="478"/>
      <c r="IL73" s="478">
        <f ca="1">IF(IK73&lt;TODAY(),TODAY(),IK73)</f>
        <v>42789</v>
      </c>
      <c r="IM73" s="497" t="str">
        <f ca="1">IF(AND(IK73&gt;0,IL73&gt;0),IL73-IK73,"0")</f>
        <v>0</v>
      </c>
      <c r="IN73" s="478"/>
      <c r="IO73" s="481" t="str">
        <f ca="1">IF(AND(IL73&gt;0,IN73&gt;0),IN73-IL73,"0")</f>
        <v>0</v>
      </c>
      <c r="IP73" s="497">
        <f ca="1">+IO73-30</f>
        <v>-30</v>
      </c>
      <c r="IQ73" s="506" t="str">
        <f>IF(AND(II73&gt;0,IN73&gt;0),IN73-II73,"0")</f>
        <v>0</v>
      </c>
      <c r="IR73" s="490"/>
      <c r="IS73" s="491"/>
      <c r="IT73" s="478"/>
      <c r="IU73" s="498" t="str">
        <f>IF(AND(IN73&gt;0,IT73&gt;0),IT73-IN73,"0")</f>
        <v>0</v>
      </c>
      <c r="IV73" s="478"/>
      <c r="IW73" s="206"/>
      <c r="IX73" s="498" t="str">
        <f>IF(AND(IV73&gt;0,IW73&gt;0),IW73-IV73,"0")</f>
        <v>0</v>
      </c>
      <c r="IY73" s="478"/>
      <c r="IZ73" s="482" t="str">
        <f>IF(AND(IW73&gt;0,IY73&gt;0),IY73-IW73,"0")</f>
        <v>0</v>
      </c>
      <c r="JA73" s="498">
        <f>IZ73-30</f>
        <v>-30</v>
      </c>
      <c r="JB73" s="508" t="str">
        <f>IF(AND(IT73&gt;0,IY73&gt;0),IY73-IT73,"0")</f>
        <v>0</v>
      </c>
      <c r="JC73" s="490"/>
      <c r="JD73" s="491"/>
      <c r="JE73" s="212"/>
      <c r="JF73" s="487" t="str">
        <f>IF(AND(IY73&gt;0,JE73&gt;0),JE73-IY73,"0")</f>
        <v>0</v>
      </c>
      <c r="JG73" s="212">
        <f>DATE(YEAR(JE73),MONTH(JE73),DAY(JE73)+15)</f>
        <v>15</v>
      </c>
      <c r="JH73" s="212">
        <f ca="1">TODAY()</f>
        <v>42789</v>
      </c>
      <c r="JI73" s="487">
        <f ca="1">IF(AND(JG73&gt;0,JH73&gt;0),JH73-JG73,"0")</f>
        <v>42774</v>
      </c>
      <c r="JJ73" s="212">
        <f ca="1">DATE(YEAR(JH73),MONTH(JH73),DAY(JH73)+15)</f>
        <v>42804</v>
      </c>
      <c r="JK73" s="212"/>
      <c r="JL73" s="487" t="str">
        <f ca="1">IF(AND(JJ73&gt;0,JK73&gt;0),JK73-JJ73,"0")</f>
        <v>0</v>
      </c>
      <c r="JM73" s="509" t="str">
        <f>IF(AND(JE73&gt;0,JK73&gt;0),JK73-JE73,"0")</f>
        <v>0</v>
      </c>
      <c r="JN73" s="212">
        <f>DATE(YEAR(JK73),MONTH(JK73),DAY(JK73)+60)</f>
        <v>60</v>
      </c>
      <c r="JO73" s="501" t="str">
        <f>IF(AND(JK73&gt;0,JN73&gt;0),JN73-JK73,"0")</f>
        <v>0</v>
      </c>
      <c r="JP73" s="498">
        <f>JO73-60</f>
        <v>-60</v>
      </c>
      <c r="JQ73" s="482">
        <f>291/30</f>
        <v>9.6999999999999993</v>
      </c>
      <c r="JR73" s="504">
        <f>((+HS73+HU73+IB73+IJ73+IQ73+IU73+JB73+JM73+JF73)/30)-JQ73</f>
        <v>-9.6999999999999993</v>
      </c>
      <c r="JS73" s="490"/>
      <c r="JT73" s="505"/>
      <c r="JU73" s="490"/>
      <c r="JV73" s="505"/>
      <c r="JW73" s="586"/>
      <c r="JX73" s="586"/>
      <c r="JY73" s="586"/>
      <c r="JZ73" s="586"/>
    </row>
    <row r="74" spans="1:286" ht="63" hidden="1" customHeight="1" x14ac:dyDescent="0.25">
      <c r="A74" s="552" t="s">
        <v>561</v>
      </c>
      <c r="B74" s="110" t="s">
        <v>217</v>
      </c>
      <c r="C74" s="110" t="s">
        <v>159</v>
      </c>
      <c r="D74" s="110">
        <v>2018</v>
      </c>
      <c r="E74" s="110"/>
      <c r="F74" s="110"/>
      <c r="G74" s="110"/>
      <c r="H74" s="110"/>
      <c r="I74" s="110"/>
      <c r="J74" s="110"/>
      <c r="K74" s="453"/>
      <c r="L74" s="309"/>
      <c r="M74" s="310"/>
      <c r="N74" s="311"/>
      <c r="O74" s="379"/>
      <c r="P74" s="379"/>
      <c r="Q74" s="379"/>
      <c r="R74" s="379"/>
      <c r="S74" s="379"/>
      <c r="T74" s="387"/>
      <c r="U74" s="387"/>
      <c r="V74" s="387"/>
      <c r="W74" s="379"/>
      <c r="X74" s="380"/>
      <c r="Y74" s="381" t="e">
        <f>AH74/O74</f>
        <v>#DIV/0!</v>
      </c>
      <c r="Z74" s="380"/>
      <c r="AA74" s="380"/>
      <c r="AB74" s="381"/>
      <c r="AC74" s="111" t="s">
        <v>26</v>
      </c>
      <c r="AD74" s="640">
        <f>(AE74+AF74)</f>
        <v>0</v>
      </c>
      <c r="AE74" s="121"/>
      <c r="AF74" s="110">
        <f>50*0</f>
        <v>0</v>
      </c>
      <c r="AG74" s="114">
        <v>2905</v>
      </c>
      <c r="AH74" s="152">
        <f>AG74</f>
        <v>2905</v>
      </c>
      <c r="AI74" s="114" t="e">
        <f>AH74/AD74</f>
        <v>#DIV/0!</v>
      </c>
      <c r="AJ74" s="135"/>
      <c r="AK74" s="135"/>
      <c r="AL74" s="135"/>
      <c r="AM74" s="135"/>
      <c r="AN74" s="135"/>
      <c r="AO74" s="114"/>
      <c r="AP74" s="133"/>
      <c r="AQ74" s="135"/>
      <c r="AR74" s="114"/>
      <c r="AS74" s="110"/>
      <c r="AT74" s="110"/>
      <c r="AU74" s="110"/>
      <c r="AV74" s="110"/>
      <c r="AW74" s="332">
        <v>42388</v>
      </c>
      <c r="AX74" s="415">
        <v>42396</v>
      </c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110"/>
      <c r="BM74" s="110"/>
      <c r="BN74" s="196"/>
      <c r="BO74" s="196"/>
      <c r="BP74" s="196"/>
      <c r="BQ74" s="196"/>
      <c r="BR74" s="196"/>
      <c r="BS74" s="196"/>
      <c r="BT74" s="158"/>
      <c r="BU74" s="376"/>
      <c r="BV74" s="160"/>
      <c r="BW74" s="160"/>
      <c r="BX74" s="160"/>
      <c r="BY74" s="160"/>
      <c r="BZ74" s="376"/>
      <c r="CA74" s="160"/>
      <c r="CB74" s="302"/>
      <c r="CC74" s="374"/>
      <c r="CD74" s="302"/>
      <c r="CE74" s="302"/>
      <c r="CF74" s="161"/>
      <c r="CG74" s="336">
        <f>DATE(YEAR(CF74),MONTH(CF74)+24,DAY(CF74))</f>
        <v>731</v>
      </c>
      <c r="CH74" s="336">
        <f>DATE(YEAR(CF74),MONTH(CF74)+36,DAY(CF74))</f>
        <v>1096</v>
      </c>
      <c r="CI74" s="336"/>
      <c r="CJ74" s="302"/>
      <c r="CK74" s="308"/>
      <c r="CL74" s="161"/>
      <c r="CM74" s="371"/>
      <c r="CN74" s="161"/>
      <c r="CO74" s="161"/>
      <c r="CP74" s="162"/>
      <c r="CQ74" s="367"/>
      <c r="CR74" s="162"/>
      <c r="CS74" s="162"/>
      <c r="CT74" s="162"/>
      <c r="CU74" s="367"/>
      <c r="CV74" s="162"/>
      <c r="CW74" s="162"/>
      <c r="CX74" s="162"/>
      <c r="CY74" s="367"/>
      <c r="CZ74" s="162"/>
      <c r="DA74" s="162"/>
      <c r="DB74" s="299"/>
      <c r="DC74" s="299"/>
      <c r="DD74" s="299"/>
      <c r="DE74" s="312"/>
      <c r="DF74" s="312"/>
      <c r="DG74" s="312"/>
      <c r="DH74" s="312"/>
      <c r="DI74" s="312"/>
      <c r="DJ74" s="312"/>
      <c r="DK74" s="293"/>
      <c r="DL74" s="293"/>
      <c r="DM74" s="293"/>
      <c r="DN74" s="293"/>
      <c r="DO74" s="293"/>
      <c r="DP74" s="293"/>
      <c r="DQ74" s="443"/>
      <c r="DR74" s="443"/>
      <c r="DS74" s="443"/>
      <c r="DT74" s="298"/>
      <c r="DU74" s="443"/>
      <c r="DV74" s="443"/>
      <c r="DW74" s="443"/>
      <c r="DX74" s="423"/>
      <c r="DY74" s="423"/>
      <c r="DZ74" s="423"/>
      <c r="EA74" s="434">
        <v>43497</v>
      </c>
      <c r="EB74" s="423"/>
      <c r="EC74" s="430">
        <v>16</v>
      </c>
      <c r="ED74" s="430">
        <f>EC74+2</f>
        <v>18</v>
      </c>
      <c r="EE74" s="422">
        <f>DATEDIF(EA74,EN74,"M")</f>
        <v>16</v>
      </c>
      <c r="EF74" s="422">
        <f>DATEDIF(EA74,EV74,"M")</f>
        <v>17</v>
      </c>
      <c r="EG74" s="422">
        <f>EE74-EC74</f>
        <v>0</v>
      </c>
      <c r="EH74" s="422"/>
      <c r="EI74" s="431"/>
      <c r="EJ74" s="431"/>
      <c r="EK74" s="423"/>
      <c r="EL74" s="423"/>
      <c r="EM74" s="423"/>
      <c r="EN74" s="210">
        <f>DATE(YEAR(EA74),MONTH(EA74)+EC74,DAY(EA74))</f>
        <v>43983</v>
      </c>
      <c r="EO74" s="210">
        <f>DATE(YEAR(DV74)+2,MONTH(DV74),DAY(DV74))</f>
        <v>731</v>
      </c>
      <c r="EP74" s="423"/>
      <c r="EQ74" s="423"/>
      <c r="ER74" s="423"/>
      <c r="ES74" s="423"/>
      <c r="ET74" s="423"/>
      <c r="EU74" s="210">
        <f>DATE(YEAR(EN74),MONTH(EN74)+1,DAY(EN74))</f>
        <v>44013</v>
      </c>
      <c r="EV74" s="206">
        <f>EU74</f>
        <v>44013</v>
      </c>
      <c r="EW74" s="206"/>
      <c r="EX74" s="206"/>
      <c r="EY74" s="434"/>
      <c r="EZ74" s="212"/>
      <c r="FA74" s="212"/>
      <c r="FB74" s="212"/>
      <c r="FC74" s="212"/>
      <c r="FD74" s="110"/>
      <c r="FE74" s="110"/>
      <c r="FF74" s="110"/>
      <c r="FG74" s="110"/>
      <c r="FH74" s="110"/>
      <c r="FI74" s="110"/>
      <c r="FJ74" s="110"/>
      <c r="FK74" s="110"/>
      <c r="FL74" s="110"/>
      <c r="FM74" s="110"/>
      <c r="FN74" s="110"/>
      <c r="FO74" s="110"/>
      <c r="FP74" s="199"/>
      <c r="FQ74" s="153">
        <f>+GA74+GE74+GL74+HF74+GQ74</f>
        <v>1000000</v>
      </c>
      <c r="FR74" s="124">
        <f>GB74+GF74+GK74+GM74+GQ74</f>
        <v>1000000</v>
      </c>
      <c r="FS74" s="154">
        <f>FR74-FQ74</f>
        <v>0</v>
      </c>
      <c r="FT74" s="98">
        <f>FQ74/AG74</f>
        <v>344.23407917383821</v>
      </c>
      <c r="FU74" s="98" t="e">
        <f>FQ74/AD74</f>
        <v>#DIV/0!</v>
      </c>
      <c r="FV74" s="153"/>
      <c r="FW74" s="124"/>
      <c r="FX74" s="154">
        <f>FW74-FV74</f>
        <v>0</v>
      </c>
      <c r="FY74" s="232">
        <f>FW74*1.021/FR74</f>
        <v>0</v>
      </c>
      <c r="FZ74" s="234"/>
      <c r="GA74" s="153"/>
      <c r="GB74" s="124"/>
      <c r="GC74" s="98" t="e">
        <f>GA74/AD74</f>
        <v>#DIV/0!</v>
      </c>
      <c r="GD74" s="155"/>
      <c r="GE74" s="153"/>
      <c r="GF74" s="124"/>
      <c r="GG74" s="147"/>
      <c r="GH74" s="147"/>
      <c r="GI74" s="155">
        <f>GF74-GE74</f>
        <v>0</v>
      </c>
      <c r="GJ74" s="98" t="e">
        <f>GE74/AD74</f>
        <v>#DIV/0!</v>
      </c>
      <c r="GK74" s="124"/>
      <c r="GL74" s="153">
        <v>1000000</v>
      </c>
      <c r="GM74" s="124">
        <f>GL74</f>
        <v>1000000</v>
      </c>
      <c r="GN74" s="124"/>
      <c r="GO74" s="76">
        <f>GL74/FQ74</f>
        <v>1</v>
      </c>
      <c r="GP74" s="590"/>
      <c r="GQ74" s="124"/>
      <c r="GR74" s="149">
        <f>GM74-GL74</f>
        <v>0</v>
      </c>
      <c r="GS74" s="50" t="e">
        <f>GL74/AD74</f>
        <v>#DIV/0!</v>
      </c>
      <c r="GT74" s="138" t="e">
        <f>(GA74+GL74)/AD74</f>
        <v>#DIV/0!</v>
      </c>
      <c r="GU74" s="149" t="e">
        <f>GR74/AD74</f>
        <v>#DIV/0!</v>
      </c>
      <c r="GV74" s="150"/>
      <c r="GW74" s="150"/>
      <c r="GX74" s="151"/>
      <c r="GY74" s="151"/>
      <c r="GZ74" s="98" t="e">
        <f>(GA74+GL74+GY74)/AD74</f>
        <v>#DIV/0!</v>
      </c>
      <c r="HA74" s="151"/>
      <c r="HB74" s="98" t="e">
        <f>(GB74+GM74+GY74+HA74)/AD74</f>
        <v>#DIV/0!</v>
      </c>
      <c r="HC74" s="99">
        <f>(GA74+GL74+GY74+HA74)/(GX74+FQ74-HD74)</f>
        <v>1</v>
      </c>
      <c r="HD74" s="151"/>
      <c r="HE74" s="151"/>
      <c r="HF74" s="124"/>
      <c r="HG74" s="77">
        <f>FQ74+GX74</f>
        <v>1000000</v>
      </c>
      <c r="HH74" s="491"/>
      <c r="HI74" s="491"/>
      <c r="HJ74" s="494"/>
      <c r="HK74" s="491"/>
      <c r="HL74" s="477"/>
      <c r="HM74" s="477">
        <f>DATE(YEAR(HL74),MONTH(HL74),DAY(HL74)+21)</f>
        <v>21</v>
      </c>
      <c r="HN74" s="477"/>
      <c r="HO74" s="497" t="str">
        <f>IF(AND(HM74&gt;0,HN74&gt;0),HN74-HM74,"0")</f>
        <v>0</v>
      </c>
      <c r="HP74" s="477"/>
      <c r="HQ74" s="481" t="str">
        <f>IF(AND(HN74&gt;0,HP74&gt;0),HP74-HN74,"0")</f>
        <v>0</v>
      </c>
      <c r="HR74" s="497">
        <f>+HQ74-30</f>
        <v>-30</v>
      </c>
      <c r="HS74" s="506" t="str">
        <f>IF(AND(HL74&gt;0,HP74&gt;0),HP74-HL74,"0")</f>
        <v>0</v>
      </c>
      <c r="HT74" s="477"/>
      <c r="HU74" s="497" t="str">
        <f>IF(AND(HP74&gt;0,HT74&gt;0),HT74-HP74,"0")</f>
        <v>0</v>
      </c>
      <c r="HV74" s="477">
        <f>DATE(YEAR(HT74),MONTH(HT74),DAY(HT74)+21)</f>
        <v>21</v>
      </c>
      <c r="HW74" s="477"/>
      <c r="HX74" s="497" t="str">
        <f>IF(AND(HV74&gt;0,HW74&gt;0),HW74-HV74,"0")</f>
        <v>0</v>
      </c>
      <c r="HY74" s="476"/>
      <c r="HZ74" s="481" t="str">
        <f>IF(AND(HW74&gt;0,HY74&gt;0),HY74-HW74,"0")</f>
        <v>0</v>
      </c>
      <c r="IA74" s="497">
        <f>+HZ74-30</f>
        <v>-30</v>
      </c>
      <c r="IB74" s="506" t="str">
        <f>IF(AND(HT74&gt;0,HY74&gt;0),HY74-HT74,"0")</f>
        <v>0</v>
      </c>
      <c r="IC74" s="490"/>
      <c r="ID74" s="491"/>
      <c r="IE74" s="477"/>
      <c r="IF74" s="477"/>
      <c r="IG74" s="494"/>
      <c r="IH74" s="491"/>
      <c r="II74" s="478"/>
      <c r="IJ74" s="497" t="str">
        <f>IF(AND(HY74&gt;0,II74&gt;0),II74-HY74,"0")</f>
        <v>0</v>
      </c>
      <c r="IK74" s="478"/>
      <c r="IL74" s="478">
        <f ca="1">IF(IK74&lt;TODAY(),TODAY(),IK74)</f>
        <v>42789</v>
      </c>
      <c r="IM74" s="497" t="str">
        <f ca="1">IF(AND(IK74&gt;0,IL74&gt;0),IL74-IK74,"0")</f>
        <v>0</v>
      </c>
      <c r="IN74" s="478"/>
      <c r="IO74" s="481" t="str">
        <f ca="1">IF(AND(IL74&gt;0,IN74&gt;0),IN74-IL74,"0")</f>
        <v>0</v>
      </c>
      <c r="IP74" s="497">
        <f ca="1">+IO74-30</f>
        <v>-30</v>
      </c>
      <c r="IQ74" s="506" t="str">
        <f>IF(AND(II74&gt;0,IN74&gt;0),IN74-II74,"0")</f>
        <v>0</v>
      </c>
      <c r="IR74" s="490"/>
      <c r="IS74" s="491"/>
      <c r="IT74" s="478"/>
      <c r="IU74" s="498" t="str">
        <f>IF(AND(IN74&gt;0,IT74&gt;0),IT74-IN74,"0")</f>
        <v>0</v>
      </c>
      <c r="IV74" s="478"/>
      <c r="IW74" s="206"/>
      <c r="IX74" s="498" t="str">
        <f>IF(AND(IV74&gt;0,IW74&gt;0),IW74-IV74,"0")</f>
        <v>0</v>
      </c>
      <c r="IY74" s="478"/>
      <c r="IZ74" s="482" t="str">
        <f>IF(AND(IW74&gt;0,IY74&gt;0),IY74-IW74,"0")</f>
        <v>0</v>
      </c>
      <c r="JA74" s="498">
        <f>IZ74-30</f>
        <v>-30</v>
      </c>
      <c r="JB74" s="508" t="str">
        <f>IF(AND(IT74&gt;0,IY74&gt;0),IY74-IT74,"0")</f>
        <v>0</v>
      </c>
      <c r="JC74" s="490"/>
      <c r="JD74" s="491"/>
      <c r="JE74" s="212"/>
      <c r="JF74" s="487" t="str">
        <f>IF(AND(IY74&gt;0,JE74&gt;0),JE74-IY74,"0")</f>
        <v>0</v>
      </c>
      <c r="JG74" s="212">
        <f>DATE(YEAR(JE74),MONTH(JE74),DAY(JE74)+15)</f>
        <v>15</v>
      </c>
      <c r="JH74" s="212">
        <f ca="1">TODAY()</f>
        <v>42789</v>
      </c>
      <c r="JI74" s="487">
        <f ca="1">IF(AND(JG74&gt;0,JH74&gt;0),JH74-JG74,"0")</f>
        <v>42774</v>
      </c>
      <c r="JJ74" s="212">
        <f ca="1">DATE(YEAR(JH74),MONTH(JH74),DAY(JH74)+15)</f>
        <v>42804</v>
      </c>
      <c r="JK74" s="212"/>
      <c r="JL74" s="487" t="str">
        <f ca="1">IF(AND(JJ74&gt;0,JK74&gt;0),JK74-JJ74,"0")</f>
        <v>0</v>
      </c>
      <c r="JM74" s="509" t="str">
        <f>IF(AND(JE74&gt;0,JK74&gt;0),JK74-JE74,"0")</f>
        <v>0</v>
      </c>
      <c r="JN74" s="212">
        <f>DATE(YEAR(JK74),MONTH(JK74),DAY(JK74)+60)</f>
        <v>60</v>
      </c>
      <c r="JO74" s="501" t="str">
        <f>IF(AND(JK74&gt;0,JN74&gt;0),JN74-JK74,"0")</f>
        <v>0</v>
      </c>
      <c r="JP74" s="498">
        <f>JO74-60</f>
        <v>-60</v>
      </c>
      <c r="JQ74" s="482">
        <f>291/30</f>
        <v>9.6999999999999993</v>
      </c>
      <c r="JR74" s="504">
        <f>((+HS74+HU74+IB74+IJ74+IQ74+IU74+JB74+JM74+JF74)/30)-JQ74</f>
        <v>-9.6999999999999993</v>
      </c>
      <c r="JS74" s="490"/>
      <c r="JT74" s="505"/>
      <c r="JU74" s="490"/>
      <c r="JV74" s="505"/>
      <c r="JW74" s="586"/>
      <c r="JX74" s="586"/>
      <c r="JY74" s="586"/>
      <c r="JZ74" s="586"/>
    </row>
    <row r="75" spans="1:286" ht="63" hidden="1" customHeight="1" x14ac:dyDescent="0.25">
      <c r="A75" s="146" t="s">
        <v>563</v>
      </c>
      <c r="B75" s="110" t="s">
        <v>217</v>
      </c>
      <c r="C75" s="110" t="s">
        <v>159</v>
      </c>
      <c r="D75" s="110">
        <v>2018</v>
      </c>
      <c r="E75" s="110"/>
      <c r="F75" s="110"/>
      <c r="G75" s="110"/>
      <c r="H75" s="110"/>
      <c r="I75" s="110"/>
      <c r="J75" s="110" t="s">
        <v>569</v>
      </c>
      <c r="K75" s="453"/>
      <c r="L75" s="309"/>
      <c r="M75" s="310"/>
      <c r="N75" s="311"/>
      <c r="O75" s="379"/>
      <c r="P75" s="379"/>
      <c r="Q75" s="379"/>
      <c r="R75" s="379"/>
      <c r="S75" s="379"/>
      <c r="T75" s="387"/>
      <c r="U75" s="387"/>
      <c r="V75" s="387"/>
      <c r="W75" s="379"/>
      <c r="X75" s="380"/>
      <c r="Y75" s="381" t="e">
        <f>AH75/O75</f>
        <v>#DIV/0!</v>
      </c>
      <c r="Z75" s="380"/>
      <c r="AA75" s="380"/>
      <c r="AB75" s="381"/>
      <c r="AC75" s="111" t="s">
        <v>26</v>
      </c>
      <c r="AD75" s="342">
        <f>(AE75+AF75)</f>
        <v>0</v>
      </c>
      <c r="AE75" s="121"/>
      <c r="AF75" s="110">
        <f>85*0</f>
        <v>0</v>
      </c>
      <c r="AG75" s="114">
        <v>6176.04</v>
      </c>
      <c r="AH75" s="152">
        <f>AG75</f>
        <v>6176.04</v>
      </c>
      <c r="AI75" s="114" t="e">
        <f>AH75/AD75</f>
        <v>#DIV/0!</v>
      </c>
      <c r="AJ75" s="135"/>
      <c r="AK75" s="135"/>
      <c r="AL75" s="135"/>
      <c r="AM75" s="135"/>
      <c r="AN75" s="135"/>
      <c r="AO75" s="114"/>
      <c r="AP75" s="133"/>
      <c r="AQ75" s="135"/>
      <c r="AR75" s="114"/>
      <c r="AS75" s="110"/>
      <c r="AT75" s="110"/>
      <c r="AU75" s="110"/>
      <c r="AV75" s="110"/>
      <c r="AW75" s="332">
        <v>42388</v>
      </c>
      <c r="AX75" s="415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110"/>
      <c r="BM75" s="110"/>
      <c r="BN75" s="196"/>
      <c r="BO75" s="196"/>
      <c r="BP75" s="196"/>
      <c r="BQ75" s="196"/>
      <c r="BR75" s="196"/>
      <c r="BS75" s="196"/>
      <c r="BT75" s="158"/>
      <c r="BU75" s="376"/>
      <c r="BV75" s="160"/>
      <c r="BW75" s="160"/>
      <c r="BX75" s="160"/>
      <c r="BY75" s="160"/>
      <c r="BZ75" s="376"/>
      <c r="CA75" s="160"/>
      <c r="CB75" s="302"/>
      <c r="CC75" s="374"/>
      <c r="CD75" s="302"/>
      <c r="CE75" s="302"/>
      <c r="CF75" s="161"/>
      <c r="CG75" s="336">
        <f>DATE(YEAR(CF75),MONTH(CF75)+24,DAY(CF75))</f>
        <v>731</v>
      </c>
      <c r="CH75" s="336">
        <f>DATE(YEAR(CF75),MONTH(CF75)+36,DAY(CF75))</f>
        <v>1096</v>
      </c>
      <c r="CI75" s="336"/>
      <c r="CJ75" s="302"/>
      <c r="CK75" s="308"/>
      <c r="CL75" s="161"/>
      <c r="CM75" s="371"/>
      <c r="CN75" s="161"/>
      <c r="CO75" s="161"/>
      <c r="CP75" s="162"/>
      <c r="CQ75" s="367"/>
      <c r="CR75" s="162"/>
      <c r="CS75" s="162"/>
      <c r="CT75" s="162"/>
      <c r="CU75" s="367"/>
      <c r="CV75" s="162"/>
      <c r="CW75" s="162"/>
      <c r="CX75" s="162"/>
      <c r="CY75" s="367"/>
      <c r="CZ75" s="162"/>
      <c r="DA75" s="162"/>
      <c r="DB75" s="299"/>
      <c r="DC75" s="299"/>
      <c r="DD75" s="299"/>
      <c r="DE75" s="312"/>
      <c r="DF75" s="312"/>
      <c r="DG75" s="312"/>
      <c r="DH75" s="312"/>
      <c r="DI75" s="312"/>
      <c r="DJ75" s="312"/>
      <c r="DK75" s="293"/>
      <c r="DL75" s="293"/>
      <c r="DM75" s="293"/>
      <c r="DN75" s="293"/>
      <c r="DO75" s="293"/>
      <c r="DP75" s="293"/>
      <c r="DQ75" s="443"/>
      <c r="DR75" s="443"/>
      <c r="DS75" s="443"/>
      <c r="DT75" s="298"/>
      <c r="DU75" s="443"/>
      <c r="DV75" s="443"/>
      <c r="DW75" s="443"/>
      <c r="DX75" s="423"/>
      <c r="DY75" s="423"/>
      <c r="DZ75" s="423"/>
      <c r="EA75" s="434">
        <v>43497</v>
      </c>
      <c r="EB75" s="423"/>
      <c r="EC75" s="430">
        <v>16</v>
      </c>
      <c r="ED75" s="430">
        <f>EC75+2</f>
        <v>18</v>
      </c>
      <c r="EE75" s="422">
        <f>DATEDIF(EA75,EN75,"M")</f>
        <v>16</v>
      </c>
      <c r="EF75" s="422">
        <f>DATEDIF(EA75,EV75,"M")</f>
        <v>17</v>
      </c>
      <c r="EG75" s="422">
        <f>EE75-EC75</f>
        <v>0</v>
      </c>
      <c r="EH75" s="422"/>
      <c r="EI75" s="431"/>
      <c r="EJ75" s="431"/>
      <c r="EK75" s="423"/>
      <c r="EL75" s="423"/>
      <c r="EM75" s="423"/>
      <c r="EN75" s="210">
        <f>DATE(YEAR(EA75),MONTH(EA75)+EC75,DAY(EA75))</f>
        <v>43983</v>
      </c>
      <c r="EO75" s="210">
        <f>DATE(YEAR(DV75)+2,MONTH(DV75),DAY(DV75))</f>
        <v>731</v>
      </c>
      <c r="EP75" s="423"/>
      <c r="EQ75" s="423"/>
      <c r="ER75" s="423"/>
      <c r="ES75" s="423"/>
      <c r="ET75" s="423"/>
      <c r="EU75" s="210">
        <f>DATE(YEAR(EN75),MONTH(EN75)+1,DAY(EN75))</f>
        <v>44013</v>
      </c>
      <c r="EV75" s="206">
        <f>EU75</f>
        <v>44013</v>
      </c>
      <c r="EW75" s="206"/>
      <c r="EX75" s="206"/>
      <c r="EY75" s="434"/>
      <c r="EZ75" s="212"/>
      <c r="FA75" s="212"/>
      <c r="FB75" s="212"/>
      <c r="FC75" s="212"/>
      <c r="FD75" s="110"/>
      <c r="FE75" s="110"/>
      <c r="FF75" s="110"/>
      <c r="FG75" s="110"/>
      <c r="FH75" s="110"/>
      <c r="FI75" s="110"/>
      <c r="FJ75" s="110"/>
      <c r="FK75" s="110"/>
      <c r="FL75" s="110"/>
      <c r="FM75" s="110"/>
      <c r="FN75" s="110"/>
      <c r="FO75" s="110"/>
      <c r="FP75" s="199"/>
      <c r="FQ75" s="153">
        <f>+GA75+GE75+GL75+HF75+GQ75</f>
        <v>1700000</v>
      </c>
      <c r="FR75" s="124">
        <f>GB75+GF75+GK75+GM75+GQ75</f>
        <v>1700000</v>
      </c>
      <c r="FS75" s="154">
        <f>FR75-FQ75</f>
        <v>0</v>
      </c>
      <c r="FT75" s="98">
        <f>FQ75/AG75</f>
        <v>275.25728460307897</v>
      </c>
      <c r="FU75" s="98" t="e">
        <f>FQ75/AD75</f>
        <v>#DIV/0!</v>
      </c>
      <c r="FV75" s="153"/>
      <c r="FW75" s="124"/>
      <c r="FX75" s="154">
        <f>FW75-FV75</f>
        <v>0</v>
      </c>
      <c r="FY75" s="232">
        <f>FW75*1.021/FR75</f>
        <v>0</v>
      </c>
      <c r="FZ75" s="234"/>
      <c r="GA75" s="153"/>
      <c r="GB75" s="124"/>
      <c r="GC75" s="98" t="e">
        <f>GA75/AD75</f>
        <v>#DIV/0!</v>
      </c>
      <c r="GD75" s="155"/>
      <c r="GE75" s="153"/>
      <c r="GF75" s="124"/>
      <c r="GG75" s="147"/>
      <c r="GH75" s="147"/>
      <c r="GI75" s="155">
        <f>GF75-GE75</f>
        <v>0</v>
      </c>
      <c r="GJ75" s="98" t="e">
        <f>GE75/AD75</f>
        <v>#DIV/0!</v>
      </c>
      <c r="GK75" s="124"/>
      <c r="GL75" s="153">
        <v>1700000</v>
      </c>
      <c r="GM75" s="124">
        <f>GL75</f>
        <v>1700000</v>
      </c>
      <c r="GN75" s="124"/>
      <c r="GO75" s="76">
        <f>GL75/FQ75</f>
        <v>1</v>
      </c>
      <c r="GP75" s="590"/>
      <c r="GQ75" s="124"/>
      <c r="GR75" s="149">
        <f>GM75-GL75</f>
        <v>0</v>
      </c>
      <c r="GS75" s="50" t="e">
        <f>GL75/AD75</f>
        <v>#DIV/0!</v>
      </c>
      <c r="GT75" s="138" t="e">
        <f>(GA75+GL75)/AD75</f>
        <v>#DIV/0!</v>
      </c>
      <c r="GU75" s="149" t="e">
        <f>GR75/AD75</f>
        <v>#DIV/0!</v>
      </c>
      <c r="GV75" s="150"/>
      <c r="GW75" s="150"/>
      <c r="GX75" s="151"/>
      <c r="GY75" s="151"/>
      <c r="GZ75" s="98" t="e">
        <f>(GA75+GL75+GY75)/AD75</f>
        <v>#DIV/0!</v>
      </c>
      <c r="HA75" s="151"/>
      <c r="HB75" s="98" t="e">
        <f>(GB75+GM75+GY75+HA75)/AD75</f>
        <v>#DIV/0!</v>
      </c>
      <c r="HC75" s="99">
        <f>(GA75+GL75+GY75+HA75)/(GX75+FQ75-HD75)</f>
        <v>1</v>
      </c>
      <c r="HD75" s="151"/>
      <c r="HE75" s="151"/>
      <c r="HF75" s="124"/>
      <c r="HG75" s="77">
        <f>FQ75+GX75</f>
        <v>1700000</v>
      </c>
      <c r="HH75" s="491"/>
      <c r="HI75" s="491"/>
      <c r="HJ75" s="494"/>
      <c r="HK75" s="491"/>
      <c r="HL75" s="477"/>
      <c r="HM75" s="477">
        <f>DATE(YEAR(HL75),MONTH(HL75),DAY(HL75)+21)</f>
        <v>21</v>
      </c>
      <c r="HN75" s="477"/>
      <c r="HO75" s="497" t="str">
        <f>IF(AND(HM75&gt;0,HN75&gt;0),HN75-HM75,"0")</f>
        <v>0</v>
      </c>
      <c r="HP75" s="477"/>
      <c r="HQ75" s="481" t="str">
        <f>IF(AND(HN75&gt;0,HP75&gt;0),HP75-HN75,"0")</f>
        <v>0</v>
      </c>
      <c r="HR75" s="497">
        <f>+HQ75-30</f>
        <v>-30</v>
      </c>
      <c r="HS75" s="506" t="str">
        <f>IF(AND(HL75&gt;0,HP75&gt;0),HP75-HL75,"0")</f>
        <v>0</v>
      </c>
      <c r="HT75" s="477"/>
      <c r="HU75" s="497" t="str">
        <f>IF(AND(HP75&gt;0,HT75&gt;0),HT75-HP75,"0")</f>
        <v>0</v>
      </c>
      <c r="HV75" s="477">
        <f>DATE(YEAR(HT75),MONTH(HT75),DAY(HT75)+21)</f>
        <v>21</v>
      </c>
      <c r="HW75" s="477"/>
      <c r="HX75" s="497" t="str">
        <f>IF(AND(HV75&gt;0,HW75&gt;0),HW75-HV75,"0")</f>
        <v>0</v>
      </c>
      <c r="HY75" s="476"/>
      <c r="HZ75" s="481" t="str">
        <f>IF(AND(HW75&gt;0,HY75&gt;0),HY75-HW75,"0")</f>
        <v>0</v>
      </c>
      <c r="IA75" s="497">
        <f>+HZ75-30</f>
        <v>-30</v>
      </c>
      <c r="IB75" s="506" t="str">
        <f>IF(AND(HT75&gt;0,HY75&gt;0),HY75-HT75,"0")</f>
        <v>0</v>
      </c>
      <c r="IC75" s="490"/>
      <c r="ID75" s="491"/>
      <c r="IE75" s="477"/>
      <c r="IF75" s="477"/>
      <c r="IG75" s="494"/>
      <c r="IH75" s="491"/>
      <c r="II75" s="478"/>
      <c r="IJ75" s="497" t="str">
        <f>IF(AND(HY75&gt;0,II75&gt;0),II75-HY75,"0")</f>
        <v>0</v>
      </c>
      <c r="IK75" s="478"/>
      <c r="IL75" s="478">
        <f ca="1">IF(IK75&lt;TODAY(),TODAY(),IK75)</f>
        <v>42789</v>
      </c>
      <c r="IM75" s="497" t="str">
        <f ca="1">IF(AND(IK75&gt;0,IL75&gt;0),IL75-IK75,"0")</f>
        <v>0</v>
      </c>
      <c r="IN75" s="478"/>
      <c r="IO75" s="481" t="str">
        <f ca="1">IF(AND(IL75&gt;0,IN75&gt;0),IN75-IL75,"0")</f>
        <v>0</v>
      </c>
      <c r="IP75" s="497">
        <f ca="1">+IO75-30</f>
        <v>-30</v>
      </c>
      <c r="IQ75" s="506" t="str">
        <f>IF(AND(II75&gt;0,IN75&gt;0),IN75-II75,"0")</f>
        <v>0</v>
      </c>
      <c r="IR75" s="490"/>
      <c r="IS75" s="491"/>
      <c r="IT75" s="478"/>
      <c r="IU75" s="498" t="str">
        <f>IF(AND(IN75&gt;0,IT75&gt;0),IT75-IN75,"0")</f>
        <v>0</v>
      </c>
      <c r="IV75" s="478"/>
      <c r="IW75" s="206"/>
      <c r="IX75" s="498" t="str">
        <f>IF(AND(IV75&gt;0,IW75&gt;0),IW75-IV75,"0")</f>
        <v>0</v>
      </c>
      <c r="IY75" s="478"/>
      <c r="IZ75" s="482" t="str">
        <f>IF(AND(IW75&gt;0,IY75&gt;0),IY75-IW75,"0")</f>
        <v>0</v>
      </c>
      <c r="JA75" s="498">
        <f>IZ75-30</f>
        <v>-30</v>
      </c>
      <c r="JB75" s="508" t="str">
        <f>IF(AND(IT75&gt;0,IY75&gt;0),IY75-IT75,"0")</f>
        <v>0</v>
      </c>
      <c r="JC75" s="490"/>
      <c r="JD75" s="491"/>
      <c r="JE75" s="212"/>
      <c r="JF75" s="487" t="str">
        <f>IF(AND(IY75&gt;0,JE75&gt;0),JE75-IY75,"0")</f>
        <v>0</v>
      </c>
      <c r="JG75" s="212">
        <f>DATE(YEAR(JE75),MONTH(JE75),DAY(JE75)+15)</f>
        <v>15</v>
      </c>
      <c r="JH75" s="212">
        <f ca="1">TODAY()</f>
        <v>42789</v>
      </c>
      <c r="JI75" s="487">
        <f ca="1">IF(AND(JG75&gt;0,JH75&gt;0),JH75-JG75,"0")</f>
        <v>42774</v>
      </c>
      <c r="JJ75" s="212">
        <f ca="1">DATE(YEAR(JH75),MONTH(JH75),DAY(JH75)+15)</f>
        <v>42804</v>
      </c>
      <c r="JK75" s="212"/>
      <c r="JL75" s="487" t="str">
        <f ca="1">IF(AND(JJ75&gt;0,JK75&gt;0),JK75-JJ75,"0")</f>
        <v>0</v>
      </c>
      <c r="JM75" s="509" t="str">
        <f>IF(AND(JE75&gt;0,JK75&gt;0),JK75-JE75,"0")</f>
        <v>0</v>
      </c>
      <c r="JN75" s="212">
        <f>DATE(YEAR(JK75),MONTH(JK75),DAY(JK75)+60)</f>
        <v>60</v>
      </c>
      <c r="JO75" s="501" t="str">
        <f>IF(AND(JK75&gt;0,JN75&gt;0),JN75-JK75,"0")</f>
        <v>0</v>
      </c>
      <c r="JP75" s="498">
        <f>JO75-60</f>
        <v>-60</v>
      </c>
      <c r="JQ75" s="482">
        <f>291/30</f>
        <v>9.6999999999999993</v>
      </c>
      <c r="JR75" s="504">
        <f>((+HS75+HU75+IB75+IJ75+IQ75+IU75+JB75+JM75+JF75)/30)-JQ75</f>
        <v>-9.6999999999999993</v>
      </c>
      <c r="JS75" s="490"/>
      <c r="JT75" s="505"/>
      <c r="JU75" s="490"/>
      <c r="JV75" s="505"/>
      <c r="JW75" s="586"/>
      <c r="JX75" s="586"/>
      <c r="JY75" s="586"/>
      <c r="JZ75" s="586"/>
    </row>
    <row r="76" spans="1:286" ht="63" hidden="1" customHeight="1" x14ac:dyDescent="0.25">
      <c r="A76" s="552" t="s">
        <v>367</v>
      </c>
      <c r="B76" s="110" t="s">
        <v>46</v>
      </c>
      <c r="C76" s="110" t="s">
        <v>157</v>
      </c>
      <c r="D76" s="110">
        <v>2019</v>
      </c>
      <c r="E76" s="110" t="s">
        <v>373</v>
      </c>
      <c r="F76" s="110" t="s">
        <v>630</v>
      </c>
      <c r="G76" s="110" t="s">
        <v>273</v>
      </c>
      <c r="H76" s="110" t="s">
        <v>366</v>
      </c>
      <c r="I76" s="110"/>
      <c r="J76" s="110"/>
      <c r="K76" s="453"/>
      <c r="L76" s="309"/>
      <c r="M76" s="310"/>
      <c r="N76" s="311"/>
      <c r="O76" s="379">
        <v>5300</v>
      </c>
      <c r="P76" s="379">
        <v>533400</v>
      </c>
      <c r="Q76" s="379">
        <v>533400</v>
      </c>
      <c r="R76" s="379">
        <v>6061.363636363636</v>
      </c>
      <c r="S76" s="379">
        <v>100.64150943396227</v>
      </c>
      <c r="T76" s="387">
        <v>100.64150943396227</v>
      </c>
      <c r="U76" s="387">
        <v>81.033042157235087</v>
      </c>
      <c r="V76" s="387">
        <v>6061.363636363636</v>
      </c>
      <c r="W76" s="379">
        <v>60.227272727272727</v>
      </c>
      <c r="X76" s="380"/>
      <c r="Y76" s="381">
        <f>AH76/O76</f>
        <v>1.2419811320754717</v>
      </c>
      <c r="Z76" s="380" t="s">
        <v>303</v>
      </c>
      <c r="AA76" s="380">
        <v>560</v>
      </c>
      <c r="AB76" s="381">
        <v>0.1</v>
      </c>
      <c r="AC76" s="111" t="s">
        <v>26</v>
      </c>
      <c r="AD76" s="342">
        <f>(AE76+AF76)</f>
        <v>78</v>
      </c>
      <c r="AE76" s="121"/>
      <c r="AF76" s="110">
        <v>78</v>
      </c>
      <c r="AG76" s="114">
        <v>6582.5</v>
      </c>
      <c r="AH76" s="152">
        <v>6582.5</v>
      </c>
      <c r="AI76" s="114">
        <f>AH76/AD76</f>
        <v>84.391025641025635</v>
      </c>
      <c r="AJ76" s="135">
        <v>0.15</v>
      </c>
      <c r="AK76" s="135">
        <v>0.3</v>
      </c>
      <c r="AL76" s="135">
        <v>0.3</v>
      </c>
      <c r="AM76" s="135">
        <v>0.2</v>
      </c>
      <c r="AN76" s="135">
        <v>0.06</v>
      </c>
      <c r="AO76" s="114"/>
      <c r="AP76" s="133">
        <v>0</v>
      </c>
      <c r="AQ76" s="135">
        <v>0</v>
      </c>
      <c r="AR76" s="114"/>
      <c r="AS76" s="110">
        <v>5</v>
      </c>
      <c r="AT76" s="110" t="s">
        <v>316</v>
      </c>
      <c r="AU76" s="110"/>
      <c r="AV76" s="110" t="s">
        <v>168</v>
      </c>
      <c r="AW76" s="332">
        <v>41961</v>
      </c>
      <c r="AX76" s="415"/>
      <c r="AY76" s="110"/>
      <c r="AZ76" s="110"/>
      <c r="BA76" s="110"/>
      <c r="BB76" s="110"/>
      <c r="BC76" s="110"/>
      <c r="BD76" s="110"/>
      <c r="BE76" s="110"/>
      <c r="BF76" s="110"/>
      <c r="BG76" s="110"/>
      <c r="BH76" s="110"/>
      <c r="BI76" s="110"/>
      <c r="BJ76" s="110"/>
      <c r="BK76" s="110"/>
      <c r="BL76" s="110"/>
      <c r="BM76" s="110"/>
      <c r="BN76" s="196"/>
      <c r="BO76" s="196"/>
      <c r="BP76" s="196"/>
      <c r="BQ76" s="196"/>
      <c r="BR76" s="196"/>
      <c r="BS76" s="196"/>
      <c r="BT76" s="158"/>
      <c r="BU76" s="376">
        <v>41956</v>
      </c>
      <c r="BV76" s="160"/>
      <c r="BW76" s="160"/>
      <c r="BX76" s="160"/>
      <c r="BY76" s="160"/>
      <c r="BZ76" s="376"/>
      <c r="CA76" s="160"/>
      <c r="CB76" s="302"/>
      <c r="CC76" s="374"/>
      <c r="CD76" s="302"/>
      <c r="CE76" s="302"/>
      <c r="CF76" s="161"/>
      <c r="CG76" s="336">
        <f>DATE(YEAR(CF76),MONTH(CF76)+24,DAY(CF76))</f>
        <v>731</v>
      </c>
      <c r="CH76" s="336">
        <f>DATE(YEAR(CF76),MONTH(CF76)+36,DAY(CF76))</f>
        <v>1096</v>
      </c>
      <c r="CI76" s="336"/>
      <c r="CJ76" s="302"/>
      <c r="CK76" s="308"/>
      <c r="CL76" s="161"/>
      <c r="CM76" s="371"/>
      <c r="CN76" s="161"/>
      <c r="CO76" s="161"/>
      <c r="CP76" s="162"/>
      <c r="CQ76" s="367"/>
      <c r="CR76" s="162"/>
      <c r="CS76" s="162"/>
      <c r="CT76" s="162"/>
      <c r="CU76" s="367"/>
      <c r="CV76" s="162"/>
      <c r="CW76" s="162"/>
      <c r="CX76" s="162"/>
      <c r="CY76" s="367"/>
      <c r="CZ76" s="162"/>
      <c r="DA76" s="162"/>
      <c r="DB76" s="299"/>
      <c r="DC76" s="299"/>
      <c r="DD76" s="299"/>
      <c r="DE76" s="312"/>
      <c r="DF76" s="312"/>
      <c r="DG76" s="312"/>
      <c r="DH76" s="312"/>
      <c r="DI76" s="312"/>
      <c r="DJ76" s="312"/>
      <c r="DK76" s="293"/>
      <c r="DL76" s="293"/>
      <c r="DM76" s="293"/>
      <c r="DN76" s="293"/>
      <c r="DO76" s="293"/>
      <c r="DP76" s="293"/>
      <c r="DQ76" s="443"/>
      <c r="DR76" s="443"/>
      <c r="DS76" s="443"/>
      <c r="DT76" s="298"/>
      <c r="DU76" s="443">
        <f>DATE(YEAR(DQ76),MONTH(DQ76)+18,DAY(DQ76))</f>
        <v>547</v>
      </c>
      <c r="DV76" s="443"/>
      <c r="DW76" s="443"/>
      <c r="DX76" s="423"/>
      <c r="DY76" s="423"/>
      <c r="DZ76" s="423"/>
      <c r="EA76" s="434">
        <v>43497</v>
      </c>
      <c r="EB76" s="423"/>
      <c r="EC76" s="430">
        <v>24</v>
      </c>
      <c r="ED76" s="430">
        <f>EC76+2</f>
        <v>26</v>
      </c>
      <c r="EE76" s="422">
        <f>DATEDIF(EA76,EN76,"M")</f>
        <v>24</v>
      </c>
      <c r="EF76" s="422">
        <f>DATEDIF(EA76,EV76,"M")</f>
        <v>25</v>
      </c>
      <c r="EG76" s="422">
        <f>EE76-EC76</f>
        <v>0</v>
      </c>
      <c r="EH76" s="422"/>
      <c r="EI76" s="431"/>
      <c r="EJ76" s="431"/>
      <c r="EK76" s="423"/>
      <c r="EL76" s="423"/>
      <c r="EM76" s="423"/>
      <c r="EN76" s="210">
        <f>DATE(YEAR(EA76),MONTH(EA76)+EC76,DAY(EA76))</f>
        <v>44228</v>
      </c>
      <c r="EO76" s="210">
        <f>DATE(YEAR(DV76)+2,MONTH(DV76),DAY(DV76))</f>
        <v>731</v>
      </c>
      <c r="EP76" s="423"/>
      <c r="EQ76" s="423"/>
      <c r="ER76" s="423"/>
      <c r="ES76" s="423"/>
      <c r="ET76" s="423"/>
      <c r="EU76" s="210">
        <f>DATE(YEAR(EN76),MONTH(EN76)+1,DAY(EN76))</f>
        <v>44256</v>
      </c>
      <c r="EV76" s="206">
        <f>EU76</f>
        <v>44256</v>
      </c>
      <c r="EW76" s="484"/>
      <c r="EX76" s="209"/>
      <c r="EY76" s="434"/>
      <c r="EZ76" s="212"/>
      <c r="FA76" s="212"/>
      <c r="FB76" s="212"/>
      <c r="FC76" s="212"/>
      <c r="FD76" s="110"/>
      <c r="FE76" s="110"/>
      <c r="FF76" s="110"/>
      <c r="FG76" s="110"/>
      <c r="FH76" s="110"/>
      <c r="FI76" s="110"/>
      <c r="FJ76" s="110"/>
      <c r="FK76" s="110"/>
      <c r="FL76" s="110"/>
      <c r="FM76" s="110"/>
      <c r="FN76" s="110"/>
      <c r="FO76" s="110"/>
      <c r="FP76" s="199"/>
      <c r="FQ76" s="153">
        <f>+GA76+GE76+GL76+HF76+GQ76</f>
        <v>12848489.337011022</v>
      </c>
      <c r="FR76" s="124">
        <v>0</v>
      </c>
      <c r="FS76" s="154">
        <v>-12848489.337011022</v>
      </c>
      <c r="FT76" s="98">
        <f>FQ76/AG76</f>
        <v>1951.9163443996995</v>
      </c>
      <c r="FU76" s="98">
        <f>FQ76/AD76</f>
        <v>164724.22226937208</v>
      </c>
      <c r="FV76" s="153"/>
      <c r="FW76" s="124"/>
      <c r="FX76" s="154">
        <v>0</v>
      </c>
      <c r="FY76" s="232">
        <v>0</v>
      </c>
      <c r="FZ76" s="232"/>
      <c r="GA76" s="153">
        <v>4247922.3040114455</v>
      </c>
      <c r="GB76" s="124"/>
      <c r="GC76" s="98">
        <f>GA76/AD76</f>
        <v>54460.542359121093</v>
      </c>
      <c r="GD76" s="155">
        <v>-4247922.3040114455</v>
      </c>
      <c r="GE76" s="153">
        <v>7600567.032999577</v>
      </c>
      <c r="GF76" s="124">
        <v>0</v>
      </c>
      <c r="GG76" s="147"/>
      <c r="GH76" s="147"/>
      <c r="GI76" s="155">
        <v>-7600567.032999577</v>
      </c>
      <c r="GJ76" s="98">
        <f>GE76/AD76</f>
        <v>97443.16708973817</v>
      </c>
      <c r="GK76" s="124"/>
      <c r="GL76" s="153">
        <v>1000000</v>
      </c>
      <c r="GM76" s="124"/>
      <c r="GN76" s="124"/>
      <c r="GO76" s="76">
        <f>GL76/FQ76</f>
        <v>7.7830161489835709E-2</v>
      </c>
      <c r="GP76" s="590"/>
      <c r="GQ76" s="124">
        <v>0</v>
      </c>
      <c r="GR76" s="149">
        <v>-1000000</v>
      </c>
      <c r="GS76" s="50">
        <f>GL76/AD76</f>
        <v>12820.51282051282</v>
      </c>
      <c r="GT76" s="138">
        <f>(GA76+GL76)/AD76</f>
        <v>67281.055179633913</v>
      </c>
      <c r="GU76" s="149">
        <v>-11363.636363636364</v>
      </c>
      <c r="GV76" s="150"/>
      <c r="GW76" s="150"/>
      <c r="GX76" s="151">
        <v>0</v>
      </c>
      <c r="GY76" s="151">
        <v>0</v>
      </c>
      <c r="GZ76" s="98">
        <f>(GA76+GL76+GY76)/AD76</f>
        <v>67281.055179633913</v>
      </c>
      <c r="HA76" s="151">
        <v>0</v>
      </c>
      <c r="HB76" s="98">
        <f>(GB76+GM76+GY76+HA76)/AD76</f>
        <v>0</v>
      </c>
      <c r="HC76" s="99">
        <f>(GA76+GL76+GY76+HA76)/(GX76+FQ76-HD76)</f>
        <v>0.40844664040732148</v>
      </c>
      <c r="HD76" s="151">
        <v>0</v>
      </c>
      <c r="HE76" s="151"/>
      <c r="HF76" s="124">
        <v>0</v>
      </c>
      <c r="HG76" s="77">
        <f>FQ76+GX76</f>
        <v>12848489.337011022</v>
      </c>
      <c r="HH76" s="491"/>
      <c r="HI76" s="491"/>
      <c r="HJ76" s="494"/>
      <c r="HK76" s="505">
        <f>$HK$1*HH76</f>
        <v>0</v>
      </c>
      <c r="HL76" s="450">
        <f ca="1">TODAY()</f>
        <v>42789</v>
      </c>
      <c r="HM76" s="464">
        <f ca="1">DATE(YEAR(HL76),MONTH(HL76),DAY(HL76)+21)</f>
        <v>42810</v>
      </c>
      <c r="HN76" s="464">
        <f ca="1">IF(HM76&lt;TODAY(),TODAY(),HM76)</f>
        <v>42810</v>
      </c>
      <c r="HO76" s="497">
        <f ca="1">IF(AND(HM76&gt;0,HN76&gt;0),HN76-HM76,"0")</f>
        <v>0</v>
      </c>
      <c r="HP76" s="464">
        <f ca="1">DATE(YEAR(HL76),MONTH(HL76),DAY(HL76)+21)</f>
        <v>42810</v>
      </c>
      <c r="HQ76" s="481">
        <f ca="1">IF(AND(HN76&gt;0,HP76&gt;0),HP76-HN76,"0")</f>
        <v>0</v>
      </c>
      <c r="HR76" s="497">
        <f ca="1">+HQ76-30</f>
        <v>-30</v>
      </c>
      <c r="HS76" s="506">
        <f ca="1">IF(AND(HL76&gt;0,HP76&gt;0),HP76-HL76,"0")</f>
        <v>21</v>
      </c>
      <c r="HT76" s="450">
        <f ca="1">DATE(YEAR(HP76),MONTH(HP76),DAY(HP76)+30)</f>
        <v>42840</v>
      </c>
      <c r="HU76" s="497">
        <f ca="1">IF(AND(HP76&gt;0,HT76&gt;0),HT76-HP76,"0")</f>
        <v>30</v>
      </c>
      <c r="HV76" s="450">
        <f ca="1">DATE(YEAR(HT76),MONTH(HT76),DAY(HT76)+30)</f>
        <v>42870</v>
      </c>
      <c r="HW76" s="450">
        <f ca="1">IF(HV76&lt;TODAY(),TODAY(),HV76)</f>
        <v>42870</v>
      </c>
      <c r="HX76" s="497">
        <f ca="1">IF(AND(HV76&gt;0,HW76&gt;0),HW76-HV76,"0")</f>
        <v>0</v>
      </c>
      <c r="HY76" s="206">
        <f ca="1">DATE(YEAR(HV76),MONTH(HV76),DAY(HV76)+30)</f>
        <v>42900</v>
      </c>
      <c r="HZ76" s="481">
        <f ca="1">IF(AND(HW76&gt;0,HY76&gt;0),HY76-HW76,"0")</f>
        <v>30</v>
      </c>
      <c r="IA76" s="497">
        <f ca="1">+HZ76-30</f>
        <v>0</v>
      </c>
      <c r="IB76" s="506">
        <f ca="1">IF(AND(HT76&gt;0,HY76&gt;0),HY76-HT76,"0")</f>
        <v>60</v>
      </c>
      <c r="IC76" s="490"/>
      <c r="ID76" s="505">
        <f>$ID$1*HH76</f>
        <v>0</v>
      </c>
      <c r="IE76" s="450">
        <f ca="1">DATE(YEAR(HY76),MONTH(HY76),DAY(HY76)+15)</f>
        <v>42915</v>
      </c>
      <c r="IF76" s="450">
        <f ca="1">DATE(YEAR(IE76),MONTH(IE76),DAY(IE76)+7)</f>
        <v>42922</v>
      </c>
      <c r="IG76" s="494"/>
      <c r="IH76" s="505">
        <f>$IH$1*HH76</f>
        <v>0</v>
      </c>
      <c r="II76" s="206">
        <f ca="1">DATE(YEAR(IF76),MONTH(IF76),DAY(IF76)+21)</f>
        <v>42943</v>
      </c>
      <c r="IJ76" s="497">
        <f ca="1">IF(AND(HY76&gt;0,II76&gt;0),II76-HY76,"0")</f>
        <v>43</v>
      </c>
      <c r="IK76" s="206">
        <f ca="1">DATE(YEAR(II76),MONTH(II76),DAY(II76)+30)</f>
        <v>42973</v>
      </c>
      <c r="IL76" s="478">
        <f ca="1">IF(IK76&lt;TODAY(),TODAY(),IK76)</f>
        <v>42973</v>
      </c>
      <c r="IM76" s="497">
        <f ca="1">IF(AND(IK76&gt;0,IL76&gt;0),IL76-IK76,"0")</f>
        <v>0</v>
      </c>
      <c r="IN76" s="478"/>
      <c r="IO76" s="481" t="str">
        <f ca="1">IF(AND(IL76&gt;0,IN76&gt;0),IN76-IL76,"0")</f>
        <v>0</v>
      </c>
      <c r="IP76" s="497">
        <f ca="1">+IO76-30</f>
        <v>-30</v>
      </c>
      <c r="IQ76" s="506" t="str">
        <f ca="1">IF(AND(II76&gt;0,IN76&gt;0),IN76-II76,"0")</f>
        <v>0</v>
      </c>
      <c r="IR76" s="490"/>
      <c r="IS76" s="491"/>
      <c r="IT76" s="206">
        <f>IN76</f>
        <v>0</v>
      </c>
      <c r="IU76" s="498" t="str">
        <f>IF(AND(IN76&gt;0,IT76&gt;0),IT76-IN76,"0")</f>
        <v>0</v>
      </c>
      <c r="IV76" s="206">
        <f>DATE(YEAR(IT76),MONTH(IT76),DAY(IT76)+30)</f>
        <v>30</v>
      </c>
      <c r="IW76" s="206">
        <f ca="1">IF(IV76&lt;TODAY(),TODAY(),IV76)</f>
        <v>42789</v>
      </c>
      <c r="IX76" s="498">
        <f ca="1">IF(AND(IV76&gt;0,IW76&gt;0),IW76-IV76,"0")</f>
        <v>42759</v>
      </c>
      <c r="IY76" s="206">
        <f>DATE(YEAR(IV76),MONTH(IV76),DAY(IV76)+30)</f>
        <v>60</v>
      </c>
      <c r="IZ76" s="482">
        <f ca="1">IF(AND(IW76&gt;0,IY76&gt;0),IY76-IW76,"0")</f>
        <v>-42729</v>
      </c>
      <c r="JA76" s="498">
        <f ca="1">IZ76-30</f>
        <v>-42759</v>
      </c>
      <c r="JB76" s="508" t="str">
        <f>IF(AND(IT76&gt;0,IY76&gt;0),IY76-IT76,"0")</f>
        <v>0</v>
      </c>
      <c r="JC76" s="490"/>
      <c r="JD76" s="491"/>
      <c r="JE76" s="502">
        <f>IY76</f>
        <v>60</v>
      </c>
      <c r="JF76" s="487">
        <f>IF(AND(IY76&gt;0,JE76&gt;0),JE76-IY76,"0")</f>
        <v>0</v>
      </c>
      <c r="JG76" s="502">
        <f>DATE(YEAR(JE76),MONTH(JE76),DAY(JE76)+15)</f>
        <v>75</v>
      </c>
      <c r="JH76" s="502">
        <f ca="1">IF(JG76&lt;TODAY(),TODAY(),JG76)</f>
        <v>42789</v>
      </c>
      <c r="JI76" s="487">
        <f ca="1">IF(AND(JG76&gt;0,JH76&gt;0),JH76-JG76,"0")</f>
        <v>42714</v>
      </c>
      <c r="JJ76" s="502">
        <f ca="1">DATE(YEAR(JH76),MONTH(JH76),DAY(JH76)+45)</f>
        <v>42834</v>
      </c>
      <c r="JK76" s="502">
        <f ca="1">JJ76</f>
        <v>42834</v>
      </c>
      <c r="JL76" s="487">
        <f ca="1">IF(AND(JJ76&gt;0,JK76&gt;0),JK76-JJ76,"0")</f>
        <v>0</v>
      </c>
      <c r="JM76" s="509">
        <f ca="1">IF(AND(JE76&gt;0,JK76&gt;0),JK76-JE76,"0")</f>
        <v>42774</v>
      </c>
      <c r="JN76" s="502">
        <f ca="1">DATE(YEAR(JK76),MONTH(JK76),DAY(JK76)+60)</f>
        <v>42894</v>
      </c>
      <c r="JO76" s="501">
        <f ca="1">IF(AND(JK76&gt;0,JN76&gt;0),JN76-JK76,"0")</f>
        <v>60</v>
      </c>
      <c r="JP76" s="498">
        <f ca="1">JO76-60</f>
        <v>0</v>
      </c>
      <c r="JQ76" s="482">
        <f>291/30</f>
        <v>9.6999999999999993</v>
      </c>
      <c r="JR76" s="504">
        <f ca="1">((+HS76+HU76+IB76+IJ76+IQ76+IU76+JB76+JM76+JF76)/30)-JQ76</f>
        <v>1421.2333333333333</v>
      </c>
      <c r="JS76" s="490"/>
      <c r="JT76" s="505"/>
      <c r="JU76" s="490"/>
      <c r="JV76" s="505"/>
      <c r="JW76" s="586"/>
      <c r="JX76" s="586"/>
      <c r="JY76" s="586"/>
      <c r="JZ76" s="586"/>
    </row>
    <row r="77" spans="1:286" ht="63" hidden="1" customHeight="1" x14ac:dyDescent="0.25">
      <c r="A77" s="146" t="s">
        <v>877</v>
      </c>
      <c r="B77" s="110" t="s">
        <v>46</v>
      </c>
      <c r="C77" s="110" t="s">
        <v>157</v>
      </c>
      <c r="D77" s="110">
        <v>2018</v>
      </c>
      <c r="E77" s="110"/>
      <c r="F77" s="111"/>
      <c r="G77" s="111"/>
      <c r="H77" s="111"/>
      <c r="I77" s="111"/>
      <c r="J77" s="110" t="s">
        <v>878</v>
      </c>
      <c r="K77" s="453"/>
      <c r="L77" s="309"/>
      <c r="M77" s="310"/>
      <c r="N77" s="311"/>
      <c r="O77" s="387"/>
      <c r="P77" s="387"/>
      <c r="Q77" s="387"/>
      <c r="R77" s="379"/>
      <c r="S77" s="387"/>
      <c r="T77" s="387"/>
      <c r="U77" s="387"/>
      <c r="V77" s="387"/>
      <c r="W77" s="379"/>
      <c r="X77" s="391"/>
      <c r="Y77" s="392"/>
      <c r="Z77" s="391"/>
      <c r="AA77" s="394"/>
      <c r="AB77" s="390"/>
      <c r="AC77" s="111" t="s">
        <v>26</v>
      </c>
      <c r="AD77" s="640">
        <f>AE77+AF77</f>
        <v>37</v>
      </c>
      <c r="AE77" s="121"/>
      <c r="AF77" s="110">
        <v>37</v>
      </c>
      <c r="AG77" s="115"/>
      <c r="AH77" s="547"/>
      <c r="AI77" s="114"/>
      <c r="AJ77" s="117"/>
      <c r="AK77" s="117"/>
      <c r="AL77" s="117"/>
      <c r="AM77" s="117"/>
      <c r="AN77" s="117"/>
      <c r="AO77" s="115"/>
      <c r="AP77" s="134"/>
      <c r="AQ77" s="136"/>
      <c r="AR77" s="115"/>
      <c r="AS77" s="111"/>
      <c r="AT77" s="111"/>
      <c r="AU77" s="111"/>
      <c r="AV77" s="111"/>
      <c r="AW77" s="338"/>
      <c r="AX77" s="338"/>
      <c r="AY77" s="111"/>
      <c r="AZ77" s="111"/>
      <c r="BA77" s="111"/>
      <c r="BB77" s="111"/>
      <c r="BC77" s="111"/>
      <c r="BD77" s="111"/>
      <c r="BE77" s="111"/>
      <c r="BF77" s="111"/>
      <c r="BG77" s="111"/>
      <c r="BH77" s="111"/>
      <c r="BI77" s="111"/>
      <c r="BJ77" s="111"/>
      <c r="BK77" s="111"/>
      <c r="BL77" s="111"/>
      <c r="BM77" s="111"/>
      <c r="BN77" s="196"/>
      <c r="BO77" s="358"/>
      <c r="BP77" s="358"/>
      <c r="BQ77" s="196"/>
      <c r="BR77" s="196"/>
      <c r="BS77" s="196"/>
      <c r="BT77" s="520"/>
      <c r="BU77" s="376"/>
      <c r="BV77" s="160"/>
      <c r="BW77" s="160"/>
      <c r="BX77" s="160"/>
      <c r="BY77" s="160"/>
      <c r="BZ77" s="376"/>
      <c r="CA77" s="160"/>
      <c r="CB77" s="302"/>
      <c r="CC77" s="374"/>
      <c r="CD77" s="302"/>
      <c r="CE77" s="302"/>
      <c r="CF77" s="161"/>
      <c r="CG77" s="336">
        <f>DATE(YEAR(CF77),MONTH(CF77)+24,DAY(CF77))</f>
        <v>731</v>
      </c>
      <c r="CH77" s="336">
        <f>DATE(YEAR(CF77),MONTH(CF77)+36,DAY(CF77))</f>
        <v>1096</v>
      </c>
      <c r="CI77" s="336"/>
      <c r="CJ77" s="302"/>
      <c r="CK77" s="302"/>
      <c r="CL77" s="161"/>
      <c r="CM77" s="371"/>
      <c r="CN77" s="166"/>
      <c r="CO77" s="166"/>
      <c r="CP77" s="162"/>
      <c r="CQ77" s="367"/>
      <c r="CR77" s="166"/>
      <c r="CS77" s="166"/>
      <c r="CT77" s="166"/>
      <c r="CU77" s="368"/>
      <c r="CV77" s="166"/>
      <c r="CW77" s="166"/>
      <c r="CX77" s="166"/>
      <c r="CY77" s="368"/>
      <c r="CZ77" s="166"/>
      <c r="DA77" s="166"/>
      <c r="DB77" s="299"/>
      <c r="DC77" s="313"/>
      <c r="DD77" s="299"/>
      <c r="DE77" s="299"/>
      <c r="DF77" s="299"/>
      <c r="DG77" s="299"/>
      <c r="DH77" s="299"/>
      <c r="DI77" s="299"/>
      <c r="DJ77" s="299"/>
      <c r="DK77" s="298"/>
      <c r="DL77" s="298"/>
      <c r="DM77" s="298"/>
      <c r="DN77" s="298"/>
      <c r="DO77" s="293"/>
      <c r="DP77" s="293"/>
      <c r="DQ77" s="443"/>
      <c r="DR77" s="443"/>
      <c r="DS77" s="443"/>
      <c r="DT77" s="298"/>
      <c r="DU77" s="443"/>
      <c r="DV77" s="443"/>
      <c r="DW77" s="443"/>
      <c r="DX77" s="415"/>
      <c r="DY77" s="423"/>
      <c r="DZ77" s="423"/>
      <c r="EA77" s="434">
        <v>43595</v>
      </c>
      <c r="EB77" s="423"/>
      <c r="EC77" s="430"/>
      <c r="ED77" s="430"/>
      <c r="EE77" s="422"/>
      <c r="EF77" s="422"/>
      <c r="EG77" s="422"/>
      <c r="EH77" s="422"/>
      <c r="EI77" s="431"/>
      <c r="EJ77" s="431"/>
      <c r="EK77" s="423"/>
      <c r="EL77" s="423"/>
      <c r="EM77" s="423"/>
      <c r="EN77" s="210"/>
      <c r="EO77" s="210"/>
      <c r="EP77" s="432"/>
      <c r="EQ77" s="433"/>
      <c r="ER77" s="433"/>
      <c r="ES77" s="423"/>
      <c r="ET77" s="423"/>
      <c r="EU77" s="334"/>
      <c r="EV77" s="206"/>
      <c r="EW77" s="206"/>
      <c r="EX77" s="206"/>
      <c r="EY77" s="434"/>
      <c r="EZ77" s="218"/>
      <c r="FA77" s="218"/>
      <c r="FB77" s="218"/>
      <c r="FC77" s="218"/>
      <c r="FD77" s="111"/>
      <c r="FE77" s="111"/>
      <c r="FF77" s="111"/>
      <c r="FG77" s="111"/>
      <c r="FH77" s="111"/>
      <c r="FI77" s="111"/>
      <c r="FJ77" s="111"/>
      <c r="FK77" s="111"/>
      <c r="FL77" s="111"/>
      <c r="FM77" s="111"/>
      <c r="FN77" s="111"/>
      <c r="FO77" s="111"/>
      <c r="FP77" s="199"/>
      <c r="FQ77" s="153"/>
      <c r="FR77" s="124"/>
      <c r="FS77" s="154"/>
      <c r="FT77" s="98"/>
      <c r="FU77" s="98"/>
      <c r="FV77" s="523"/>
      <c r="FW77" s="129"/>
      <c r="FX77" s="154"/>
      <c r="FY77" s="232"/>
      <c r="FZ77" s="234"/>
      <c r="GA77" s="523"/>
      <c r="GB77" s="129"/>
      <c r="GC77" s="98"/>
      <c r="GD77" s="155"/>
      <c r="GE77" s="523"/>
      <c r="GF77" s="124"/>
      <c r="GG77" s="550"/>
      <c r="GH77" s="550"/>
      <c r="GI77" s="155"/>
      <c r="GJ77" s="98"/>
      <c r="GK77" s="129"/>
      <c r="GL77" s="523"/>
      <c r="GM77" s="129"/>
      <c r="GN77" s="129"/>
      <c r="GO77" s="76"/>
      <c r="GP77" s="590"/>
      <c r="GQ77" s="129"/>
      <c r="GR77" s="149"/>
      <c r="GS77" s="50"/>
      <c r="GT77" s="138"/>
      <c r="GU77" s="149"/>
      <c r="GV77" s="150"/>
      <c r="GW77" s="150"/>
      <c r="GX77" s="551"/>
      <c r="GY77" s="551"/>
      <c r="GZ77" s="98"/>
      <c r="HA77" s="551"/>
      <c r="HB77" s="98"/>
      <c r="HC77" s="99"/>
      <c r="HD77" s="551"/>
      <c r="HE77" s="551"/>
      <c r="HF77" s="129"/>
      <c r="HG77" s="77"/>
      <c r="HH77" s="491"/>
      <c r="HI77" s="491"/>
      <c r="HJ77" s="494"/>
      <c r="HK77" s="505">
        <f>$HK$1*HH77</f>
        <v>0</v>
      </c>
      <c r="HL77" s="450">
        <f ca="1">TODAY()</f>
        <v>42789</v>
      </c>
      <c r="HM77" s="464">
        <f ca="1">DATE(YEAR(HL77),MONTH(HL77),DAY(HL77)+21)</f>
        <v>42810</v>
      </c>
      <c r="HN77" s="464">
        <f ca="1">IF(HM77&lt;TODAY(),TODAY(),HM77)</f>
        <v>42810</v>
      </c>
      <c r="HO77" s="497">
        <f ca="1">IF(AND(HM77&gt;0,HN77&gt;0),HN77-HM77,"0")</f>
        <v>0</v>
      </c>
      <c r="HP77" s="464">
        <f ca="1">DATE(YEAR(HL77),MONTH(HL77),DAY(HL77)+21)</f>
        <v>42810</v>
      </c>
      <c r="HQ77" s="481">
        <f ca="1">IF(AND(HN77&gt;0,HP77&gt;0),HP77-HN77,"0")</f>
        <v>0</v>
      </c>
      <c r="HR77" s="497">
        <f ca="1">+HQ77-30</f>
        <v>-30</v>
      </c>
      <c r="HS77" s="506">
        <f ca="1">IF(AND(HL77&gt;0,HP77&gt;0),HP77-HL77,"0")</f>
        <v>21</v>
      </c>
      <c r="HT77" s="450">
        <f ca="1">DATE(YEAR(HP77),MONTH(HP77),DAY(HP77)+30)</f>
        <v>42840</v>
      </c>
      <c r="HU77" s="497">
        <f ca="1">IF(AND(HP77&gt;0,HT77&gt;0),HT77-HP77,"0")</f>
        <v>30</v>
      </c>
      <c r="HV77" s="450">
        <f ca="1">DATE(YEAR(HT77),MONTH(HT77),DAY(HT77)+30)</f>
        <v>42870</v>
      </c>
      <c r="HW77" s="450">
        <f ca="1">IF(HV77&lt;TODAY(),TODAY(),HV77)</f>
        <v>42870</v>
      </c>
      <c r="HX77" s="497">
        <f ca="1">IF(AND(HV77&gt;0,HW77&gt;0),HW77-HV77,"0")</f>
        <v>0</v>
      </c>
      <c r="HY77" s="206">
        <f ca="1">DATE(YEAR(HV77),MONTH(HV77),DAY(HV77)+30)</f>
        <v>42900</v>
      </c>
      <c r="HZ77" s="481">
        <f ca="1">IF(AND(HW77&gt;0,HY77&gt;0),HY77-HW77,"0")</f>
        <v>30</v>
      </c>
      <c r="IA77" s="497">
        <f ca="1">+HZ77-30</f>
        <v>0</v>
      </c>
      <c r="IB77" s="506">
        <f ca="1">IF(AND(HT77&gt;0,HY77&gt;0),HY77-HT77,"0")</f>
        <v>60</v>
      </c>
      <c r="IC77" s="490"/>
      <c r="ID77" s="505">
        <f>$ID$1*HH77</f>
        <v>0</v>
      </c>
      <c r="IE77" s="450">
        <f ca="1">DATE(YEAR(HY77),MONTH(HY77),DAY(HY77)+15)</f>
        <v>42915</v>
      </c>
      <c r="IF77" s="450">
        <f ca="1">DATE(YEAR(IE77),MONTH(IE77),DAY(IE77)+7)</f>
        <v>42922</v>
      </c>
      <c r="IG77" s="494"/>
      <c r="IH77" s="505">
        <f>$IH$1*HH77</f>
        <v>0</v>
      </c>
      <c r="II77" s="206">
        <f ca="1">DATE(YEAR(IF77),MONTH(IF77),DAY(IF77)+21)</f>
        <v>42943</v>
      </c>
      <c r="IJ77" s="497">
        <f ca="1">IF(AND(HY77&gt;0,II77&gt;0),II77-HY77,"0")</f>
        <v>43</v>
      </c>
      <c r="IK77" s="206">
        <f ca="1">DATE(YEAR(II77),MONTH(II77),DAY(II77)+30)</f>
        <v>42973</v>
      </c>
      <c r="IL77" s="478">
        <f ca="1">IF(IK77&lt;TODAY(),TODAY(),IK77)</f>
        <v>42973</v>
      </c>
      <c r="IM77" s="497"/>
      <c r="IN77" s="478"/>
      <c r="IO77" s="481"/>
      <c r="IP77" s="497"/>
      <c r="IQ77" s="506"/>
      <c r="IR77" s="490"/>
      <c r="IS77" s="491"/>
      <c r="IT77" s="206">
        <f>IN77</f>
        <v>0</v>
      </c>
      <c r="IU77" s="498" t="str">
        <f>IF(AND(IN77&gt;0,IT77&gt;0),IT77-IN77,"0")</f>
        <v>0</v>
      </c>
      <c r="IV77" s="206">
        <f>DATE(YEAR(IT77),MONTH(IT77),DAY(IT77)+30)</f>
        <v>30</v>
      </c>
      <c r="IW77" s="206">
        <f ca="1">IF(IV77&lt;TODAY(),TODAY(),IV77)</f>
        <v>42789</v>
      </c>
      <c r="IX77" s="498">
        <f ca="1">IF(AND(IV77&gt;0,IW77&gt;0),IW77-IV77,"0")</f>
        <v>42759</v>
      </c>
      <c r="IY77" s="206">
        <f>DATE(YEAR(IV77),MONTH(IV77),DAY(IV77)+30)</f>
        <v>60</v>
      </c>
      <c r="IZ77" s="482">
        <f ca="1">IF(AND(IW77&gt;0,IY77&gt;0),IY77-IW77,"0")</f>
        <v>-42729</v>
      </c>
      <c r="JA77" s="498">
        <f ca="1">IZ77-30</f>
        <v>-42759</v>
      </c>
      <c r="JB77" s="508" t="str">
        <f>IF(AND(IT77&gt;0,IY77&gt;0),IY77-IT77,"0")</f>
        <v>0</v>
      </c>
      <c r="JC77" s="490"/>
      <c r="JD77" s="491"/>
      <c r="JE77" s="502">
        <f>IY77</f>
        <v>60</v>
      </c>
      <c r="JF77" s="487">
        <f>IF(AND(IY77&gt;0,JE77&gt;0),JE77-IY77,"0")</f>
        <v>0</v>
      </c>
      <c r="JG77" s="502">
        <f>DATE(YEAR(JE77),MONTH(JE77),DAY(JE77)+15)</f>
        <v>75</v>
      </c>
      <c r="JH77" s="502">
        <f ca="1">IF(JG77&lt;TODAY(),TODAY(),JG77)</f>
        <v>42789</v>
      </c>
      <c r="JI77" s="487">
        <f ca="1">IF(AND(JG77&gt;0,JH77&gt;0),JH77-JG77,"0")</f>
        <v>42714</v>
      </c>
      <c r="JJ77" s="502">
        <f ca="1">DATE(YEAR(JH77),MONTH(JH77),DAY(JH77)+45)</f>
        <v>42834</v>
      </c>
      <c r="JK77" s="502">
        <f ca="1">JJ77</f>
        <v>42834</v>
      </c>
      <c r="JL77" s="487">
        <f ca="1">IF(AND(JJ77&gt;0,JK77&gt;0),JK77-JJ77,"0")</f>
        <v>0</v>
      </c>
      <c r="JM77" s="509">
        <f ca="1">IF(AND(JE77&gt;0,JK77&gt;0),JK77-JE77,"0")</f>
        <v>42774</v>
      </c>
      <c r="JN77" s="502">
        <f ca="1">DATE(YEAR(JK77),MONTH(JK77),DAY(JK77)+60)</f>
        <v>42894</v>
      </c>
      <c r="JO77" s="501">
        <f ca="1">IF(AND(JK77&gt;0,JN77&gt;0),JN77-JK77,"0")</f>
        <v>60</v>
      </c>
      <c r="JP77" s="498">
        <f ca="1">JO77-60</f>
        <v>0</v>
      </c>
      <c r="JQ77" s="482">
        <f>291/30</f>
        <v>9.6999999999999993</v>
      </c>
      <c r="JR77" s="504">
        <f ca="1">((+HS77+HU77+IB77+IJ77+IQ77+IU77+JB77+JM77+JF77)/30)-JQ77</f>
        <v>1421.2333333333333</v>
      </c>
      <c r="JS77" s="490"/>
      <c r="JT77" s="505"/>
      <c r="JU77" s="490"/>
      <c r="JV77" s="505"/>
      <c r="JW77" s="586"/>
      <c r="JX77" s="586"/>
      <c r="JY77" s="586"/>
      <c r="JZ77" s="586"/>
    </row>
    <row r="78" spans="1:286" ht="63" hidden="1" customHeight="1" x14ac:dyDescent="0.25">
      <c r="A78" s="146" t="s">
        <v>814</v>
      </c>
      <c r="B78" s="110" t="s">
        <v>44</v>
      </c>
      <c r="C78" s="110" t="s">
        <v>158</v>
      </c>
      <c r="D78" s="110">
        <v>2018</v>
      </c>
      <c r="E78" s="110" t="s">
        <v>715</v>
      </c>
      <c r="F78" s="110" t="s">
        <v>630</v>
      </c>
      <c r="G78" s="110"/>
      <c r="H78" s="112" t="s">
        <v>611</v>
      </c>
      <c r="I78" s="110"/>
      <c r="J78" s="110" t="s">
        <v>816</v>
      </c>
      <c r="K78" s="453" t="s">
        <v>947</v>
      </c>
      <c r="L78" s="309"/>
      <c r="M78" s="310"/>
      <c r="N78" s="311"/>
      <c r="O78" s="379"/>
      <c r="P78" s="379"/>
      <c r="Q78" s="379"/>
      <c r="R78" s="379"/>
      <c r="S78" s="379"/>
      <c r="T78" s="387"/>
      <c r="U78" s="387"/>
      <c r="V78" s="387"/>
      <c r="W78" s="379"/>
      <c r="X78" s="380"/>
      <c r="Y78" s="381" t="e">
        <f>AH78/O78</f>
        <v>#DIV/0!</v>
      </c>
      <c r="Z78" s="380"/>
      <c r="AA78" s="380"/>
      <c r="AB78" s="381"/>
      <c r="AC78" s="110" t="s">
        <v>25</v>
      </c>
      <c r="AD78" s="342">
        <f>(AE78+AF78)</f>
        <v>22</v>
      </c>
      <c r="AE78" s="110">
        <v>22</v>
      </c>
      <c r="AF78" s="121"/>
      <c r="AG78" s="114">
        <v>2028.9499999999998</v>
      </c>
      <c r="AH78" s="152"/>
      <c r="AI78" s="114">
        <f>AH78/AD78</f>
        <v>0</v>
      </c>
      <c r="AJ78" s="135"/>
      <c r="AK78" s="135"/>
      <c r="AL78" s="135"/>
      <c r="AM78" s="135"/>
      <c r="AN78" s="135"/>
      <c r="AO78" s="114"/>
      <c r="AP78" s="133"/>
      <c r="AQ78" s="135"/>
      <c r="AR78" s="114"/>
      <c r="AS78" s="110"/>
      <c r="AT78" s="110"/>
      <c r="AU78" s="110"/>
      <c r="AV78" s="110"/>
      <c r="AW78" s="332"/>
      <c r="AX78" s="418" t="s">
        <v>994</v>
      </c>
      <c r="AY78" s="332"/>
      <c r="AZ78" s="110"/>
      <c r="BA78" s="332"/>
      <c r="BB78" s="332"/>
      <c r="BC78" s="332"/>
      <c r="BD78" s="332"/>
      <c r="BE78" s="332"/>
      <c r="BF78" s="332"/>
      <c r="BG78" s="110"/>
      <c r="BH78" s="110"/>
      <c r="BI78" s="110"/>
      <c r="BJ78" s="110"/>
      <c r="BK78" s="110"/>
      <c r="BL78" s="110"/>
      <c r="BM78" s="110"/>
      <c r="BN78" s="196"/>
      <c r="BO78" s="196"/>
      <c r="BP78" s="196"/>
      <c r="BQ78" s="196"/>
      <c r="BR78" s="196"/>
      <c r="BS78" s="196"/>
      <c r="BT78" s="158"/>
      <c r="BU78" s="376"/>
      <c r="BV78" s="160"/>
      <c r="BW78" s="160"/>
      <c r="BX78" s="160"/>
      <c r="BY78" s="160"/>
      <c r="BZ78" s="376"/>
      <c r="CA78" s="160"/>
      <c r="CB78" s="302"/>
      <c r="CC78" s="374"/>
      <c r="CD78" s="302"/>
      <c r="CE78" s="302"/>
      <c r="CF78" s="161"/>
      <c r="CG78" s="336">
        <f>DATE(YEAR(CF78),MONTH(CF78)+24,DAY(CF78))</f>
        <v>731</v>
      </c>
      <c r="CH78" s="336">
        <f>DATE(YEAR(CF78),MONTH(CF78)+36,DAY(CF78))</f>
        <v>1096</v>
      </c>
      <c r="CI78" s="336"/>
      <c r="CJ78" s="302"/>
      <c r="CK78" s="308"/>
      <c r="CL78" s="161"/>
      <c r="CM78" s="371"/>
      <c r="CN78" s="161"/>
      <c r="CO78" s="161"/>
      <c r="CP78" s="162"/>
      <c r="CQ78" s="367"/>
      <c r="CR78" s="162"/>
      <c r="CS78" s="162"/>
      <c r="CT78" s="162"/>
      <c r="CU78" s="367"/>
      <c r="CV78" s="162"/>
      <c r="CW78" s="162"/>
      <c r="CX78" s="162"/>
      <c r="CY78" s="367"/>
      <c r="CZ78" s="162"/>
      <c r="DA78" s="162"/>
      <c r="DB78" s="299"/>
      <c r="DC78" s="299"/>
      <c r="DD78" s="299"/>
      <c r="DE78" s="312"/>
      <c r="DF78" s="312"/>
      <c r="DG78" s="312"/>
      <c r="DH78" s="312"/>
      <c r="DI78" s="312"/>
      <c r="DJ78" s="312"/>
      <c r="DK78" s="293"/>
      <c r="DL78" s="293"/>
      <c r="DM78" s="293"/>
      <c r="DN78" s="293"/>
      <c r="DO78" s="293"/>
      <c r="DP78" s="293"/>
      <c r="DQ78" s="443"/>
      <c r="DR78" s="443"/>
      <c r="DS78" s="443"/>
      <c r="DT78" s="298"/>
      <c r="DU78" s="443"/>
      <c r="DV78" s="443"/>
      <c r="DW78" s="443"/>
      <c r="DX78" s="423"/>
      <c r="DY78" s="423"/>
      <c r="DZ78" s="423"/>
      <c r="EA78" s="434">
        <v>43647</v>
      </c>
      <c r="EB78" s="423"/>
      <c r="EC78" s="430"/>
      <c r="ED78" s="430"/>
      <c r="EE78" s="422"/>
      <c r="EF78" s="422"/>
      <c r="EG78" s="422"/>
      <c r="EH78" s="422"/>
      <c r="EI78" s="431"/>
      <c r="EJ78" s="431"/>
      <c r="EK78" s="423"/>
      <c r="EL78" s="423"/>
      <c r="EM78" s="423"/>
      <c r="EN78" s="210"/>
      <c r="EO78" s="210"/>
      <c r="EP78" s="423"/>
      <c r="EQ78" s="423"/>
      <c r="ER78" s="423"/>
      <c r="ES78" s="423"/>
      <c r="ET78" s="423"/>
      <c r="EU78" s="334"/>
      <c r="EV78" s="206"/>
      <c r="EW78" s="206"/>
      <c r="EX78" s="209"/>
      <c r="EY78" s="434"/>
      <c r="EZ78" s="212"/>
      <c r="FA78" s="212"/>
      <c r="FB78" s="212"/>
      <c r="FC78" s="212"/>
      <c r="FD78" s="110"/>
      <c r="FE78" s="110"/>
      <c r="FF78" s="110"/>
      <c r="FG78" s="110"/>
      <c r="FH78" s="110"/>
      <c r="FI78" s="110"/>
      <c r="FJ78" s="110"/>
      <c r="FK78" s="110"/>
      <c r="FL78" s="110"/>
      <c r="FM78" s="110"/>
      <c r="FN78" s="110"/>
      <c r="FO78" s="110"/>
      <c r="FP78" s="199"/>
      <c r="FQ78" s="153">
        <f>+GA78+GE78+GL78+HF78+GQ78</f>
        <v>3896937.4952389677</v>
      </c>
      <c r="FR78" s="124">
        <f>GB78+GF78+GK78+GM78+GQ78+GN78</f>
        <v>0</v>
      </c>
      <c r="FS78" s="154">
        <f>FR78-FQ78</f>
        <v>-3896937.4952389677</v>
      </c>
      <c r="FT78" s="98">
        <f>FQ78/AG78</f>
        <v>1920.6670914704493</v>
      </c>
      <c r="FU78" s="98">
        <f>FQ78/AD78</f>
        <v>177133.52251086218</v>
      </c>
      <c r="FV78" s="153">
        <v>3277537.4877446182</v>
      </c>
      <c r="FW78" s="124"/>
      <c r="FX78" s="154">
        <f>FW78-FV78</f>
        <v>-3277537.4877446182</v>
      </c>
      <c r="FY78" s="232" t="e">
        <f>FW78*1.021/FR78</f>
        <v>#DIV/0!</v>
      </c>
      <c r="FZ78" s="234">
        <v>0.4</v>
      </c>
      <c r="GA78" s="153">
        <v>1259491.9858582849</v>
      </c>
      <c r="GB78" s="124"/>
      <c r="GC78" s="98">
        <f>GA78/AD78</f>
        <v>57249.635720831131</v>
      </c>
      <c r="GD78" s="155">
        <f>GB78-GA78</f>
        <v>-1259491.9858582849</v>
      </c>
      <c r="GE78" s="153">
        <v>2487445.5093806828</v>
      </c>
      <c r="GF78" s="124"/>
      <c r="GG78" s="147"/>
      <c r="GH78" s="147"/>
      <c r="GI78" s="155">
        <f>GF78-GE78</f>
        <v>-2487445.5093806828</v>
      </c>
      <c r="GJ78" s="98">
        <f>GE78/AD78</f>
        <v>113065.70497184922</v>
      </c>
      <c r="GK78" s="124"/>
      <c r="GL78" s="523">
        <v>150000</v>
      </c>
      <c r="GM78" s="124"/>
      <c r="GN78" s="124"/>
      <c r="GO78" s="76">
        <f>GL78/FQ78</f>
        <v>3.8491764413275946E-2</v>
      </c>
      <c r="GP78" s="153"/>
      <c r="GQ78" s="124"/>
      <c r="GR78" s="149">
        <f>GM78-GL78</f>
        <v>-150000</v>
      </c>
      <c r="GS78" s="50">
        <f>GL78/AD78</f>
        <v>6818.181818181818</v>
      </c>
      <c r="GT78" s="138">
        <f>(GA78+GL78)/AD78</f>
        <v>64067.817539012947</v>
      </c>
      <c r="GU78" s="149">
        <f>GR78/AD78</f>
        <v>-6818.181818181818</v>
      </c>
      <c r="GV78" s="150"/>
      <c r="GW78" s="150"/>
      <c r="GX78" s="151"/>
      <c r="GY78" s="151"/>
      <c r="GZ78" s="98">
        <f>(GA78+GL78+GY78)/AD78</f>
        <v>64067.817539012947</v>
      </c>
      <c r="HA78" s="151"/>
      <c r="HB78" s="98">
        <f>(GB78+GM78+GY78+HA78)/AD78</f>
        <v>0</v>
      </c>
      <c r="HC78" s="99">
        <f>(GA78+GL78+GY78+HA78)/(GX78+FQ78-HD78)</f>
        <v>0.36169222308038385</v>
      </c>
      <c r="HD78" s="151"/>
      <c r="HE78" s="151"/>
      <c r="HF78" s="124"/>
      <c r="HG78" s="77">
        <f>FQ78+GX78</f>
        <v>3896937.4952389677</v>
      </c>
      <c r="HH78" s="491">
        <v>1069949.6500000001</v>
      </c>
      <c r="HI78" s="491">
        <f>HK78+ID78</f>
        <v>133744</v>
      </c>
      <c r="HJ78" s="494">
        <v>42605</v>
      </c>
      <c r="HK78" s="511">
        <v>110767</v>
      </c>
      <c r="HL78" s="526">
        <v>42619</v>
      </c>
      <c r="HM78" s="450">
        <f>DATE(YEAR(HL78),MONTH(HL78),DAY(HL78)+21)</f>
        <v>42640</v>
      </c>
      <c r="HN78" s="415">
        <v>42674</v>
      </c>
      <c r="HO78" s="497">
        <f>IF(AND(HM78&gt;0,HN78&gt;0),HN78-HM78,"0")</f>
        <v>34</v>
      </c>
      <c r="HP78" s="415">
        <v>42676</v>
      </c>
      <c r="HQ78" s="481">
        <f>IF(AND(HN78&gt;0,HP78&gt;0),HP78-HN78,"0")</f>
        <v>2</v>
      </c>
      <c r="HR78" s="497">
        <f>+HQ78-30</f>
        <v>-28</v>
      </c>
      <c r="HS78" s="506">
        <f>IF(AND(HL78&gt;0,HP78&gt;0),HP78-HL78,"0")</f>
        <v>57</v>
      </c>
      <c r="HT78" s="420">
        <v>42688</v>
      </c>
      <c r="HU78" s="497">
        <f>IF(AND(HP78&gt;0,HT78&gt;0),HT78-HP78,"0")</f>
        <v>12</v>
      </c>
      <c r="HV78" s="420">
        <f>DATE(YEAR(HT78),MONTH(HT78),DAY(HT78)+30)</f>
        <v>42718</v>
      </c>
      <c r="HW78" s="420">
        <v>42717</v>
      </c>
      <c r="HX78" s="497">
        <f>IF(AND(HV78&gt;0,HW78&gt;0),HW78-HV78,"0")</f>
        <v>-1</v>
      </c>
      <c r="HY78" s="206">
        <f>DATE(YEAR(HV78),MONTH(HV78),DAY(HV78)+15)</f>
        <v>42733</v>
      </c>
      <c r="HZ78" s="481">
        <f>IF(AND(HW78&gt;0,HY78&gt;0),HY78-HW78,"0")</f>
        <v>16</v>
      </c>
      <c r="IA78" s="497">
        <f>+HZ78-30</f>
        <v>-14</v>
      </c>
      <c r="IB78" s="506">
        <f>IF(AND(HT78&gt;0,HY78&gt;0),HY78-HT78,"0")</f>
        <v>45</v>
      </c>
      <c r="IC78" s="576">
        <v>42716</v>
      </c>
      <c r="ID78" s="511">
        <v>22977</v>
      </c>
      <c r="IE78" s="450">
        <f>DATE(YEAR(HY78),MONTH(HY78),DAY(HY78)+15)</f>
        <v>42748</v>
      </c>
      <c r="IF78" s="450">
        <f>DATE(YEAR(IE78),MONTH(IE78),DAY(IE78)+7)</f>
        <v>42755</v>
      </c>
      <c r="IG78" s="494"/>
      <c r="IH78" s="505">
        <f>$IH$1*HH78</f>
        <v>106994.96500000003</v>
      </c>
      <c r="II78" s="206">
        <f>DATE(YEAR(IF78),MONTH(IF78),DAY(IF78)+21)</f>
        <v>42776</v>
      </c>
      <c r="IJ78" s="497">
        <f>IF(AND(HY78&gt;0,II78&gt;0),II78-HY78,"0")</f>
        <v>43</v>
      </c>
      <c r="IK78" s="206">
        <f>DATE(YEAR(II78),MONTH(II78),DAY(II78)+30)</f>
        <v>42806</v>
      </c>
      <c r="IL78" s="206">
        <f ca="1">IF(IK78&lt;TODAY(),TODAY(),IK78)</f>
        <v>42806</v>
      </c>
      <c r="IM78" s="497">
        <f ca="1">IF(AND(IK78&gt;0,IL78&gt;0),IL78-IK78,"0")</f>
        <v>0</v>
      </c>
      <c r="IN78" s="206">
        <f>DATE(YEAR(IK78),MONTH(IK78),DAY(IK78)+30)</f>
        <v>42836</v>
      </c>
      <c r="IO78" s="481">
        <f ca="1">IF(AND(IL78&gt;0,IN78&gt;0),IN78-IL78,"0")</f>
        <v>30</v>
      </c>
      <c r="IP78" s="497">
        <f ca="1">+IO78-30</f>
        <v>0</v>
      </c>
      <c r="IQ78" s="506">
        <f>IF(AND(II78&gt;0,IN78&gt;0),IN78-II78,"0")</f>
        <v>60</v>
      </c>
      <c r="IR78" s="490"/>
      <c r="IS78" s="505">
        <f>$IS$1*HH78</f>
        <v>106994.96500000003</v>
      </c>
      <c r="IT78" s="206">
        <f>IN78</f>
        <v>42836</v>
      </c>
      <c r="IU78" s="498">
        <f>IF(AND(IN78&gt;0,IT78&gt;0),IT78-IN78,"0")</f>
        <v>0</v>
      </c>
      <c r="IV78" s="206">
        <f>DATE(YEAR(IT78),MONTH(IT78),DAY(IT78)+30)</f>
        <v>42866</v>
      </c>
      <c r="IW78" s="206">
        <f ca="1">IF(IV78&lt;TODAY(),TODAY(),IV78)</f>
        <v>42866</v>
      </c>
      <c r="IX78" s="498">
        <f ca="1">IF(AND(IV78&gt;0,IW78&gt;0),IW78-IV78,"0")</f>
        <v>0</v>
      </c>
      <c r="IY78" s="206">
        <f>DATE(YEAR(IV78),MONTH(IV78),DAY(IV78)+30)</f>
        <v>42896</v>
      </c>
      <c r="IZ78" s="482">
        <f ca="1">IF(AND(IW78&gt;0,IY78&gt;0),IY78-IW78,"0")</f>
        <v>30</v>
      </c>
      <c r="JA78" s="498">
        <f ca="1">IZ78-30</f>
        <v>0</v>
      </c>
      <c r="JB78" s="508">
        <f>IF(AND(IT78&gt;0,IY78&gt;0),IY78-IT78,"0")</f>
        <v>60</v>
      </c>
      <c r="JC78" s="490"/>
      <c r="JD78" s="505">
        <f>$JD$1*$HH$65</f>
        <v>34029.599999999999</v>
      </c>
      <c r="JE78" s="502">
        <f>IY78</f>
        <v>42896</v>
      </c>
      <c r="JF78" s="487">
        <f>IF(AND(IY78&gt;0,JE78&gt;0),JE78-IY78,"0")</f>
        <v>0</v>
      </c>
      <c r="JG78" s="502">
        <f>DATE(YEAR(JE78),MONTH(JE78),DAY(JE78)+15)</f>
        <v>42911</v>
      </c>
      <c r="JH78" s="502">
        <f ca="1">IF(JG78&lt;TODAY(),TODAY(),JG78)</f>
        <v>42911</v>
      </c>
      <c r="JI78" s="487">
        <f ca="1">IF(AND(JG78&gt;0,JH78&gt;0),JH78-JG78,"0")</f>
        <v>0</v>
      </c>
      <c r="JJ78" s="502">
        <f ca="1">DATE(YEAR(JH78),MONTH(JH78),DAY(JH78)+45)</f>
        <v>42956</v>
      </c>
      <c r="JK78" s="502">
        <f ca="1">JJ78</f>
        <v>42956</v>
      </c>
      <c r="JL78" s="487">
        <f ca="1">IF(AND(JJ78&gt;0,JK78&gt;0),JK78-JJ78,"0")</f>
        <v>0</v>
      </c>
      <c r="JM78" s="509">
        <f ca="1">IF(AND(JE78&gt;0,JK78&gt;0),JK78-JE78,"0")</f>
        <v>60</v>
      </c>
      <c r="JN78" s="502">
        <f ca="1">DATE(YEAR(JK78),MONTH(JK78),DAY(JK78)+60)</f>
        <v>43016</v>
      </c>
      <c r="JO78" s="501">
        <f ca="1">IF(AND(JK78&gt;0,JN78&gt;0),JN78-JK78,"0")</f>
        <v>60</v>
      </c>
      <c r="JP78" s="498">
        <f ca="1">JO78-60</f>
        <v>0</v>
      </c>
      <c r="JQ78" s="482">
        <f>291/30</f>
        <v>9.6999999999999993</v>
      </c>
      <c r="JR78" s="504">
        <f ca="1">((+HS78+HU78+IB78+IJ78+IQ78+IU78+JB78+JM78+JF78)/30)-JQ78</f>
        <v>1.5333333333333332</v>
      </c>
      <c r="JS78" s="490"/>
      <c r="JT78" s="505"/>
      <c r="JU78" s="490"/>
      <c r="JV78" s="505"/>
      <c r="JW78" s="586"/>
      <c r="JX78" s="586"/>
      <c r="JY78" s="586"/>
      <c r="JZ78" s="586"/>
    </row>
    <row r="79" spans="1:286" ht="63" hidden="1" customHeight="1" x14ac:dyDescent="0.25">
      <c r="A79" s="146" t="s">
        <v>815</v>
      </c>
      <c r="B79" s="110" t="s">
        <v>44</v>
      </c>
      <c r="C79" s="110" t="s">
        <v>158</v>
      </c>
      <c r="D79" s="110">
        <v>2018</v>
      </c>
      <c r="E79" s="110" t="s">
        <v>715</v>
      </c>
      <c r="F79" s="110" t="s">
        <v>630</v>
      </c>
      <c r="G79" s="110"/>
      <c r="H79" s="112" t="s">
        <v>611</v>
      </c>
      <c r="I79" s="110"/>
      <c r="J79" s="110" t="s">
        <v>816</v>
      </c>
      <c r="K79" s="453" t="s">
        <v>947</v>
      </c>
      <c r="L79" s="309"/>
      <c r="M79" s="310"/>
      <c r="N79" s="311"/>
      <c r="O79" s="379"/>
      <c r="P79" s="379"/>
      <c r="Q79" s="379"/>
      <c r="R79" s="379"/>
      <c r="S79" s="379"/>
      <c r="T79" s="387"/>
      <c r="U79" s="387"/>
      <c r="V79" s="387"/>
      <c r="W79" s="379"/>
      <c r="X79" s="380"/>
      <c r="Y79" s="381" t="e">
        <f>AH79/O79</f>
        <v>#DIV/0!</v>
      </c>
      <c r="Z79" s="380"/>
      <c r="AA79" s="380"/>
      <c r="AB79" s="381"/>
      <c r="AC79" s="110" t="s">
        <v>26</v>
      </c>
      <c r="AD79" s="342">
        <f>(AE79+AF79)</f>
        <v>34</v>
      </c>
      <c r="AE79" s="121"/>
      <c r="AF79" s="110">
        <v>34</v>
      </c>
      <c r="AG79" s="114">
        <v>2028.9499999999998</v>
      </c>
      <c r="AH79" s="152"/>
      <c r="AI79" s="114">
        <f>AH79/AD79</f>
        <v>0</v>
      </c>
      <c r="AJ79" s="135"/>
      <c r="AK79" s="135"/>
      <c r="AL79" s="135"/>
      <c r="AM79" s="135"/>
      <c r="AN79" s="135"/>
      <c r="AO79" s="114"/>
      <c r="AP79" s="133"/>
      <c r="AQ79" s="135"/>
      <c r="AR79" s="114"/>
      <c r="AS79" s="110"/>
      <c r="AT79" s="110"/>
      <c r="AU79" s="110"/>
      <c r="AV79" s="110"/>
      <c r="AW79" s="332"/>
      <c r="AX79" s="418" t="s">
        <v>994</v>
      </c>
      <c r="AY79" s="332"/>
      <c r="AZ79" s="110"/>
      <c r="BA79" s="332"/>
      <c r="BB79" s="332"/>
      <c r="BC79" s="332"/>
      <c r="BD79" s="332"/>
      <c r="BE79" s="332"/>
      <c r="BF79" s="332"/>
      <c r="BG79" s="110"/>
      <c r="BH79" s="110"/>
      <c r="BI79" s="110"/>
      <c r="BJ79" s="110"/>
      <c r="BK79" s="110"/>
      <c r="BL79" s="110"/>
      <c r="BM79" s="110"/>
      <c r="BN79" s="196"/>
      <c r="BO79" s="196"/>
      <c r="BP79" s="196"/>
      <c r="BQ79" s="196"/>
      <c r="BR79" s="196"/>
      <c r="BS79" s="196"/>
      <c r="BT79" s="158"/>
      <c r="BU79" s="376"/>
      <c r="BV79" s="160"/>
      <c r="BW79" s="160"/>
      <c r="BX79" s="160"/>
      <c r="BY79" s="160"/>
      <c r="BZ79" s="376"/>
      <c r="CA79" s="160"/>
      <c r="CB79" s="302"/>
      <c r="CC79" s="374"/>
      <c r="CD79" s="302"/>
      <c r="CE79" s="302"/>
      <c r="CF79" s="161"/>
      <c r="CG79" s="336">
        <f>DATE(YEAR(CF79),MONTH(CF79)+24,DAY(CF79))</f>
        <v>731</v>
      </c>
      <c r="CH79" s="336">
        <f>DATE(YEAR(CF79),MONTH(CF79)+36,DAY(CF79))</f>
        <v>1096</v>
      </c>
      <c r="CI79" s="336"/>
      <c r="CJ79" s="302"/>
      <c r="CK79" s="308"/>
      <c r="CL79" s="161"/>
      <c r="CM79" s="371"/>
      <c r="CN79" s="161"/>
      <c r="CO79" s="161"/>
      <c r="CP79" s="162"/>
      <c r="CQ79" s="367"/>
      <c r="CR79" s="162"/>
      <c r="CS79" s="162"/>
      <c r="CT79" s="162"/>
      <c r="CU79" s="367"/>
      <c r="CV79" s="162"/>
      <c r="CW79" s="162"/>
      <c r="CX79" s="162"/>
      <c r="CY79" s="367"/>
      <c r="CZ79" s="162"/>
      <c r="DA79" s="162"/>
      <c r="DB79" s="299"/>
      <c r="DC79" s="299"/>
      <c r="DD79" s="299"/>
      <c r="DE79" s="312"/>
      <c r="DF79" s="312"/>
      <c r="DG79" s="312"/>
      <c r="DH79" s="312"/>
      <c r="DI79" s="312"/>
      <c r="DJ79" s="312"/>
      <c r="DK79" s="293"/>
      <c r="DL79" s="293"/>
      <c r="DM79" s="293"/>
      <c r="DN79" s="293"/>
      <c r="DO79" s="293"/>
      <c r="DP79" s="293"/>
      <c r="DQ79" s="443"/>
      <c r="DR79" s="443"/>
      <c r="DS79" s="443"/>
      <c r="DT79" s="298"/>
      <c r="DU79" s="443"/>
      <c r="DV79" s="443"/>
      <c r="DW79" s="443"/>
      <c r="DX79" s="423"/>
      <c r="DY79" s="423"/>
      <c r="DZ79" s="423"/>
      <c r="EA79" s="434">
        <v>43647</v>
      </c>
      <c r="EB79" s="423"/>
      <c r="EC79" s="430"/>
      <c r="ED79" s="430"/>
      <c r="EE79" s="422"/>
      <c r="EF79" s="422"/>
      <c r="EG79" s="422"/>
      <c r="EH79" s="422"/>
      <c r="EI79" s="431"/>
      <c r="EJ79" s="431"/>
      <c r="EK79" s="423"/>
      <c r="EL79" s="423"/>
      <c r="EM79" s="423"/>
      <c r="EN79" s="210"/>
      <c r="EO79" s="210"/>
      <c r="EP79" s="423"/>
      <c r="EQ79" s="423"/>
      <c r="ER79" s="423"/>
      <c r="ES79" s="423"/>
      <c r="ET79" s="423"/>
      <c r="EU79" s="334"/>
      <c r="EV79" s="206"/>
      <c r="EW79" s="206"/>
      <c r="EX79" s="209"/>
      <c r="EY79" s="434"/>
      <c r="EZ79" s="212"/>
      <c r="FA79" s="212"/>
      <c r="FB79" s="212"/>
      <c r="FC79" s="212"/>
      <c r="FD79" s="110"/>
      <c r="FE79" s="110"/>
      <c r="FF79" s="110"/>
      <c r="FG79" s="110"/>
      <c r="FH79" s="110"/>
      <c r="FI79" s="110"/>
      <c r="FJ79" s="110"/>
      <c r="FK79" s="110"/>
      <c r="FL79" s="110"/>
      <c r="FM79" s="110"/>
      <c r="FN79" s="110"/>
      <c r="FO79" s="110"/>
      <c r="FP79" s="199"/>
      <c r="FQ79" s="153">
        <f>+GA79+GE79+GL79+HF79+GQ79</f>
        <v>3896937.4952389677</v>
      </c>
      <c r="FR79" s="124">
        <f>GB79+GF79+GK79+GM79+GQ79+GN79</f>
        <v>0</v>
      </c>
      <c r="FS79" s="154">
        <f>FR79-FQ79</f>
        <v>-3896937.4952389677</v>
      </c>
      <c r="FT79" s="98">
        <f>FQ79/AG79</f>
        <v>1920.6670914704493</v>
      </c>
      <c r="FU79" s="98">
        <f>FQ79/AD79</f>
        <v>114615.80868349905</v>
      </c>
      <c r="FV79" s="153">
        <v>3277537.4877446182</v>
      </c>
      <c r="FW79" s="124"/>
      <c r="FX79" s="154">
        <f>FW79-FV79</f>
        <v>-3277537.4877446182</v>
      </c>
      <c r="FY79" s="232" t="e">
        <f>FW79*1.021/FR79</f>
        <v>#DIV/0!</v>
      </c>
      <c r="FZ79" s="234">
        <v>0.4</v>
      </c>
      <c r="GA79" s="153">
        <v>1259491.9858582849</v>
      </c>
      <c r="GB79" s="124"/>
      <c r="GC79" s="98">
        <f>GA79/AD79</f>
        <v>37043.88193700838</v>
      </c>
      <c r="GD79" s="155">
        <f>GB79-GA79</f>
        <v>-1259491.9858582849</v>
      </c>
      <c r="GE79" s="153">
        <v>2487445.5093806828</v>
      </c>
      <c r="GF79" s="124"/>
      <c r="GG79" s="147"/>
      <c r="GH79" s="147"/>
      <c r="GI79" s="155">
        <f>GF79-GE79</f>
        <v>-2487445.5093806828</v>
      </c>
      <c r="GJ79" s="98">
        <f>GE79/AD79</f>
        <v>73160.162040608324</v>
      </c>
      <c r="GK79" s="124"/>
      <c r="GL79" s="523">
        <v>150000</v>
      </c>
      <c r="GM79" s="124"/>
      <c r="GN79" s="124"/>
      <c r="GO79" s="76">
        <f>GL79/FQ79</f>
        <v>3.8491764413275946E-2</v>
      </c>
      <c r="GP79" s="153"/>
      <c r="GQ79" s="124"/>
      <c r="GR79" s="149">
        <f>GM79-GL79</f>
        <v>-150000</v>
      </c>
      <c r="GS79" s="50">
        <f>GL79/AD79</f>
        <v>4411.7647058823532</v>
      </c>
      <c r="GT79" s="138">
        <f>(GA79+GL79)/AD79</f>
        <v>41455.64664289073</v>
      </c>
      <c r="GU79" s="149">
        <f>GR79/AD79</f>
        <v>-4411.7647058823532</v>
      </c>
      <c r="GV79" s="150"/>
      <c r="GW79" s="150"/>
      <c r="GX79" s="151"/>
      <c r="GY79" s="151"/>
      <c r="GZ79" s="98">
        <f>(GA79+GL79+GY79)/AD79</f>
        <v>41455.64664289073</v>
      </c>
      <c r="HA79" s="151"/>
      <c r="HB79" s="98">
        <f>(GB79+GM79+GY79+HA79)/AD79</f>
        <v>0</v>
      </c>
      <c r="HC79" s="99">
        <f>(GA79+GL79+GY79+HA79)/(GX79+FQ79-HD79)</f>
        <v>0.36169222308038385</v>
      </c>
      <c r="HD79" s="151"/>
      <c r="HE79" s="151"/>
      <c r="HF79" s="124"/>
      <c r="HG79" s="77">
        <f>FQ79+GX79</f>
        <v>3896937.4952389677</v>
      </c>
      <c r="HH79" s="491">
        <v>1069949.6500000001</v>
      </c>
      <c r="HI79" s="491">
        <f>HK79+ID79</f>
        <v>133744</v>
      </c>
      <c r="HJ79" s="494">
        <v>42605</v>
      </c>
      <c r="HK79" s="511">
        <v>110767</v>
      </c>
      <c r="HL79" s="526">
        <v>42619</v>
      </c>
      <c r="HM79" s="450">
        <f>DATE(YEAR(HL79),MONTH(HL79),DAY(HL79)+21)</f>
        <v>42640</v>
      </c>
      <c r="HN79" s="415">
        <v>42674</v>
      </c>
      <c r="HO79" s="497">
        <f>IF(AND(HM79&gt;0,HN79&gt;0),HN79-HM79,"0")</f>
        <v>34</v>
      </c>
      <c r="HP79" s="415">
        <v>42676</v>
      </c>
      <c r="HQ79" s="481">
        <f>IF(AND(HN79&gt;0,HP79&gt;0),HP79-HN79,"0")</f>
        <v>2</v>
      </c>
      <c r="HR79" s="497">
        <f>+HQ79-30</f>
        <v>-28</v>
      </c>
      <c r="HS79" s="506">
        <f>IF(AND(HL79&gt;0,HP79&gt;0),HP79-HL79,"0")</f>
        <v>57</v>
      </c>
      <c r="HT79" s="420">
        <v>42688</v>
      </c>
      <c r="HU79" s="497">
        <f>IF(AND(HP79&gt;0,HT79&gt;0),HT79-HP79,"0")</f>
        <v>12</v>
      </c>
      <c r="HV79" s="420">
        <f>DATE(YEAR(HT79),MONTH(HT79),DAY(HT79)+30)</f>
        <v>42718</v>
      </c>
      <c r="HW79" s="420">
        <v>42717</v>
      </c>
      <c r="HX79" s="497">
        <f>IF(AND(HV79&gt;0,HW79&gt;0),HW79-HV79,"0")</f>
        <v>-1</v>
      </c>
      <c r="HY79" s="206">
        <f>DATE(YEAR(HV79),MONTH(HV79),DAY(HV79)+15)</f>
        <v>42733</v>
      </c>
      <c r="HZ79" s="481">
        <f>IF(AND(HW79&gt;0,HY79&gt;0),HY79-HW79,"0")</f>
        <v>16</v>
      </c>
      <c r="IA79" s="497">
        <f>+HZ79-30</f>
        <v>-14</v>
      </c>
      <c r="IB79" s="506">
        <f>IF(AND(HT79&gt;0,HY79&gt;0),HY79-HT79,"0")</f>
        <v>45</v>
      </c>
      <c r="IC79" s="576">
        <v>42716</v>
      </c>
      <c r="ID79" s="511">
        <v>22977</v>
      </c>
      <c r="IE79" s="450">
        <f>DATE(YEAR(HY79),MONTH(HY79),DAY(HY79)+15)</f>
        <v>42748</v>
      </c>
      <c r="IF79" s="450">
        <f>DATE(YEAR(IE79),MONTH(IE79),DAY(IE79)+7)</f>
        <v>42755</v>
      </c>
      <c r="IG79" s="494"/>
      <c r="IH79" s="505">
        <f>$IH$1*HH79</f>
        <v>106994.96500000003</v>
      </c>
      <c r="II79" s="206">
        <f>DATE(YEAR(IF79),MONTH(IF79),DAY(IF79)+21)</f>
        <v>42776</v>
      </c>
      <c r="IJ79" s="497">
        <f>IF(AND(HY79&gt;0,II79&gt;0),II79-HY79,"0")</f>
        <v>43</v>
      </c>
      <c r="IK79" s="206">
        <f>DATE(YEAR(II79),MONTH(II79),DAY(II79)+30)</f>
        <v>42806</v>
      </c>
      <c r="IL79" s="206">
        <f ca="1">IF(IK79&lt;TODAY(),TODAY(),IK79)</f>
        <v>42806</v>
      </c>
      <c r="IM79" s="497">
        <f ca="1">IF(AND(IK79&gt;0,IL79&gt;0),IL79-IK79,"0")</f>
        <v>0</v>
      </c>
      <c r="IN79" s="206">
        <f>DATE(YEAR(IK79),MONTH(IK79),DAY(IK79)+30)</f>
        <v>42836</v>
      </c>
      <c r="IO79" s="481">
        <f ca="1">IF(AND(IL79&gt;0,IN79&gt;0),IN79-IL79,"0")</f>
        <v>30</v>
      </c>
      <c r="IP79" s="497">
        <f ca="1">+IO79-30</f>
        <v>0</v>
      </c>
      <c r="IQ79" s="506">
        <f>IF(AND(II79&gt;0,IN79&gt;0),IN79-II79,"0")</f>
        <v>60</v>
      </c>
      <c r="IR79" s="490"/>
      <c r="IS79" s="505">
        <f>$IS$1*HH79</f>
        <v>106994.96500000003</v>
      </c>
      <c r="IT79" s="206">
        <f>IN79</f>
        <v>42836</v>
      </c>
      <c r="IU79" s="498">
        <f>IF(AND(IN79&gt;0,IT79&gt;0),IT79-IN79,"0")</f>
        <v>0</v>
      </c>
      <c r="IV79" s="206">
        <f>DATE(YEAR(IT79),MONTH(IT79),DAY(IT79)+30)</f>
        <v>42866</v>
      </c>
      <c r="IW79" s="206">
        <f ca="1">IF(IV79&lt;TODAY(),TODAY(),IV79)</f>
        <v>42866</v>
      </c>
      <c r="IX79" s="498">
        <f ca="1">IF(AND(IV79&gt;0,IW79&gt;0),IW79-IV79,"0")</f>
        <v>0</v>
      </c>
      <c r="IY79" s="206">
        <f>DATE(YEAR(IV79),MONTH(IV79),DAY(IV79)+30)</f>
        <v>42896</v>
      </c>
      <c r="IZ79" s="482">
        <f ca="1">IF(AND(IW79&gt;0,IY79&gt;0),IY79-IW79,"0")</f>
        <v>30</v>
      </c>
      <c r="JA79" s="498">
        <f ca="1">IZ79-30</f>
        <v>0</v>
      </c>
      <c r="JB79" s="508">
        <f>IF(AND(IT79&gt;0,IY79&gt;0),IY79-IT79,"0")</f>
        <v>60</v>
      </c>
      <c r="JC79" s="490"/>
      <c r="JD79" s="505">
        <f>$JD$1*$HH$65</f>
        <v>34029.599999999999</v>
      </c>
      <c r="JE79" s="502">
        <f>IY79</f>
        <v>42896</v>
      </c>
      <c r="JF79" s="487">
        <f>IF(AND(IY79&gt;0,JE79&gt;0),JE79-IY79,"0")</f>
        <v>0</v>
      </c>
      <c r="JG79" s="502">
        <f>DATE(YEAR(JE79),MONTH(JE79),DAY(JE79)+15)</f>
        <v>42911</v>
      </c>
      <c r="JH79" s="502">
        <f ca="1">IF(JG79&lt;TODAY(),TODAY(),JG79)</f>
        <v>42911</v>
      </c>
      <c r="JI79" s="487">
        <f ca="1">IF(AND(JG79&gt;0,JH79&gt;0),JH79-JG79,"0")</f>
        <v>0</v>
      </c>
      <c r="JJ79" s="502">
        <f ca="1">DATE(YEAR(JH79),MONTH(JH79),DAY(JH79)+45)</f>
        <v>42956</v>
      </c>
      <c r="JK79" s="502">
        <f ca="1">JJ79</f>
        <v>42956</v>
      </c>
      <c r="JL79" s="487">
        <f ca="1">IF(AND(JJ79&gt;0,JK79&gt;0),JK79-JJ79,"0")</f>
        <v>0</v>
      </c>
      <c r="JM79" s="509">
        <f ca="1">IF(AND(JE79&gt;0,JK79&gt;0),JK79-JE79,"0")</f>
        <v>60</v>
      </c>
      <c r="JN79" s="502">
        <f ca="1">DATE(YEAR(JK79),MONTH(JK79),DAY(JK79)+60)</f>
        <v>43016</v>
      </c>
      <c r="JO79" s="501">
        <f ca="1">IF(AND(JK79&gt;0,JN79&gt;0),JN79-JK79,"0")</f>
        <v>60</v>
      </c>
      <c r="JP79" s="498">
        <f ca="1">JO79-60</f>
        <v>0</v>
      </c>
      <c r="JQ79" s="482">
        <f>291/30</f>
        <v>9.6999999999999993</v>
      </c>
      <c r="JR79" s="504">
        <f ca="1">((+HS79+HU79+IB79+IJ79+IQ79+IU79+JB79+JM79+JF79)/30)-JQ79</f>
        <v>1.5333333333333332</v>
      </c>
      <c r="JS79" s="490"/>
      <c r="JT79" s="505"/>
      <c r="JU79" s="490"/>
      <c r="JV79" s="505"/>
      <c r="JW79" s="586"/>
      <c r="JX79" s="586"/>
      <c r="JY79" s="586"/>
      <c r="JZ79" s="586"/>
    </row>
    <row r="80" spans="1:286" ht="63" hidden="1" customHeight="1" x14ac:dyDescent="0.25">
      <c r="A80" s="146" t="s">
        <v>435</v>
      </c>
      <c r="B80" s="110" t="s">
        <v>62</v>
      </c>
      <c r="C80" s="110" t="s">
        <v>158</v>
      </c>
      <c r="D80" s="110">
        <v>2018</v>
      </c>
      <c r="E80" s="110"/>
      <c r="F80" s="110"/>
      <c r="G80" s="110" t="s">
        <v>273</v>
      </c>
      <c r="H80" s="112" t="s">
        <v>318</v>
      </c>
      <c r="I80" s="110"/>
      <c r="J80" s="110"/>
      <c r="K80" s="453"/>
      <c r="L80" s="309"/>
      <c r="M80" s="310"/>
      <c r="N80" s="311"/>
      <c r="O80" s="379"/>
      <c r="P80" s="379"/>
      <c r="Q80" s="379"/>
      <c r="R80" s="379">
        <f>P80/AD80</f>
        <v>0</v>
      </c>
      <c r="S80" s="379" t="e">
        <f>P80/O80</f>
        <v>#DIV/0!</v>
      </c>
      <c r="T80" s="387" t="e">
        <f>Q80/O80</f>
        <v>#DIV/0!</v>
      </c>
      <c r="U80" s="387">
        <f>Q80/AH80</f>
        <v>0</v>
      </c>
      <c r="V80" s="387">
        <f>Q80/AD80</f>
        <v>0</v>
      </c>
      <c r="W80" s="379">
        <f>O80/AD80</f>
        <v>0</v>
      </c>
      <c r="X80" s="380"/>
      <c r="Y80" s="390" t="e">
        <f>AH80/O80</f>
        <v>#DIV/0!</v>
      </c>
      <c r="Z80" s="380"/>
      <c r="AA80" s="380">
        <v>895</v>
      </c>
      <c r="AB80" s="381"/>
      <c r="AC80" s="110" t="s">
        <v>26</v>
      </c>
      <c r="AD80" s="342">
        <f>(AE80+AF80)</f>
        <v>48</v>
      </c>
      <c r="AE80" s="121"/>
      <c r="AF80" s="110">
        <v>48</v>
      </c>
      <c r="AG80" s="114">
        <v>3995.18</v>
      </c>
      <c r="AH80" s="152">
        <f>AG80</f>
        <v>3995.18</v>
      </c>
      <c r="AI80" s="114">
        <f>AH80/AD80</f>
        <v>83.232916666666668</v>
      </c>
      <c r="AJ80" s="135">
        <v>0</v>
      </c>
      <c r="AK80" s="135">
        <f>7/AF80</f>
        <v>0.14583333333333334</v>
      </c>
      <c r="AL80" s="135">
        <f>17/AF80</f>
        <v>0.35416666666666669</v>
      </c>
      <c r="AM80" s="135">
        <f>14/AF80</f>
        <v>0.29166666666666669</v>
      </c>
      <c r="AN80" s="135">
        <f>4/AF80</f>
        <v>8.3333333333333329E-2</v>
      </c>
      <c r="AO80" s="114"/>
      <c r="AP80" s="133"/>
      <c r="AQ80" s="135"/>
      <c r="AR80" s="114">
        <v>2.5</v>
      </c>
      <c r="AS80" s="110"/>
      <c r="AT80" s="110"/>
      <c r="AU80" s="110"/>
      <c r="AV80" s="110"/>
      <c r="AW80" s="415">
        <v>42143</v>
      </c>
      <c r="AX80" s="415">
        <v>42242</v>
      </c>
      <c r="AY80" s="415">
        <v>42475</v>
      </c>
      <c r="AZ80" s="332"/>
      <c r="BA80" s="332"/>
      <c r="BB80" s="332"/>
      <c r="BC80" s="332"/>
      <c r="BD80" s="332"/>
      <c r="BE80" s="540" t="s">
        <v>587</v>
      </c>
      <c r="BF80" s="110"/>
      <c r="BG80" s="110"/>
      <c r="BH80" s="110"/>
      <c r="BI80" s="110"/>
      <c r="BJ80" s="110"/>
      <c r="BK80" s="110"/>
      <c r="BL80" s="110"/>
      <c r="BM80" s="110"/>
      <c r="BN80" s="196"/>
      <c r="BO80" s="196"/>
      <c r="BP80" s="196"/>
      <c r="BQ80" s="196"/>
      <c r="BR80" s="196"/>
      <c r="BS80" s="196"/>
      <c r="BT80" s="158"/>
      <c r="BU80" s="376"/>
      <c r="BV80" s="160"/>
      <c r="BW80" s="160"/>
      <c r="BX80" s="160"/>
      <c r="BY80" s="160"/>
      <c r="BZ80" s="376"/>
      <c r="CA80" s="160"/>
      <c r="CB80" s="302"/>
      <c r="CC80" s="374"/>
      <c r="CD80" s="302"/>
      <c r="CE80" s="302"/>
      <c r="CF80" s="161"/>
      <c r="CG80" s="336">
        <f>DATE(YEAR(CF80),MONTH(CF80)+24,DAY(CF80))</f>
        <v>731</v>
      </c>
      <c r="CH80" s="336">
        <f>DATE(YEAR(CF80),MONTH(CF80)+36,DAY(CF80))</f>
        <v>1096</v>
      </c>
      <c r="CI80" s="336"/>
      <c r="CJ80" s="302"/>
      <c r="CK80" s="308"/>
      <c r="CL80" s="161"/>
      <c r="CM80" s="371"/>
      <c r="CN80" s="161"/>
      <c r="CO80" s="161"/>
      <c r="CP80" s="162"/>
      <c r="CQ80" s="367"/>
      <c r="CR80" s="162"/>
      <c r="CS80" s="162"/>
      <c r="CT80" s="162"/>
      <c r="CU80" s="367"/>
      <c r="CV80" s="162"/>
      <c r="CW80" s="162"/>
      <c r="CX80" s="162"/>
      <c r="CY80" s="367"/>
      <c r="CZ80" s="162"/>
      <c r="DA80" s="162"/>
      <c r="DB80" s="299"/>
      <c r="DC80" s="299"/>
      <c r="DD80" s="299"/>
      <c r="DE80" s="312"/>
      <c r="DF80" s="312"/>
      <c r="DG80" s="312"/>
      <c r="DH80" s="312"/>
      <c r="DI80" s="312"/>
      <c r="DJ80" s="312"/>
      <c r="DK80" s="293"/>
      <c r="DL80" s="293"/>
      <c r="DM80" s="293"/>
      <c r="DN80" s="293"/>
      <c r="DO80" s="293"/>
      <c r="DP80" s="293"/>
      <c r="DQ80" s="443"/>
      <c r="DR80" s="443"/>
      <c r="DS80" s="443"/>
      <c r="DT80" s="298"/>
      <c r="DU80" s="443">
        <f>DATE(YEAR(DQ80),MONTH(DQ80)+18,DAY(DQ80))</f>
        <v>547</v>
      </c>
      <c r="DV80" s="443"/>
      <c r="DW80" s="443"/>
      <c r="DX80" s="423"/>
      <c r="DY80" s="423"/>
      <c r="DZ80" s="423"/>
      <c r="EA80" s="434">
        <v>43845</v>
      </c>
      <c r="EB80" s="423"/>
      <c r="EC80" s="430">
        <v>16</v>
      </c>
      <c r="ED80" s="430">
        <f>EC80+2</f>
        <v>18</v>
      </c>
      <c r="EE80" s="422">
        <f>DATEDIF(EA80,EN80,"M")</f>
        <v>16</v>
      </c>
      <c r="EF80" s="422">
        <f>DATEDIF(EA80,EV80,"M")</f>
        <v>17</v>
      </c>
      <c r="EG80" s="422">
        <f>EE80-EC80</f>
        <v>0</v>
      </c>
      <c r="EH80" s="422"/>
      <c r="EI80" s="431"/>
      <c r="EJ80" s="431"/>
      <c r="EK80" s="423"/>
      <c r="EL80" s="423"/>
      <c r="EM80" s="423"/>
      <c r="EN80" s="210">
        <f>DATE(YEAR(EA80),MONTH(EA80)+EC80,DAY(EA80))</f>
        <v>44331</v>
      </c>
      <c r="EO80" s="210">
        <f>DATE(YEAR(DV80)+2,MONTH(DV80),DAY(DV80))</f>
        <v>731</v>
      </c>
      <c r="EP80" s="423"/>
      <c r="EQ80" s="423"/>
      <c r="ER80" s="423"/>
      <c r="ES80" s="423"/>
      <c r="ET80" s="423"/>
      <c r="EU80" s="334">
        <f>DATE(YEAR(EN80),MONTH(EN80)+1,DAY(EN80))</f>
        <v>44362</v>
      </c>
      <c r="EV80" s="206">
        <f>EU80</f>
        <v>44362</v>
      </c>
      <c r="EW80" s="206"/>
      <c r="EX80" s="209"/>
      <c r="EY80" s="434"/>
      <c r="EZ80" s="212"/>
      <c r="FA80" s="212"/>
      <c r="FB80" s="212"/>
      <c r="FC80" s="212"/>
      <c r="FD80" s="110"/>
      <c r="FE80" s="110"/>
      <c r="FF80" s="110"/>
      <c r="FG80" s="110"/>
      <c r="FH80" s="110"/>
      <c r="FI80" s="110"/>
      <c r="FJ80" s="110"/>
      <c r="FK80" s="110"/>
      <c r="FL80" s="110"/>
      <c r="FM80" s="110"/>
      <c r="FN80" s="110"/>
      <c r="FO80" s="110"/>
      <c r="FP80" s="199"/>
      <c r="FQ80" s="153">
        <f>+GA80+GE80+GL80+HF80+GQ80</f>
        <v>8528169</v>
      </c>
      <c r="FR80" s="124">
        <f>GB80+GF80+GK80+GM80+GQ80</f>
        <v>8528169</v>
      </c>
      <c r="FS80" s="154">
        <f>FR80-FQ80</f>
        <v>0</v>
      </c>
      <c r="FT80" s="98">
        <f>FQ80/AG80</f>
        <v>2134.614460424812</v>
      </c>
      <c r="FU80" s="98">
        <f>FQ80/AD80</f>
        <v>177670.1875</v>
      </c>
      <c r="FV80" s="153"/>
      <c r="FW80" s="124"/>
      <c r="FX80" s="154">
        <f>FW80-FV80</f>
        <v>0</v>
      </c>
      <c r="FY80" s="232">
        <f>FW80*1.021/FR80</f>
        <v>0</v>
      </c>
      <c r="FZ80" s="234">
        <v>0.39316000000000001</v>
      </c>
      <c r="GA80" s="153">
        <v>2453047</v>
      </c>
      <c r="GB80" s="124">
        <f>GA80</f>
        <v>2453047</v>
      </c>
      <c r="GC80" s="98">
        <f>GA80/AD80</f>
        <v>51105.145833333336</v>
      </c>
      <c r="GD80" s="155">
        <f>GB80-GA80</f>
        <v>0</v>
      </c>
      <c r="GE80" s="153">
        <v>4950122</v>
      </c>
      <c r="GF80" s="124">
        <f>GE80</f>
        <v>4950122</v>
      </c>
      <c r="GG80" s="147"/>
      <c r="GH80" s="147"/>
      <c r="GI80" s="155">
        <f>GF80-GE80</f>
        <v>0</v>
      </c>
      <c r="GJ80" s="98">
        <f>GE80/AD80</f>
        <v>103127.54166666667</v>
      </c>
      <c r="GK80" s="124"/>
      <c r="GL80" s="153">
        <v>1125000</v>
      </c>
      <c r="GM80" s="124">
        <f>GL80</f>
        <v>1125000</v>
      </c>
      <c r="GN80" s="124"/>
      <c r="GO80" s="76">
        <f>GL80/FQ80</f>
        <v>0.13191577230704504</v>
      </c>
      <c r="GP80" s="153"/>
      <c r="GQ80" s="124"/>
      <c r="GR80" s="149">
        <f>GM80-GL80</f>
        <v>0</v>
      </c>
      <c r="GS80" s="50">
        <f>GL80/AD80</f>
        <v>23437.5</v>
      </c>
      <c r="GT80" s="138">
        <f>(GA80+GL80)/AD80</f>
        <v>74542.645833333328</v>
      </c>
      <c r="GU80" s="149">
        <f>GR80/AD80</f>
        <v>0</v>
      </c>
      <c r="GV80" s="150">
        <v>5.2</v>
      </c>
      <c r="GW80" s="150">
        <v>5.2</v>
      </c>
      <c r="GX80" s="151"/>
      <c r="GY80" s="151"/>
      <c r="GZ80" s="98">
        <f>(GA80+GL80+GY80)/AD80</f>
        <v>74542.645833333328</v>
      </c>
      <c r="HA80" s="151"/>
      <c r="HB80" s="98">
        <f>(GB80+GM80+GY80+HA80)/AD80</f>
        <v>74542.645833333328</v>
      </c>
      <c r="HC80" s="99">
        <f>(GA80+GL80+GY80+HA80)/(GX80+FQ80-HD80)</f>
        <v>0.41955629631636054</v>
      </c>
      <c r="HD80" s="151"/>
      <c r="HE80" s="151"/>
      <c r="HF80" s="124"/>
      <c r="HG80" s="77">
        <f>FQ80+GX80</f>
        <v>8528169</v>
      </c>
      <c r="HH80" s="491"/>
      <c r="HI80" s="491"/>
      <c r="HJ80" s="494"/>
      <c r="HK80" s="491"/>
      <c r="HL80" s="477"/>
      <c r="HM80" s="477">
        <f>DATE(YEAR(HL80),MONTH(HL80),DAY(HL80)+21)</f>
        <v>21</v>
      </c>
      <c r="HN80" s="477"/>
      <c r="HO80" s="497" t="str">
        <f>IF(AND(HM80&gt;0,HN80&gt;0),HN80-HM80,"0")</f>
        <v>0</v>
      </c>
      <c r="HP80" s="477"/>
      <c r="HQ80" s="481" t="str">
        <f>IF(AND(HN80&gt;0,HP80&gt;0),HP80-HN80,"0")</f>
        <v>0</v>
      </c>
      <c r="HR80" s="497">
        <f>+HQ80-30</f>
        <v>-30</v>
      </c>
      <c r="HS80" s="506" t="str">
        <f>IF(AND(HL80&gt;0,HP80&gt;0),HP80-HL80,"0")</f>
        <v>0</v>
      </c>
      <c r="HT80" s="477"/>
      <c r="HU80" s="497" t="str">
        <f>IF(AND(HP80&gt;0,HT80&gt;0),HT80-HP80,"0")</f>
        <v>0</v>
      </c>
      <c r="HV80" s="477">
        <f>DATE(YEAR(HT80),MONTH(HT80),DAY(HT80)+21)</f>
        <v>21</v>
      </c>
      <c r="HW80" s="477"/>
      <c r="HX80" s="497" t="str">
        <f>IF(AND(HV80&gt;0,HW80&gt;0),HW80-HV80,"0")</f>
        <v>0</v>
      </c>
      <c r="HY80" s="476"/>
      <c r="HZ80" s="481" t="str">
        <f>IF(AND(HW80&gt;0,HY80&gt;0),HY80-HW80,"0")</f>
        <v>0</v>
      </c>
      <c r="IA80" s="497">
        <f>+HZ80-30</f>
        <v>-30</v>
      </c>
      <c r="IB80" s="506" t="str">
        <f>IF(AND(HT80&gt;0,HY80&gt;0),HY80-HT80,"0")</f>
        <v>0</v>
      </c>
      <c r="IC80" s="490"/>
      <c r="ID80" s="491"/>
      <c r="IE80" s="477"/>
      <c r="IF80" s="477"/>
      <c r="IG80" s="494"/>
      <c r="IH80" s="491"/>
      <c r="II80" s="478"/>
      <c r="IJ80" s="497" t="str">
        <f>IF(AND(HY80&gt;0,II80&gt;0),II80-HY80,"0")</f>
        <v>0</v>
      </c>
      <c r="IK80" s="478"/>
      <c r="IL80" s="478"/>
      <c r="IM80" s="497" t="str">
        <f>IF(AND(IK80&gt;0,IL80&gt;0),IL80-IK80,"0")</f>
        <v>0</v>
      </c>
      <c r="IN80" s="478"/>
      <c r="IO80" s="481" t="str">
        <f>IF(AND(IL80&gt;0,IN80&gt;0),IN80-IL80,"0")</f>
        <v>0</v>
      </c>
      <c r="IP80" s="497">
        <f>+IO80-30</f>
        <v>-30</v>
      </c>
      <c r="IQ80" s="506" t="str">
        <f>IF(AND(II80&gt;0,IN80&gt;0),IN80-II80,"0")</f>
        <v>0</v>
      </c>
      <c r="IR80" s="490"/>
      <c r="IS80" s="491"/>
      <c r="IT80" s="478"/>
      <c r="IU80" s="498" t="str">
        <f>IF(AND(IN80&gt;0,IT80&gt;0),IT80-IN80,"0")</f>
        <v>0</v>
      </c>
      <c r="IV80" s="478"/>
      <c r="IW80" s="478"/>
      <c r="IX80" s="498" t="str">
        <f>IF(AND(IV80&gt;0,IW80&gt;0),IW80-IV80,"0")</f>
        <v>0</v>
      </c>
      <c r="IY80" s="478"/>
      <c r="IZ80" s="482" t="str">
        <f>IF(AND(IW80&gt;0,IY80&gt;0),IY80-IW80,"0")</f>
        <v>0</v>
      </c>
      <c r="JA80" s="498">
        <f>IZ80-30</f>
        <v>-30</v>
      </c>
      <c r="JB80" s="508" t="str">
        <f>IF(AND(IT80&gt;0,IY80&gt;0),IY80-IT80,"0")</f>
        <v>0</v>
      </c>
      <c r="JC80" s="490"/>
      <c r="JD80" s="491"/>
      <c r="JE80" s="212"/>
      <c r="JF80" s="487" t="str">
        <f>IF(AND(IY80&gt;0,JE80&gt;0),JE80-IY80,"0")</f>
        <v>0</v>
      </c>
      <c r="JG80" s="212">
        <f>DATE(YEAR(JE80),MONTH(JE80),DAY(JE80)+15)</f>
        <v>15</v>
      </c>
      <c r="JH80" s="212">
        <f ca="1">TODAY()</f>
        <v>42789</v>
      </c>
      <c r="JI80" s="487">
        <f ca="1">IF(AND(JG80&gt;0,JH80&gt;0),JH80-JG80,"0")</f>
        <v>42774</v>
      </c>
      <c r="JJ80" s="212">
        <f ca="1">DATE(YEAR(JH80),MONTH(JH80),DAY(JH80)+15)</f>
        <v>42804</v>
      </c>
      <c r="JK80" s="212"/>
      <c r="JL80" s="487" t="str">
        <f ca="1">IF(AND(JJ80&gt;0,JK80&gt;0),JK80-JJ80,"0")</f>
        <v>0</v>
      </c>
      <c r="JM80" s="509" t="str">
        <f>IF(AND(JE80&gt;0,JK80&gt;0),JK80-JE80,"0")</f>
        <v>0</v>
      </c>
      <c r="JN80" s="212">
        <f>DATE(YEAR(JK80),MONTH(JK80),DAY(JK80)+60)</f>
        <v>60</v>
      </c>
      <c r="JO80" s="501" t="str">
        <f>IF(AND(JK80&gt;0,JN80&gt;0),JN80-JK80,"0")</f>
        <v>0</v>
      </c>
      <c r="JP80" s="498">
        <f>JO80-60</f>
        <v>-60</v>
      </c>
      <c r="JQ80" s="482">
        <f>291/30</f>
        <v>9.6999999999999993</v>
      </c>
      <c r="JR80" s="504">
        <f>((+HS80+HU80+IB80+IJ80+IQ80+IU80+JB80+JM80+JF80)/30)-JQ80</f>
        <v>-9.6999999999999993</v>
      </c>
      <c r="JS80" s="490"/>
      <c r="JT80" s="491"/>
      <c r="JU80" s="490"/>
      <c r="JV80" s="491"/>
      <c r="JW80" s="488"/>
      <c r="JX80" s="488"/>
      <c r="JY80" s="488"/>
      <c r="JZ80" s="488"/>
    </row>
    <row r="81" spans="1:286" ht="63" hidden="1" customHeight="1" x14ac:dyDescent="0.25">
      <c r="A81" s="444" t="s">
        <v>49</v>
      </c>
      <c r="B81" s="111" t="s">
        <v>44</v>
      </c>
      <c r="C81" s="111" t="s">
        <v>158</v>
      </c>
      <c r="D81" s="111">
        <v>2016</v>
      </c>
      <c r="E81" s="111" t="s">
        <v>50</v>
      </c>
      <c r="F81" s="111" t="s">
        <v>637</v>
      </c>
      <c r="G81" s="110" t="s">
        <v>278</v>
      </c>
      <c r="H81" s="111" t="s">
        <v>246</v>
      </c>
      <c r="I81" s="110"/>
      <c r="J81" s="111" t="s">
        <v>625</v>
      </c>
      <c r="K81" s="378" t="s">
        <v>629</v>
      </c>
      <c r="L81" s="309" t="s">
        <v>81</v>
      </c>
      <c r="M81" s="310" t="s">
        <v>86</v>
      </c>
      <c r="N81" s="311"/>
      <c r="O81" s="393">
        <v>4971</v>
      </c>
      <c r="P81" s="393">
        <v>209480</v>
      </c>
      <c r="Q81" s="393">
        <v>104251</v>
      </c>
      <c r="R81" s="379">
        <f>P81/AD81</f>
        <v>14962.857142857143</v>
      </c>
      <c r="S81" s="393">
        <f>P81/O81</f>
        <v>42.140414403540532</v>
      </c>
      <c r="T81" s="393">
        <f>Q81/O81</f>
        <v>20.971836652584994</v>
      </c>
      <c r="U81" s="393">
        <f>Q81/AH81</f>
        <v>139.22223260907307</v>
      </c>
      <c r="V81" s="393">
        <f>Q81/AD81</f>
        <v>7446.5</v>
      </c>
      <c r="W81" s="379">
        <f>O81/AD81</f>
        <v>355.07142857142856</v>
      </c>
      <c r="X81" s="394"/>
      <c r="Y81" s="390">
        <f>AH81/O81</f>
        <v>0.15063568698451016</v>
      </c>
      <c r="Z81" s="394" t="s">
        <v>308</v>
      </c>
      <c r="AA81" s="380">
        <v>850</v>
      </c>
      <c r="AB81" s="381"/>
      <c r="AC81" s="111" t="s">
        <v>26</v>
      </c>
      <c r="AD81" s="219">
        <f>AE81+AF81</f>
        <v>14</v>
      </c>
      <c r="AE81" s="121"/>
      <c r="AF81" s="111">
        <v>14</v>
      </c>
      <c r="AG81" s="115">
        <v>807.53</v>
      </c>
      <c r="AH81" s="152">
        <v>748.81</v>
      </c>
      <c r="AI81" s="114">
        <f>AH81/AD81</f>
        <v>53.486428571428569</v>
      </c>
      <c r="AJ81" s="135">
        <f>8/AD81</f>
        <v>0.5714285714285714</v>
      </c>
      <c r="AK81" s="116"/>
      <c r="AL81" s="135">
        <f>6/AD81</f>
        <v>0.42857142857142855</v>
      </c>
      <c r="AM81" s="116"/>
      <c r="AN81" s="116"/>
      <c r="AO81" s="114">
        <v>3037</v>
      </c>
      <c r="AP81" s="133"/>
      <c r="AQ81" s="135">
        <f>AP81/O81</f>
        <v>0</v>
      </c>
      <c r="AR81" s="114">
        <v>1.5</v>
      </c>
      <c r="AS81" s="111"/>
      <c r="AT81" s="111"/>
      <c r="AU81" s="111"/>
      <c r="AV81" s="111" t="s">
        <v>169</v>
      </c>
      <c r="AW81" s="415">
        <v>41121</v>
      </c>
      <c r="AX81" s="540" t="s">
        <v>178</v>
      </c>
      <c r="AY81" s="540"/>
      <c r="AZ81" s="540"/>
      <c r="BA81" s="110"/>
      <c r="BB81" s="415" t="s">
        <v>764</v>
      </c>
      <c r="BC81" s="415" t="s">
        <v>763</v>
      </c>
      <c r="BD81" s="110"/>
      <c r="BE81" s="415">
        <v>41401</v>
      </c>
      <c r="BF81" s="415">
        <v>41470</v>
      </c>
      <c r="BG81" s="415">
        <v>41502</v>
      </c>
      <c r="BH81" s="415">
        <v>41533</v>
      </c>
      <c r="BI81" s="110"/>
      <c r="BJ81" s="110"/>
      <c r="BK81" s="110"/>
      <c r="BL81" s="110"/>
      <c r="BM81" s="110"/>
      <c r="BN81" s="196" t="s">
        <v>17</v>
      </c>
      <c r="BO81" s="196" t="s">
        <v>174</v>
      </c>
      <c r="BP81" s="196"/>
      <c r="BQ81" s="196" t="s">
        <v>174</v>
      </c>
      <c r="BR81" s="196" t="s">
        <v>174</v>
      </c>
      <c r="BS81" s="196" t="s">
        <v>175</v>
      </c>
      <c r="BT81" s="520"/>
      <c r="BU81" s="376">
        <v>41566</v>
      </c>
      <c r="BV81" s="160"/>
      <c r="BW81" s="160"/>
      <c r="BX81" s="160" t="s">
        <v>168</v>
      </c>
      <c r="BY81" s="160">
        <v>41572</v>
      </c>
      <c r="BZ81" s="376">
        <v>41576</v>
      </c>
      <c r="CA81" s="160"/>
      <c r="CB81" s="302">
        <v>41550</v>
      </c>
      <c r="CC81" s="374">
        <v>41583</v>
      </c>
      <c r="CD81" s="302"/>
      <c r="CE81" s="302"/>
      <c r="CF81" s="161"/>
      <c r="CG81" s="336">
        <f>DATE(YEAR(CF81),MONTH(CF81)+24,DAY(CF81))</f>
        <v>731</v>
      </c>
      <c r="CH81" s="336">
        <f>DATE(YEAR(CF81),MONTH(CF81)+36,DAY(CF81))</f>
        <v>1096</v>
      </c>
      <c r="CI81" s="336"/>
      <c r="CJ81" s="302"/>
      <c r="CK81" s="302">
        <v>41659</v>
      </c>
      <c r="CL81" s="161" t="s">
        <v>230</v>
      </c>
      <c r="CM81" s="371" t="s">
        <v>230</v>
      </c>
      <c r="CN81" s="161" t="s">
        <v>230</v>
      </c>
      <c r="CO81" s="161"/>
      <c r="CP81" s="162" t="s">
        <v>230</v>
      </c>
      <c r="CQ81" s="367" t="s">
        <v>230</v>
      </c>
      <c r="CR81" s="162" t="s">
        <v>230</v>
      </c>
      <c r="CS81" s="162"/>
      <c r="CT81" s="166" t="s">
        <v>236</v>
      </c>
      <c r="CU81" s="368">
        <v>41624</v>
      </c>
      <c r="CV81" s="166">
        <v>41654</v>
      </c>
      <c r="CW81" s="166"/>
      <c r="CX81" s="166" t="s">
        <v>230</v>
      </c>
      <c r="CY81" s="368" t="s">
        <v>230</v>
      </c>
      <c r="CZ81" s="166" t="s">
        <v>230</v>
      </c>
      <c r="DA81" s="166"/>
      <c r="DB81" s="299" t="s">
        <v>188</v>
      </c>
      <c r="DC81" s="313">
        <v>34254</v>
      </c>
      <c r="DD81" s="313">
        <f>DC81*3/5</f>
        <v>20552.400000000001</v>
      </c>
      <c r="DE81" s="299" t="s">
        <v>189</v>
      </c>
      <c r="DF81" s="299"/>
      <c r="DG81" s="299"/>
      <c r="DH81" s="299"/>
      <c r="DI81" s="299"/>
      <c r="DJ81" s="299"/>
      <c r="DK81" s="298"/>
      <c r="DL81" s="298"/>
      <c r="DM81" s="298"/>
      <c r="DN81" s="298"/>
      <c r="DO81" s="293"/>
      <c r="DP81" s="293"/>
      <c r="DQ81" s="443"/>
      <c r="DR81" s="443"/>
      <c r="DS81" s="443"/>
      <c r="DT81" s="298"/>
      <c r="DU81" s="443">
        <f>DATE(YEAR(DQ81),MONTH(DQ81)+18,DAY(DQ81))</f>
        <v>547</v>
      </c>
      <c r="DV81" s="443"/>
      <c r="DW81" s="443"/>
      <c r="DX81" s="423"/>
      <c r="DY81" s="423"/>
      <c r="DZ81" s="423"/>
      <c r="EA81" s="434"/>
      <c r="EB81" s="423"/>
      <c r="EC81" s="430">
        <v>18</v>
      </c>
      <c r="ED81" s="430">
        <f>EC81+2</f>
        <v>20</v>
      </c>
      <c r="EE81" s="422">
        <f>DATEDIF(EA81,EN81,"M")</f>
        <v>0</v>
      </c>
      <c r="EF81" s="422">
        <f>DATEDIF(EA81,EV81,"M")</f>
        <v>0</v>
      </c>
      <c r="EG81" s="422">
        <f>EE81-EC81</f>
        <v>-18</v>
      </c>
      <c r="EH81" s="422"/>
      <c r="EI81" s="431"/>
      <c r="EJ81" s="431"/>
      <c r="EK81" s="423"/>
      <c r="EL81" s="423"/>
      <c r="EM81" s="423"/>
      <c r="EN81" s="210"/>
      <c r="EO81" s="210">
        <f>DATE(YEAR(DV81)+2,MONTH(DV81),DAY(DV81))</f>
        <v>731</v>
      </c>
      <c r="EP81" s="423"/>
      <c r="EQ81" s="423"/>
      <c r="ER81" s="423"/>
      <c r="ES81" s="423"/>
      <c r="ET81" s="423"/>
      <c r="EU81" s="334">
        <f>DATE(YEAR(EN81),MONTH(EN81)+1,DAY(EN81))</f>
        <v>31</v>
      </c>
      <c r="EV81" s="206"/>
      <c r="EW81" s="206"/>
      <c r="EX81" s="209"/>
      <c r="EY81" s="434"/>
      <c r="EZ81" s="212"/>
      <c r="FA81" s="212"/>
      <c r="FB81" s="212"/>
      <c r="FC81" s="212"/>
      <c r="FD81" s="110"/>
      <c r="FE81" s="110"/>
      <c r="FF81" s="110"/>
      <c r="FG81" s="110"/>
      <c r="FH81" s="110"/>
      <c r="FI81" s="110"/>
      <c r="FJ81" s="110"/>
      <c r="FK81" s="110"/>
      <c r="FL81" s="110"/>
      <c r="FM81" s="110"/>
      <c r="FN81" s="110"/>
      <c r="FO81" s="110"/>
      <c r="FP81" s="199" t="s">
        <v>168</v>
      </c>
      <c r="FQ81" s="523">
        <f>+GA81+GE81+GL81+HF81</f>
        <v>1500522.6257952091</v>
      </c>
      <c r="FR81" s="124">
        <f>GB81+GF81+GM81+HF81</f>
        <v>1609567</v>
      </c>
      <c r="FS81" s="154">
        <f>FR81-FQ81</f>
        <v>109044.37420479092</v>
      </c>
      <c r="FT81" s="98">
        <f>FR81/AG81</f>
        <v>1993.1977759340211</v>
      </c>
      <c r="FU81" s="98">
        <f>FR81/AD81</f>
        <v>114969.07142857143</v>
      </c>
      <c r="FV81" s="523">
        <v>1293228.53</v>
      </c>
      <c r="FW81" s="124">
        <v>1456965.7441400001</v>
      </c>
      <c r="FX81" s="154">
        <f>FW81-FV81</f>
        <v>163737.21414000005</v>
      </c>
      <c r="FY81" s="232">
        <f>FW81*1.021/FR81</f>
        <v>0.92420012634885029</v>
      </c>
      <c r="FZ81" s="234">
        <v>0.37990000000000002</v>
      </c>
      <c r="GA81" s="523">
        <v>396820.60513454932</v>
      </c>
      <c r="GB81" s="124">
        <v>479276</v>
      </c>
      <c r="GC81" s="98">
        <f>GB81/AD81</f>
        <v>34234</v>
      </c>
      <c r="GD81" s="684">
        <f>GB81-GA81</f>
        <v>82455.394865450682</v>
      </c>
      <c r="GE81" s="523">
        <v>823702.02066065976</v>
      </c>
      <c r="GF81" s="124">
        <f>GG81+GH81</f>
        <v>850291</v>
      </c>
      <c r="GG81" s="147">
        <v>163692</v>
      </c>
      <c r="GH81" s="147">
        <v>686599</v>
      </c>
      <c r="GI81" s="155">
        <f>GF81-GE81</f>
        <v>26588.979339340236</v>
      </c>
      <c r="GJ81" s="98">
        <f>GF81/AD81</f>
        <v>60735.071428571428</v>
      </c>
      <c r="GK81" s="124"/>
      <c r="GL81" s="523">
        <v>280000</v>
      </c>
      <c r="GM81" s="124">
        <f>GL81</f>
        <v>280000</v>
      </c>
      <c r="GN81" s="124"/>
      <c r="GO81" s="76">
        <f>GL81/FQ81</f>
        <v>0.18660165144235175</v>
      </c>
      <c r="GP81" s="590"/>
      <c r="GQ81" s="124">
        <v>0</v>
      </c>
      <c r="GR81" s="149">
        <f>GM81-GL81</f>
        <v>0</v>
      </c>
      <c r="GS81" s="50">
        <f>GM81/AD81</f>
        <v>20000</v>
      </c>
      <c r="GT81" s="138">
        <f>(GA81+GL81)/AD81</f>
        <v>48344.328938182094</v>
      </c>
      <c r="GU81" s="149">
        <f>GR81/AD81</f>
        <v>0</v>
      </c>
      <c r="GV81" s="150">
        <v>5.99</v>
      </c>
      <c r="GW81" s="150">
        <v>5.75</v>
      </c>
      <c r="GX81" s="151">
        <v>811033.48819999991</v>
      </c>
      <c r="GY81" s="151">
        <v>280000</v>
      </c>
      <c r="GZ81" s="98">
        <f>(GA81+GL81+GY81)/AD81</f>
        <v>68344.328938182094</v>
      </c>
      <c r="HA81" s="151">
        <v>413623.7</v>
      </c>
      <c r="HB81" s="98">
        <f>(GB81+GM81+GY81+HA81)/AD81</f>
        <v>103778.55</v>
      </c>
      <c r="HC81" s="99">
        <f>(GA81+GL81+GY81+HA81)/(GX81+FQ81-HD81)</f>
        <v>0.61626560522264773</v>
      </c>
      <c r="HD81" s="151">
        <v>87767.712499999994</v>
      </c>
      <c r="HE81" s="151"/>
      <c r="HF81" s="124">
        <v>0</v>
      </c>
      <c r="HG81" s="77">
        <f>FQ81+GX81</f>
        <v>2311556.1139952089</v>
      </c>
      <c r="HH81" s="491">
        <v>64925</v>
      </c>
      <c r="HI81" s="491">
        <f>HK81+ID81+IH81+IS81+JD81</f>
        <v>29250</v>
      </c>
      <c r="HJ81" s="494">
        <v>41090</v>
      </c>
      <c r="HK81" s="491">
        <v>5850</v>
      </c>
      <c r="HL81" s="415">
        <v>41032</v>
      </c>
      <c r="HM81" s="415">
        <f>DATE(YEAR(HL81),MONTH(HL81),DAY(HL81)+21)</f>
        <v>41053</v>
      </c>
      <c r="HN81" s="415">
        <v>41085</v>
      </c>
      <c r="HO81" s="497">
        <f>IF(AND(HM81&gt;0,HN81&gt;0),HN81-HM81,"0")</f>
        <v>32</v>
      </c>
      <c r="HP81" s="415">
        <v>41093</v>
      </c>
      <c r="HQ81" s="481">
        <f>IF(AND(HN81&gt;0,HP81&gt;0),HP81-HN81,"0")</f>
        <v>8</v>
      </c>
      <c r="HR81" s="497">
        <f>+HQ81-30</f>
        <v>-22</v>
      </c>
      <c r="HS81" s="506">
        <f>IF(AND(HL81&gt;0,HP81&gt;0),HP81-HL81,"0")</f>
        <v>61</v>
      </c>
      <c r="HT81" s="415">
        <v>41094</v>
      </c>
      <c r="HU81" s="497">
        <f>IF(AND(HP81&gt;0,HT81&gt;0),HT81-HP81,"0")</f>
        <v>1</v>
      </c>
      <c r="HV81" s="415">
        <f>DATE(YEAR(HT81),MONTH(HT81),DAY(HT81)+21)</f>
        <v>41115</v>
      </c>
      <c r="HW81" s="415">
        <v>41116</v>
      </c>
      <c r="HX81" s="497">
        <f>IF(AND(HV81&gt;0,HW81&gt;0),HW81-HV81,"0")</f>
        <v>1</v>
      </c>
      <c r="HY81" s="415">
        <v>41305</v>
      </c>
      <c r="HZ81" s="481">
        <f>IF(AND(HW81&gt;0,HY81&gt;0),HY81-HW81,"0")</f>
        <v>189</v>
      </c>
      <c r="IA81" s="497">
        <f>+HZ81-30</f>
        <v>159</v>
      </c>
      <c r="IB81" s="506">
        <f>IF(AND(HT81&gt;0,HY81&gt;0),HY81-HT81,"0")</f>
        <v>211</v>
      </c>
      <c r="IC81" s="490"/>
      <c r="ID81" s="491"/>
      <c r="IE81" s="415"/>
      <c r="IF81" s="415">
        <v>41311</v>
      </c>
      <c r="IG81" s="494">
        <v>41311</v>
      </c>
      <c r="IH81" s="491">
        <v>8775</v>
      </c>
      <c r="II81" s="347">
        <v>41351</v>
      </c>
      <c r="IJ81" s="497">
        <f>IF(AND(HY81&gt;0,II81&gt;0),II81-HY81,"0")</f>
        <v>46</v>
      </c>
      <c r="IK81" s="347">
        <f>DATE(YEAR(II81),MONTH(II81),DAY(II81)+30)</f>
        <v>41381</v>
      </c>
      <c r="IL81" s="347">
        <v>41411</v>
      </c>
      <c r="IM81" s="497">
        <f>IF(AND(IK81&gt;0,IL81&gt;0),IL81-IK81,"0")</f>
        <v>30</v>
      </c>
      <c r="IN81" s="347">
        <v>41547</v>
      </c>
      <c r="IO81" s="481">
        <f>IF(AND(IL81&gt;0,IN81&gt;0),IN81-IL81,"0")</f>
        <v>136</v>
      </c>
      <c r="IP81" s="497">
        <f>+IO81-30</f>
        <v>106</v>
      </c>
      <c r="IQ81" s="506">
        <f>IF(AND(II81&gt;0,IN81&gt;0),IN81-II81,"0")</f>
        <v>196</v>
      </c>
      <c r="IR81" s="490"/>
      <c r="IS81" s="491"/>
      <c r="IT81" s="347">
        <v>41513</v>
      </c>
      <c r="IU81" s="498">
        <f>IF(AND(IN81&gt;0,IT81&gt;0),IT81-IN81,"0")</f>
        <v>-34</v>
      </c>
      <c r="IV81" s="347">
        <f>DATE(YEAR(IT81),MONTH(IT81),DAY(IT81)+30)</f>
        <v>41543</v>
      </c>
      <c r="IW81" s="347">
        <v>41554</v>
      </c>
      <c r="IX81" s="498">
        <f>IF(AND(IV81&gt;0,IW81&gt;0),IW81-IV81,"0")</f>
        <v>11</v>
      </c>
      <c r="IY81" s="347">
        <v>41558</v>
      </c>
      <c r="IZ81" s="482">
        <f>IF(AND(IW81&gt;0,IY81&gt;0),IY81-IW81,"0")</f>
        <v>4</v>
      </c>
      <c r="JA81" s="498">
        <f>IZ81-30</f>
        <v>-26</v>
      </c>
      <c r="JB81" s="508">
        <f>IF(AND(IT81&gt;0,IY81&gt;0),IY81-IT81,"0")</f>
        <v>45</v>
      </c>
      <c r="JC81" s="490">
        <v>41547</v>
      </c>
      <c r="JD81" s="491">
        <v>14625</v>
      </c>
      <c r="JE81" s="347">
        <v>41558</v>
      </c>
      <c r="JF81" s="487">
        <f>IF(AND(IY81&gt;0,JE81&gt;0),JE81-IY81,"0")</f>
        <v>0</v>
      </c>
      <c r="JG81" s="347">
        <f>DATE(YEAR(JE81),MONTH(JE81),DAY(JE81)+15)</f>
        <v>41573</v>
      </c>
      <c r="JH81" s="347">
        <v>41625</v>
      </c>
      <c r="JI81" s="487">
        <f>IF(AND(JG81&gt;0,JH81&gt;0),JH81-JG81,"0")</f>
        <v>52</v>
      </c>
      <c r="JJ81" s="347">
        <f>DATE(YEAR(JH81),MONTH(JH81),DAY(JH81)+15)</f>
        <v>41640</v>
      </c>
      <c r="JK81" s="347">
        <v>42354</v>
      </c>
      <c r="JL81" s="487">
        <f>IF(AND(JJ81&gt;0,JK81&gt;0),JK81-JJ81,"0")</f>
        <v>714</v>
      </c>
      <c r="JM81" s="509">
        <f>IF(AND(JE81&gt;0,JK81&gt;0),JK81-JE81,"0")</f>
        <v>796</v>
      </c>
      <c r="JN81" s="347">
        <v>42879</v>
      </c>
      <c r="JO81" s="501">
        <f>IF(AND(JK81&gt;0,JN81&gt;0),JN81-JK81,"0")</f>
        <v>525</v>
      </c>
      <c r="JP81" s="498">
        <f>JO81-60</f>
        <v>465</v>
      </c>
      <c r="JQ81" s="482">
        <f>291/30</f>
        <v>9.6999999999999993</v>
      </c>
      <c r="JR81" s="504">
        <f>((+HS81+HU81+IB81+IJ81+IQ81+IU81+JB81+JI81+JF81)/30)-JQ81</f>
        <v>9.5666666666666664</v>
      </c>
      <c r="JS81" s="490"/>
      <c r="JT81" s="491"/>
      <c r="JU81" s="490"/>
      <c r="JV81" s="491"/>
      <c r="JW81" s="488"/>
      <c r="JX81" s="488"/>
      <c r="JY81" s="488"/>
      <c r="JZ81" s="488"/>
    </row>
    <row r="82" spans="1:286" ht="63" customHeight="1" x14ac:dyDescent="0.25">
      <c r="A82" s="146" t="s">
        <v>823</v>
      </c>
      <c r="B82" s="110" t="s">
        <v>824</v>
      </c>
      <c r="C82" s="110" t="s">
        <v>158</v>
      </c>
      <c r="D82" s="110">
        <v>2017</v>
      </c>
      <c r="E82" s="110"/>
      <c r="F82" s="110"/>
      <c r="G82" s="110"/>
      <c r="H82" s="110"/>
      <c r="I82" s="110"/>
      <c r="J82" s="110" t="s">
        <v>825</v>
      </c>
      <c r="K82" s="453"/>
      <c r="L82" s="309"/>
      <c r="M82" s="310"/>
      <c r="N82" s="311"/>
      <c r="O82" s="379"/>
      <c r="P82" s="379"/>
      <c r="Q82" s="379"/>
      <c r="R82" s="379"/>
      <c r="S82" s="379"/>
      <c r="T82" s="387"/>
      <c r="U82" s="387"/>
      <c r="V82" s="387"/>
      <c r="W82" s="379"/>
      <c r="X82" s="380"/>
      <c r="Y82" s="381"/>
      <c r="Z82" s="380"/>
      <c r="AA82" s="380"/>
      <c r="AB82" s="381"/>
      <c r="AC82" s="110" t="s">
        <v>25</v>
      </c>
      <c r="AD82" s="342">
        <f>(AE82+AF82)</f>
        <v>55</v>
      </c>
      <c r="AE82" s="110">
        <v>55</v>
      </c>
      <c r="AF82" s="121"/>
      <c r="AG82" s="114">
        <v>4958.2299999999996</v>
      </c>
      <c r="AH82" s="152"/>
      <c r="AI82" s="114">
        <f>AH82/AD82</f>
        <v>0</v>
      </c>
      <c r="AJ82" s="135"/>
      <c r="AK82" s="135"/>
      <c r="AL82" s="135"/>
      <c r="AM82" s="135"/>
      <c r="AN82" s="135"/>
      <c r="AO82" s="114"/>
      <c r="AP82" s="133"/>
      <c r="AQ82" s="135"/>
      <c r="AR82" s="114"/>
      <c r="AS82" s="110"/>
      <c r="AT82" s="110"/>
      <c r="AU82" s="110"/>
      <c r="AV82" s="110"/>
      <c r="AW82" s="110"/>
      <c r="AX82" s="110"/>
      <c r="AY82" s="110"/>
      <c r="AZ82" s="110"/>
      <c r="BA82" s="110"/>
      <c r="BB82" s="110"/>
      <c r="BC82" s="110"/>
      <c r="BD82" s="110"/>
      <c r="BE82" s="110"/>
      <c r="BF82" s="110"/>
      <c r="BG82" s="110"/>
      <c r="BH82" s="110"/>
      <c r="BI82" s="110"/>
      <c r="BJ82" s="110"/>
      <c r="BK82" s="110"/>
      <c r="BL82" s="110"/>
      <c r="BM82" s="110"/>
      <c r="BN82" s="196"/>
      <c r="BO82" s="196"/>
      <c r="BP82" s="196"/>
      <c r="BQ82" s="196"/>
      <c r="BR82" s="196"/>
      <c r="BS82" s="196"/>
      <c r="BT82" s="158"/>
      <c r="BU82" s="376"/>
      <c r="BV82" s="160"/>
      <c r="BW82" s="160"/>
      <c r="BX82" s="160"/>
      <c r="BY82" s="160"/>
      <c r="BZ82" s="376"/>
      <c r="CA82" s="160"/>
      <c r="CB82" s="302"/>
      <c r="CC82" s="374"/>
      <c r="CD82" s="302"/>
      <c r="CE82" s="302"/>
      <c r="CF82" s="161"/>
      <c r="CG82" s="336">
        <f>DATE(YEAR(CF82),MONTH(CF82)+24,DAY(CF82))</f>
        <v>731</v>
      </c>
      <c r="CH82" s="336">
        <f>DATE(YEAR(CF82),MONTH(CF82)+36,DAY(CF82))</f>
        <v>1096</v>
      </c>
      <c r="CI82" s="336"/>
      <c r="CJ82" s="302"/>
      <c r="CK82" s="308"/>
      <c r="CL82" s="161"/>
      <c r="CM82" s="371"/>
      <c r="CN82" s="161"/>
      <c r="CO82" s="161"/>
      <c r="CP82" s="162"/>
      <c r="CQ82" s="367"/>
      <c r="CR82" s="162"/>
      <c r="CS82" s="162"/>
      <c r="CT82" s="162"/>
      <c r="CU82" s="367"/>
      <c r="CV82" s="162"/>
      <c r="CW82" s="162"/>
      <c r="CX82" s="162"/>
      <c r="CY82" s="367"/>
      <c r="CZ82" s="162"/>
      <c r="DA82" s="162"/>
      <c r="DB82" s="299"/>
      <c r="DC82" s="299"/>
      <c r="DD82" s="299"/>
      <c r="DE82" s="312"/>
      <c r="DF82" s="312"/>
      <c r="DG82" s="312"/>
      <c r="DH82" s="312"/>
      <c r="DI82" s="312"/>
      <c r="DJ82" s="312"/>
      <c r="DK82" s="293"/>
      <c r="DL82" s="293"/>
      <c r="DM82" s="293"/>
      <c r="DN82" s="293"/>
      <c r="DO82" s="293"/>
      <c r="DP82" s="293"/>
      <c r="DQ82" s="443"/>
      <c r="DR82" s="443"/>
      <c r="DS82" s="443"/>
      <c r="DT82" s="298"/>
      <c r="DU82" s="443"/>
      <c r="DV82" s="443"/>
      <c r="DW82" s="443"/>
      <c r="DX82" s="423"/>
      <c r="DY82" s="423"/>
      <c r="DZ82" s="423"/>
      <c r="EA82" s="434"/>
      <c r="EB82" s="423"/>
      <c r="EC82" s="430"/>
      <c r="ED82" s="430"/>
      <c r="EE82" s="422"/>
      <c r="EF82" s="422"/>
      <c r="EG82" s="423"/>
      <c r="EH82" s="423"/>
      <c r="EI82" s="431"/>
      <c r="EJ82" s="431"/>
      <c r="EK82" s="423"/>
      <c r="EL82" s="423"/>
      <c r="EM82" s="423"/>
      <c r="EN82" s="210"/>
      <c r="EO82" s="210"/>
      <c r="EP82" s="423"/>
      <c r="EQ82" s="423"/>
      <c r="ER82" s="423"/>
      <c r="ES82" s="423"/>
      <c r="ET82" s="423"/>
      <c r="EU82" s="334"/>
      <c r="EV82" s="206"/>
      <c r="EW82" s="206"/>
      <c r="EX82" s="209"/>
      <c r="EY82" s="434"/>
      <c r="EZ82" s="212"/>
      <c r="FA82" s="212"/>
      <c r="FB82" s="212"/>
      <c r="FC82" s="212"/>
      <c r="FD82" s="110"/>
      <c r="FE82" s="110"/>
      <c r="FF82" s="110"/>
      <c r="FG82" s="110"/>
      <c r="FH82" s="110"/>
      <c r="FI82" s="110"/>
      <c r="FJ82" s="110"/>
      <c r="FK82" s="110"/>
      <c r="FL82" s="110"/>
      <c r="FM82" s="110"/>
      <c r="FN82" s="110"/>
      <c r="FO82" s="110"/>
      <c r="FP82" s="199"/>
      <c r="FQ82" s="153">
        <f>+GA82+GE82+GL82+HF82+GQ82</f>
        <v>10205262</v>
      </c>
      <c r="FR82" s="124">
        <f>GB82+GF82+GK82+GM82+GQ82</f>
        <v>6365299</v>
      </c>
      <c r="FS82" s="154">
        <f>FR82-FQ82</f>
        <v>-3839963</v>
      </c>
      <c r="FT82" s="98">
        <f>FQ82/AG82</f>
        <v>2058.2469953995683</v>
      </c>
      <c r="FU82" s="98">
        <f>FQ82/AD82</f>
        <v>185550.21818181817</v>
      </c>
      <c r="FV82" s="153"/>
      <c r="FW82" s="124"/>
      <c r="FX82" s="154">
        <f>FW82-FV82</f>
        <v>0</v>
      </c>
      <c r="FY82" s="232">
        <f>FW82*1.021/FR82</f>
        <v>0</v>
      </c>
      <c r="FZ82" s="234">
        <v>0.4</v>
      </c>
      <c r="GA82" s="153">
        <v>3329700</v>
      </c>
      <c r="GB82" s="124"/>
      <c r="GC82" s="98">
        <f>GA82/AD82</f>
        <v>60540</v>
      </c>
      <c r="GD82" s="155">
        <f>GB82-GA82</f>
        <v>-3329700</v>
      </c>
      <c r="GE82" s="153">
        <v>6365299</v>
      </c>
      <c r="GF82" s="124">
        <f>GE82</f>
        <v>6365299</v>
      </c>
      <c r="GG82" s="147"/>
      <c r="GH82" s="147"/>
      <c r="GI82" s="155">
        <f>GF82-GE82</f>
        <v>0</v>
      </c>
      <c r="GJ82" s="98">
        <f>GE82/AD82</f>
        <v>115732.70909090909</v>
      </c>
      <c r="GK82" s="124"/>
      <c r="GL82" s="153">
        <v>510263</v>
      </c>
      <c r="GM82" s="124"/>
      <c r="GN82" s="124"/>
      <c r="GO82" s="76">
        <f>GL82/FQ82</f>
        <v>4.9999990201133493E-2</v>
      </c>
      <c r="GP82" s="153"/>
      <c r="GQ82" s="124"/>
      <c r="GR82" s="149">
        <f>GM82-GL82</f>
        <v>-510263</v>
      </c>
      <c r="GS82" s="50">
        <f>GL82/AD82</f>
        <v>9277.5090909090904</v>
      </c>
      <c r="GT82" s="138">
        <f>(GA82+GL82)/AD82</f>
        <v>69817.509090909094</v>
      </c>
      <c r="GU82" s="149">
        <f>GR82/AD82</f>
        <v>-9277.5090909090904</v>
      </c>
      <c r="GV82" s="150"/>
      <c r="GW82" s="150"/>
      <c r="GX82" s="151"/>
      <c r="GY82" s="151"/>
      <c r="GZ82" s="98">
        <f>(GA82+GL82+GY82)/AD82</f>
        <v>69817.509090909094</v>
      </c>
      <c r="HA82" s="151"/>
      <c r="HB82" s="98">
        <f>(GB82+GM82+GY82+HA82)/AD82</f>
        <v>0</v>
      </c>
      <c r="HC82" s="99">
        <f>(GA82+GL82+GY82+HA82)/(GX82+FQ82-HD82)</f>
        <v>0.37627284826200447</v>
      </c>
      <c r="HD82" s="151"/>
      <c r="HE82" s="151"/>
      <c r="HF82" s="124"/>
      <c r="HG82" s="77">
        <f>FQ82+GX82</f>
        <v>10205262</v>
      </c>
      <c r="HH82" s="491"/>
      <c r="HI82" s="491"/>
      <c r="HJ82" s="494"/>
      <c r="HK82" s="505"/>
      <c r="HL82" s="450"/>
      <c r="HM82" s="450"/>
      <c r="HN82" s="450"/>
      <c r="HO82" s="497"/>
      <c r="HP82" s="450"/>
      <c r="HQ82" s="481"/>
      <c r="HR82" s="497"/>
      <c r="HS82" s="506"/>
      <c r="HT82" s="450"/>
      <c r="HU82" s="497"/>
      <c r="HV82" s="450"/>
      <c r="HW82" s="450"/>
      <c r="HX82" s="497"/>
      <c r="HY82" s="206"/>
      <c r="HZ82" s="481"/>
      <c r="IA82" s="497"/>
      <c r="IB82" s="506"/>
      <c r="IC82" s="490"/>
      <c r="ID82" s="505"/>
      <c r="IE82" s="450"/>
      <c r="IF82" s="450"/>
      <c r="IG82" s="494"/>
      <c r="IH82" s="505"/>
      <c r="II82" s="206"/>
      <c r="IJ82" s="497"/>
      <c r="IK82" s="206"/>
      <c r="IL82" s="206"/>
      <c r="IM82" s="497"/>
      <c r="IN82" s="206"/>
      <c r="IO82" s="481"/>
      <c r="IP82" s="497"/>
      <c r="IQ82" s="506"/>
      <c r="IR82" s="490"/>
      <c r="IS82" s="491"/>
      <c r="IT82" s="206"/>
      <c r="IU82" s="498"/>
      <c r="IV82" s="206"/>
      <c r="IW82" s="206"/>
      <c r="IX82" s="498"/>
      <c r="IY82" s="206"/>
      <c r="IZ82" s="482"/>
      <c r="JA82" s="498"/>
      <c r="JB82" s="508"/>
      <c r="JC82" s="490"/>
      <c r="JD82" s="505"/>
      <c r="JE82" s="502"/>
      <c r="JF82" s="487"/>
      <c r="JG82" s="502"/>
      <c r="JH82" s="502"/>
      <c r="JI82" s="487"/>
      <c r="JJ82" s="502"/>
      <c r="JK82" s="502"/>
      <c r="JL82" s="487"/>
      <c r="JM82" s="509"/>
      <c r="JN82" s="502"/>
      <c r="JO82" s="501"/>
      <c r="JP82" s="498"/>
      <c r="JQ82" s="482"/>
      <c r="JR82" s="504"/>
      <c r="JS82" s="490"/>
      <c r="JT82" s="505"/>
      <c r="JU82" s="490"/>
      <c r="JV82" s="505"/>
      <c r="JW82" s="586"/>
      <c r="JX82" s="586"/>
      <c r="JY82" s="586"/>
      <c r="JZ82" s="586"/>
    </row>
    <row r="83" spans="1:286" ht="63" customHeight="1" x14ac:dyDescent="0.25">
      <c r="A83" s="146" t="s">
        <v>818</v>
      </c>
      <c r="B83" s="110" t="s">
        <v>130</v>
      </c>
      <c r="C83" s="110" t="s">
        <v>159</v>
      </c>
      <c r="D83" s="110">
        <v>2017</v>
      </c>
      <c r="E83" s="110"/>
      <c r="F83" s="110"/>
      <c r="G83" s="110"/>
      <c r="H83" s="110"/>
      <c r="I83" s="110"/>
      <c r="J83" s="110" t="s">
        <v>820</v>
      </c>
      <c r="K83" s="453"/>
      <c r="L83" s="309"/>
      <c r="M83" s="310"/>
      <c r="N83" s="311"/>
      <c r="O83" s="379"/>
      <c r="P83" s="379"/>
      <c r="Q83" s="379"/>
      <c r="R83" s="379"/>
      <c r="S83" s="379"/>
      <c r="T83" s="387"/>
      <c r="U83" s="387"/>
      <c r="V83" s="387"/>
      <c r="W83" s="379"/>
      <c r="X83" s="380"/>
      <c r="Y83" s="381"/>
      <c r="Z83" s="380"/>
      <c r="AA83" s="380"/>
      <c r="AB83" s="381"/>
      <c r="AC83" s="110" t="s">
        <v>819</v>
      </c>
      <c r="AD83" s="342">
        <f>(AE83+AF83)</f>
        <v>200</v>
      </c>
      <c r="AE83" s="121"/>
      <c r="AF83" s="110">
        <v>200</v>
      </c>
      <c r="AG83" s="114">
        <v>4327.3599999999997</v>
      </c>
      <c r="AH83" s="152"/>
      <c r="AI83" s="114"/>
      <c r="AJ83" s="135"/>
      <c r="AK83" s="135"/>
      <c r="AL83" s="135"/>
      <c r="AM83" s="135"/>
      <c r="AN83" s="135"/>
      <c r="AO83" s="114"/>
      <c r="AP83" s="133"/>
      <c r="AQ83" s="135"/>
      <c r="AR83" s="114"/>
      <c r="AS83" s="110"/>
      <c r="AT83" s="110"/>
      <c r="AU83" s="110"/>
      <c r="AV83" s="110"/>
      <c r="AW83" s="110"/>
      <c r="AX83" s="110"/>
      <c r="AY83" s="110"/>
      <c r="AZ83" s="110"/>
      <c r="BA83" s="110"/>
      <c r="BB83" s="110"/>
      <c r="BC83" s="110"/>
      <c r="BD83" s="110"/>
      <c r="BE83" s="110"/>
      <c r="BF83" s="110"/>
      <c r="BG83" s="110"/>
      <c r="BH83" s="110"/>
      <c r="BI83" s="110"/>
      <c r="BJ83" s="110"/>
      <c r="BK83" s="110"/>
      <c r="BL83" s="110"/>
      <c r="BM83" s="110"/>
      <c r="BN83" s="196"/>
      <c r="BO83" s="196"/>
      <c r="BP83" s="196"/>
      <c r="BQ83" s="196"/>
      <c r="BR83" s="196"/>
      <c r="BS83" s="196"/>
      <c r="BT83" s="158"/>
      <c r="BU83" s="376"/>
      <c r="BV83" s="160"/>
      <c r="BW83" s="160"/>
      <c r="BX83" s="160"/>
      <c r="BY83" s="160"/>
      <c r="BZ83" s="376"/>
      <c r="CA83" s="160"/>
      <c r="CB83" s="302"/>
      <c r="CC83" s="374"/>
      <c r="CD83" s="302"/>
      <c r="CE83" s="302"/>
      <c r="CF83" s="161"/>
      <c r="CG83" s="336">
        <f>DATE(YEAR(CF83),MONTH(CF83)+24,DAY(CF83))</f>
        <v>731</v>
      </c>
      <c r="CH83" s="336">
        <f>DATE(YEAR(CF83),MONTH(CF83)+36,DAY(CF83))</f>
        <v>1096</v>
      </c>
      <c r="CI83" s="336"/>
      <c r="CJ83" s="302"/>
      <c r="CK83" s="308"/>
      <c r="CL83" s="161"/>
      <c r="CM83" s="371"/>
      <c r="CN83" s="161"/>
      <c r="CO83" s="161"/>
      <c r="CP83" s="162"/>
      <c r="CQ83" s="367"/>
      <c r="CR83" s="162"/>
      <c r="CS83" s="162"/>
      <c r="CT83" s="162"/>
      <c r="CU83" s="367"/>
      <c r="CV83" s="162"/>
      <c r="CW83" s="162"/>
      <c r="CX83" s="162"/>
      <c r="CY83" s="367"/>
      <c r="CZ83" s="162"/>
      <c r="DA83" s="162"/>
      <c r="DB83" s="299"/>
      <c r="DC83" s="299"/>
      <c r="DD83" s="299"/>
      <c r="DE83" s="312"/>
      <c r="DF83" s="312"/>
      <c r="DG83" s="312"/>
      <c r="DH83" s="312"/>
      <c r="DI83" s="312"/>
      <c r="DJ83" s="312"/>
      <c r="DK83" s="293"/>
      <c r="DL83" s="293"/>
      <c r="DM83" s="293"/>
      <c r="DN83" s="293"/>
      <c r="DO83" s="293"/>
      <c r="DP83" s="293"/>
      <c r="DQ83" s="443"/>
      <c r="DR83" s="443"/>
      <c r="DS83" s="443"/>
      <c r="DT83" s="298"/>
      <c r="DU83" s="443"/>
      <c r="DV83" s="443"/>
      <c r="DW83" s="443"/>
      <c r="DX83" s="423"/>
      <c r="DY83" s="423"/>
      <c r="DZ83" s="423"/>
      <c r="EA83" s="434"/>
      <c r="EB83" s="423"/>
      <c r="EC83" s="430"/>
      <c r="ED83" s="430"/>
      <c r="EE83" s="422"/>
      <c r="EF83" s="422"/>
      <c r="EG83" s="423"/>
      <c r="EH83" s="423"/>
      <c r="EI83" s="431"/>
      <c r="EJ83" s="431"/>
      <c r="EK83" s="423"/>
      <c r="EL83" s="423"/>
      <c r="EM83" s="423"/>
      <c r="EN83" s="210"/>
      <c r="EO83" s="210"/>
      <c r="EP83" s="423"/>
      <c r="EQ83" s="423"/>
      <c r="ER83" s="423"/>
      <c r="ES83" s="423"/>
      <c r="ET83" s="423"/>
      <c r="EU83" s="334"/>
      <c r="EV83" s="206"/>
      <c r="EW83" s="206"/>
      <c r="EX83" s="209"/>
      <c r="EY83" s="434"/>
      <c r="EZ83" s="212"/>
      <c r="FA83" s="212"/>
      <c r="FB83" s="212"/>
      <c r="FC83" s="212"/>
      <c r="FD83" s="110"/>
      <c r="FE83" s="110"/>
      <c r="FF83" s="110"/>
      <c r="FG83" s="110"/>
      <c r="FH83" s="110"/>
      <c r="FI83" s="110"/>
      <c r="FJ83" s="110"/>
      <c r="FK83" s="110"/>
      <c r="FL83" s="110"/>
      <c r="FM83" s="110"/>
      <c r="FN83" s="110"/>
      <c r="FO83" s="110"/>
      <c r="FP83" s="199"/>
      <c r="FQ83" s="523">
        <f>+GA83+GE83+GL83+HF83+GQ83</f>
        <v>12921593</v>
      </c>
      <c r="FR83" s="124"/>
      <c r="FS83" s="154">
        <f>FR83-FQ83</f>
        <v>-12921593</v>
      </c>
      <c r="FT83" s="98">
        <f>FQ83/AG83</f>
        <v>2986.0221936700436</v>
      </c>
      <c r="FU83" s="98">
        <f>FQ83/AD83</f>
        <v>64607.964999999997</v>
      </c>
      <c r="FV83" s="153"/>
      <c r="FW83" s="124"/>
      <c r="FX83" s="154">
        <f>FW83-FV83</f>
        <v>0</v>
      </c>
      <c r="FY83" s="232" t="e">
        <f>FW83*1.021/FR83</f>
        <v>#DIV/0!</v>
      </c>
      <c r="FZ83" s="232"/>
      <c r="GA83" s="153">
        <v>0</v>
      </c>
      <c r="GB83" s="124"/>
      <c r="GC83" s="98">
        <f>GA83/AD83</f>
        <v>0</v>
      </c>
      <c r="GD83" s="155">
        <f>GB83-GA83</f>
        <v>0</v>
      </c>
      <c r="GE83" s="523">
        <v>10921593</v>
      </c>
      <c r="GF83" s="124"/>
      <c r="GG83" s="147"/>
      <c r="GH83" s="147"/>
      <c r="GI83" s="155">
        <f>GF83-GE83</f>
        <v>-10921593</v>
      </c>
      <c r="GJ83" s="98">
        <f>GE83/AD83</f>
        <v>54607.964999999997</v>
      </c>
      <c r="GK83" s="124"/>
      <c r="GL83" s="153">
        <v>2000000</v>
      </c>
      <c r="GM83" s="124"/>
      <c r="GN83" s="124"/>
      <c r="GO83" s="76">
        <f>GL83/FQ83</f>
        <v>0.1547796777069205</v>
      </c>
      <c r="GP83" s="153"/>
      <c r="GQ83" s="124"/>
      <c r="GR83" s="149">
        <f>GM83-GL83</f>
        <v>-2000000</v>
      </c>
      <c r="GS83" s="50">
        <f>GL83/AD83</f>
        <v>10000</v>
      </c>
      <c r="GT83" s="138">
        <f>(GA83+GL83)/AD83</f>
        <v>10000</v>
      </c>
      <c r="GU83" s="149">
        <f>GR83/AD83</f>
        <v>-10000</v>
      </c>
      <c r="GV83" s="150"/>
      <c r="GW83" s="150"/>
      <c r="GX83" s="151"/>
      <c r="GY83" s="151"/>
      <c r="GZ83" s="98">
        <f>(GA83+GL83+GY83)/AD83</f>
        <v>10000</v>
      </c>
      <c r="HA83" s="151"/>
      <c r="HB83" s="98">
        <f>(GB83+GM83+GY83+HA83)/AD83</f>
        <v>0</v>
      </c>
      <c r="HC83" s="99">
        <f>(GA83+GL83+GY83+HA83)/(GX83+FQ83-HD83)</f>
        <v>0.1547796777069205</v>
      </c>
      <c r="HD83" s="151"/>
      <c r="HE83" s="151"/>
      <c r="HF83" s="124"/>
      <c r="HG83" s="77">
        <f>FQ83+GX83</f>
        <v>12921593</v>
      </c>
      <c r="HH83" s="491"/>
      <c r="HI83" s="491"/>
      <c r="HJ83" s="494"/>
      <c r="HK83" s="505">
        <f>$HK$1*HH83</f>
        <v>0</v>
      </c>
      <c r="HL83" s="450">
        <f ca="1">TODAY()</f>
        <v>42789</v>
      </c>
      <c r="HM83" s="450">
        <f ca="1">DATE(YEAR(HL83),MONTH(HL83),DAY(HL83)+21)</f>
        <v>42810</v>
      </c>
      <c r="HN83" s="464">
        <f ca="1">IF(HM83&lt;TODAY(),TODAY(),HM83)</f>
        <v>42810</v>
      </c>
      <c r="HO83" s="497">
        <f ca="1">IF(AND(HM83&gt;0,HN83&gt;0),HN83-HM83,"0")</f>
        <v>0</v>
      </c>
      <c r="HP83" s="464">
        <f ca="1">DATE(YEAR(HL83),MONTH(HL83),DAY(HL83)+21)</f>
        <v>42810</v>
      </c>
      <c r="HQ83" s="481">
        <f ca="1">IF(AND(HN83&gt;0,HP83&gt;0),HP83-HN83,"0")</f>
        <v>0</v>
      </c>
      <c r="HR83" s="497">
        <f ca="1">+HQ83-30</f>
        <v>-30</v>
      </c>
      <c r="HS83" s="506">
        <f ca="1">IF(AND(HL83&gt;0,HP83&gt;0),HP83-HL83,"0")</f>
        <v>21</v>
      </c>
      <c r="HT83" s="450">
        <f ca="1">DATE(YEAR(HP83),MONTH(HP83),DAY(HP83)+30)</f>
        <v>42840</v>
      </c>
      <c r="HU83" s="497">
        <f ca="1">IF(AND(HP83&gt;0,HT83&gt;0),HT83-HP83,"0")</f>
        <v>30</v>
      </c>
      <c r="HV83" s="450">
        <f ca="1">DATE(YEAR(HT83),MONTH(HT83),DAY(HT83)+30)</f>
        <v>42870</v>
      </c>
      <c r="HW83" s="450">
        <f ca="1">IF(HV83&lt;TODAY(),TODAY(),HV83)</f>
        <v>42870</v>
      </c>
      <c r="HX83" s="497">
        <f ca="1">IF(AND(HV83&gt;0,HW83&gt;0),HW83-HV83,"0")</f>
        <v>0</v>
      </c>
      <c r="HY83" s="206">
        <f ca="1">DATE(YEAR(HV83),MONTH(HV83),DAY(HV83)+30)</f>
        <v>42900</v>
      </c>
      <c r="HZ83" s="481">
        <f ca="1">IF(AND(HW83&gt;0,HY83&gt;0),HY83-HW83,"0")</f>
        <v>30</v>
      </c>
      <c r="IA83" s="497">
        <f ca="1">+HZ83-30</f>
        <v>0</v>
      </c>
      <c r="IB83" s="506">
        <f ca="1">IF(AND(HT83&gt;0,HY83&gt;0),HY83-HT83,"0")</f>
        <v>60</v>
      </c>
      <c r="IC83" s="490"/>
      <c r="ID83" s="505">
        <f>$ID$1*HH83</f>
        <v>0</v>
      </c>
      <c r="IE83" s="450">
        <f ca="1">DATE(YEAR(HY83),MONTH(HY83),DAY(HY83)+15)</f>
        <v>42915</v>
      </c>
      <c r="IF83" s="450">
        <f ca="1">DATE(YEAR(IE83),MONTH(IE83),DAY(IE83)+7)</f>
        <v>42922</v>
      </c>
      <c r="IG83" s="494"/>
      <c r="IH83" s="505">
        <f>$IH$1*HH83</f>
        <v>0</v>
      </c>
      <c r="II83" s="206">
        <f ca="1">DATE(YEAR(IF83),MONTH(IF83),DAY(IF83)+21)</f>
        <v>42943</v>
      </c>
      <c r="IJ83" s="497">
        <f ca="1">IF(AND(HY83&gt;0,II83&gt;0),II83-HY83,"0")</f>
        <v>43</v>
      </c>
      <c r="IK83" s="206">
        <f ca="1">DATE(YEAR(II83),MONTH(II83),DAY(II83)+30)</f>
        <v>42973</v>
      </c>
      <c r="IL83" s="206">
        <f ca="1">IF(IK83&lt;TODAY(),TODAY(),IK83)</f>
        <v>42973</v>
      </c>
      <c r="IM83" s="497"/>
      <c r="IN83" s="206"/>
      <c r="IO83" s="481"/>
      <c r="IP83" s="497"/>
      <c r="IQ83" s="506"/>
      <c r="IR83" s="490"/>
      <c r="IS83" s="491"/>
      <c r="IT83" s="206">
        <f>IN83</f>
        <v>0</v>
      </c>
      <c r="IU83" s="498" t="str">
        <f>IF(AND(IN83&gt;0,IT83&gt;0),IT83-IN83,"0")</f>
        <v>0</v>
      </c>
      <c r="IV83" s="206">
        <f>DATE(YEAR(IT83),MONTH(IT83),DAY(IT83)+30)</f>
        <v>30</v>
      </c>
      <c r="IW83" s="206">
        <f ca="1">IF(IV83&lt;TODAY(),TODAY(),IV83)</f>
        <v>42789</v>
      </c>
      <c r="IX83" s="498">
        <f ca="1">IF(AND(IV83&gt;0,IW83&gt;0),IW83-IV83,"0")</f>
        <v>42759</v>
      </c>
      <c r="IY83" s="206">
        <f>DATE(YEAR(IV83),MONTH(IV83),DAY(IV83)+30)</f>
        <v>60</v>
      </c>
      <c r="IZ83" s="482">
        <f ca="1">IF(AND(IW83&gt;0,IY83&gt;0),IY83-IW83,"0")</f>
        <v>-42729</v>
      </c>
      <c r="JA83" s="498">
        <f ca="1">IZ83-30</f>
        <v>-42759</v>
      </c>
      <c r="JB83" s="508" t="str">
        <f>IF(AND(IT83&gt;0,IY83&gt;0),IY83-IT83,"0")</f>
        <v>0</v>
      </c>
      <c r="JC83" s="490"/>
      <c r="JD83" s="505"/>
      <c r="JE83" s="502">
        <f>IY83</f>
        <v>60</v>
      </c>
      <c r="JF83" s="487">
        <f>IF(AND(IY83&gt;0,JE83&gt;0),JE83-IY83,"0")</f>
        <v>0</v>
      </c>
      <c r="JG83" s="502">
        <f>DATE(YEAR(JE83),MONTH(JE83),DAY(JE83)+15)</f>
        <v>75</v>
      </c>
      <c r="JH83" s="502">
        <f ca="1">IF(JG83&lt;TODAY(),TODAY(),JG83)</f>
        <v>42789</v>
      </c>
      <c r="JI83" s="487">
        <f ca="1">IF(AND(JG83&gt;0,JH83&gt;0),JH83-JG83,"0")</f>
        <v>42714</v>
      </c>
      <c r="JJ83" s="502">
        <f ca="1">DATE(YEAR(JH83),MONTH(JH83),DAY(JH83)+45)</f>
        <v>42834</v>
      </c>
      <c r="JK83" s="502">
        <f ca="1">JJ83</f>
        <v>42834</v>
      </c>
      <c r="JL83" s="487">
        <f ca="1">IF(AND(JJ83&gt;0,JK83&gt;0),JK83-JJ83,"0")</f>
        <v>0</v>
      </c>
      <c r="JM83" s="509">
        <f ca="1">IF(AND(JE83&gt;0,JK83&gt;0),JK83-JE83,"0")</f>
        <v>42774</v>
      </c>
      <c r="JN83" s="502">
        <f ca="1">DATE(YEAR(JK83),MONTH(JK83),DAY(JK83)+60)</f>
        <v>42894</v>
      </c>
      <c r="JO83" s="501">
        <f ca="1">IF(AND(JK83&gt;0,JN83&gt;0),JN83-JK83,"0")</f>
        <v>60</v>
      </c>
      <c r="JP83" s="498">
        <f ca="1">JO83-60</f>
        <v>0</v>
      </c>
      <c r="JQ83" s="482">
        <f>291/30</f>
        <v>9.6999999999999993</v>
      </c>
      <c r="JR83" s="504">
        <f ca="1">((+HS83+HU83+IB83+IJ83+IQ83+IU83+JB83+JM83+JF83)/30)-JQ83</f>
        <v>1421.2333333333333</v>
      </c>
      <c r="JS83" s="490"/>
      <c r="JT83" s="505"/>
      <c r="JU83" s="490"/>
      <c r="JV83" s="505"/>
      <c r="JW83" s="586"/>
      <c r="JX83" s="586"/>
      <c r="JY83" s="586"/>
      <c r="JZ83" s="586"/>
    </row>
    <row r="84" spans="1:286" ht="63" customHeight="1" x14ac:dyDescent="0.25">
      <c r="A84" s="146" t="s">
        <v>821</v>
      </c>
      <c r="B84" s="110" t="s">
        <v>46</v>
      </c>
      <c r="C84" s="110" t="s">
        <v>157</v>
      </c>
      <c r="D84" s="110">
        <v>2017</v>
      </c>
      <c r="E84" s="110"/>
      <c r="F84" s="110"/>
      <c r="G84" s="110"/>
      <c r="H84" s="110"/>
      <c r="I84" s="110"/>
      <c r="J84" s="110" t="s">
        <v>822</v>
      </c>
      <c r="K84" s="453"/>
      <c r="L84" s="309"/>
      <c r="M84" s="310"/>
      <c r="N84" s="311"/>
      <c r="O84" s="379"/>
      <c r="P84" s="379"/>
      <c r="Q84" s="379"/>
      <c r="R84" s="379"/>
      <c r="S84" s="379"/>
      <c r="T84" s="387"/>
      <c r="U84" s="387"/>
      <c r="V84" s="387"/>
      <c r="W84" s="379"/>
      <c r="X84" s="380"/>
      <c r="Y84" s="381"/>
      <c r="Z84" s="380"/>
      <c r="AA84" s="380"/>
      <c r="AB84" s="381"/>
      <c r="AC84" s="110" t="s">
        <v>819</v>
      </c>
      <c r="AD84" s="342">
        <f>(AE84+AF84)</f>
        <v>100</v>
      </c>
      <c r="AE84" s="121"/>
      <c r="AF84" s="110">
        <v>100</v>
      </c>
      <c r="AG84" s="114">
        <v>1868.31</v>
      </c>
      <c r="AH84" s="152"/>
      <c r="AI84" s="114"/>
      <c r="AJ84" s="135"/>
      <c r="AK84" s="135"/>
      <c r="AL84" s="135"/>
      <c r="AM84" s="135"/>
      <c r="AN84" s="135"/>
      <c r="AO84" s="114"/>
      <c r="AP84" s="133"/>
      <c r="AQ84" s="135"/>
      <c r="AR84" s="114"/>
      <c r="AS84" s="110"/>
      <c r="AT84" s="110"/>
      <c r="AU84" s="110"/>
      <c r="AV84" s="110"/>
      <c r="AW84" s="110"/>
      <c r="AX84" s="110"/>
      <c r="AY84" s="110"/>
      <c r="AZ84" s="110"/>
      <c r="BA84" s="110"/>
      <c r="BB84" s="110"/>
      <c r="BC84" s="110"/>
      <c r="BD84" s="110"/>
      <c r="BE84" s="110"/>
      <c r="BF84" s="110"/>
      <c r="BG84" s="110"/>
      <c r="BH84" s="110"/>
      <c r="BI84" s="110"/>
      <c r="BJ84" s="110"/>
      <c r="BK84" s="110"/>
      <c r="BL84" s="110"/>
      <c r="BM84" s="110"/>
      <c r="BN84" s="196"/>
      <c r="BO84" s="196"/>
      <c r="BP84" s="196"/>
      <c r="BQ84" s="196"/>
      <c r="BR84" s="196"/>
      <c r="BS84" s="196"/>
      <c r="BT84" s="158"/>
      <c r="BU84" s="376"/>
      <c r="BV84" s="160"/>
      <c r="BW84" s="160"/>
      <c r="BX84" s="160"/>
      <c r="BY84" s="160"/>
      <c r="BZ84" s="376"/>
      <c r="CA84" s="160"/>
      <c r="CB84" s="302"/>
      <c r="CC84" s="374"/>
      <c r="CD84" s="302"/>
      <c r="CE84" s="302"/>
      <c r="CF84" s="161"/>
      <c r="CG84" s="336">
        <f>DATE(YEAR(CF84),MONTH(CF84)+24,DAY(CF84))</f>
        <v>731</v>
      </c>
      <c r="CH84" s="336">
        <f>DATE(YEAR(CF84),MONTH(CF84)+36,DAY(CF84))</f>
        <v>1096</v>
      </c>
      <c r="CI84" s="336"/>
      <c r="CJ84" s="302"/>
      <c r="CK84" s="308"/>
      <c r="CL84" s="161"/>
      <c r="CM84" s="371"/>
      <c r="CN84" s="161"/>
      <c r="CO84" s="161"/>
      <c r="CP84" s="162"/>
      <c r="CQ84" s="367"/>
      <c r="CR84" s="162"/>
      <c r="CS84" s="162"/>
      <c r="CT84" s="162"/>
      <c r="CU84" s="367"/>
      <c r="CV84" s="162"/>
      <c r="CW84" s="162"/>
      <c r="CX84" s="162"/>
      <c r="CY84" s="367"/>
      <c r="CZ84" s="162"/>
      <c r="DA84" s="162"/>
      <c r="DB84" s="299"/>
      <c r="DC84" s="299"/>
      <c r="DD84" s="299"/>
      <c r="DE84" s="312"/>
      <c r="DF84" s="312"/>
      <c r="DG84" s="312"/>
      <c r="DH84" s="312"/>
      <c r="DI84" s="312"/>
      <c r="DJ84" s="312"/>
      <c r="DK84" s="293"/>
      <c r="DL84" s="293"/>
      <c r="DM84" s="293"/>
      <c r="DN84" s="293"/>
      <c r="DO84" s="293"/>
      <c r="DP84" s="293"/>
      <c r="DQ84" s="443"/>
      <c r="DR84" s="443"/>
      <c r="DS84" s="443"/>
      <c r="DT84" s="298"/>
      <c r="DU84" s="443"/>
      <c r="DV84" s="443"/>
      <c r="DW84" s="443"/>
      <c r="DX84" s="423"/>
      <c r="DY84" s="423"/>
      <c r="DZ84" s="423"/>
      <c r="EA84" s="434"/>
      <c r="EB84" s="423"/>
      <c r="EC84" s="430"/>
      <c r="ED84" s="430"/>
      <c r="EE84" s="422"/>
      <c r="EF84" s="422"/>
      <c r="EG84" s="423"/>
      <c r="EH84" s="423"/>
      <c r="EI84" s="431"/>
      <c r="EJ84" s="431"/>
      <c r="EK84" s="423"/>
      <c r="EL84" s="423"/>
      <c r="EM84" s="423"/>
      <c r="EN84" s="210"/>
      <c r="EO84" s="210"/>
      <c r="EP84" s="423"/>
      <c r="EQ84" s="423"/>
      <c r="ER84" s="423"/>
      <c r="ES84" s="423"/>
      <c r="ET84" s="423"/>
      <c r="EU84" s="334"/>
      <c r="EV84" s="206"/>
      <c r="EW84" s="206"/>
      <c r="EX84" s="209"/>
      <c r="EY84" s="434"/>
      <c r="EZ84" s="212"/>
      <c r="FA84" s="212"/>
      <c r="FB84" s="212"/>
      <c r="FC84" s="212"/>
      <c r="FD84" s="110"/>
      <c r="FE84" s="110"/>
      <c r="FF84" s="110"/>
      <c r="FG84" s="110"/>
      <c r="FH84" s="110"/>
      <c r="FI84" s="110"/>
      <c r="FJ84" s="110"/>
      <c r="FK84" s="110"/>
      <c r="FL84" s="110"/>
      <c r="FM84" s="110"/>
      <c r="FN84" s="110"/>
      <c r="FO84" s="110"/>
      <c r="FP84" s="199"/>
      <c r="FQ84" s="153">
        <f>+GA84+GE84+GL84+HF84+GQ84</f>
        <v>7092925</v>
      </c>
      <c r="FR84" s="124"/>
      <c r="FS84" s="154">
        <f>FR84-FQ84</f>
        <v>-7092925</v>
      </c>
      <c r="FT84" s="98">
        <f>FQ84/AG84</f>
        <v>3796.4390277844686</v>
      </c>
      <c r="FU84" s="98">
        <f>FQ84/AD84</f>
        <v>70929.25</v>
      </c>
      <c r="FV84" s="153"/>
      <c r="FW84" s="124"/>
      <c r="FX84" s="154">
        <f>FW84-FV84</f>
        <v>0</v>
      </c>
      <c r="FY84" s="232" t="e">
        <f>FW84*1.021/FR84</f>
        <v>#DIV/0!</v>
      </c>
      <c r="FZ84" s="232"/>
      <c r="GA84" s="153"/>
      <c r="GB84" s="124"/>
      <c r="GC84" s="98">
        <f>GA84/AD84</f>
        <v>0</v>
      </c>
      <c r="GD84" s="155"/>
      <c r="GE84" s="153">
        <v>6092925</v>
      </c>
      <c r="GF84" s="124"/>
      <c r="GG84" s="147"/>
      <c r="GH84" s="147"/>
      <c r="GI84" s="155">
        <f>GF84-GE84</f>
        <v>-6092925</v>
      </c>
      <c r="GJ84" s="98">
        <f>GE84/AD84</f>
        <v>60929.25</v>
      </c>
      <c r="GK84" s="124"/>
      <c r="GL84" s="153">
        <v>1000000</v>
      </c>
      <c r="GM84" s="124"/>
      <c r="GN84" s="124"/>
      <c r="GO84" s="76">
        <f>GL84/FQ84</f>
        <v>0.14098555955406267</v>
      </c>
      <c r="GP84" s="590"/>
      <c r="GQ84" s="124"/>
      <c r="GR84" s="149">
        <f>GM84-GL84</f>
        <v>-1000000</v>
      </c>
      <c r="GS84" s="50">
        <f>GL84/AD84</f>
        <v>10000</v>
      </c>
      <c r="GT84" s="138">
        <f>(GA84+GL84)/AD84</f>
        <v>10000</v>
      </c>
      <c r="GU84" s="149">
        <f>GR84/AD84</f>
        <v>-10000</v>
      </c>
      <c r="GV84" s="150"/>
      <c r="GW84" s="150"/>
      <c r="GX84" s="151"/>
      <c r="GY84" s="151"/>
      <c r="GZ84" s="98">
        <f>(GA84+GL84+GY84)/AD84</f>
        <v>10000</v>
      </c>
      <c r="HA84" s="151"/>
      <c r="HB84" s="98">
        <f>(GB84+GM84+GY84+HA84)/AD84</f>
        <v>0</v>
      </c>
      <c r="HC84" s="99">
        <f>(GA84+GL84+GY84+HA84)/(GX84+FQ84-HD84)</f>
        <v>0.14098555955406267</v>
      </c>
      <c r="HD84" s="151"/>
      <c r="HE84" s="151"/>
      <c r="HF84" s="124"/>
      <c r="HG84" s="77">
        <f>FQ84+GX84</f>
        <v>7092925</v>
      </c>
      <c r="HH84" s="491"/>
      <c r="HI84" s="491"/>
      <c r="HJ84" s="494"/>
      <c r="HK84" s="505">
        <f>$HK$1*HH84</f>
        <v>0</v>
      </c>
      <c r="HL84" s="450">
        <f ca="1">TODAY()</f>
        <v>42789</v>
      </c>
      <c r="HM84" s="450">
        <f ca="1">DATE(YEAR(HL84),MONTH(HL84),DAY(HL84)+21)</f>
        <v>42810</v>
      </c>
      <c r="HN84" s="464">
        <f ca="1">IF(HM84&lt;TODAY(),TODAY(),HM84)</f>
        <v>42810</v>
      </c>
      <c r="HO84" s="497">
        <f ca="1">IF(AND(HM84&gt;0,HN84&gt;0),HN84-HM84,"0")</f>
        <v>0</v>
      </c>
      <c r="HP84" s="464">
        <f ca="1">DATE(YEAR(HL84),MONTH(HL84),DAY(HL84)+21)</f>
        <v>42810</v>
      </c>
      <c r="HQ84" s="481">
        <f ca="1">IF(AND(HN84&gt;0,HP84&gt;0),HP84-HN84,"0")</f>
        <v>0</v>
      </c>
      <c r="HR84" s="497">
        <f ca="1">+HQ84-30</f>
        <v>-30</v>
      </c>
      <c r="HS84" s="506">
        <f ca="1">IF(AND(HL84&gt;0,HP84&gt;0),HP84-HL84,"0")</f>
        <v>21</v>
      </c>
      <c r="HT84" s="450">
        <f ca="1">DATE(YEAR(HP84),MONTH(HP84),DAY(HP84)+30)</f>
        <v>42840</v>
      </c>
      <c r="HU84" s="497">
        <f ca="1">IF(AND(HP84&gt;0,HT84&gt;0),HT84-HP84,"0")</f>
        <v>30</v>
      </c>
      <c r="HV84" s="450">
        <f ca="1">DATE(YEAR(HT84),MONTH(HT84),DAY(HT84)+30)</f>
        <v>42870</v>
      </c>
      <c r="HW84" s="450">
        <f ca="1">IF(HV84&lt;TODAY(),TODAY(),HV84)</f>
        <v>42870</v>
      </c>
      <c r="HX84" s="497">
        <f ca="1">IF(AND(HV84&gt;0,HW84&gt;0),HW84-HV84,"0")</f>
        <v>0</v>
      </c>
      <c r="HY84" s="206">
        <f ca="1">DATE(YEAR(HV84),MONTH(HV84),DAY(HV84)+30)</f>
        <v>42900</v>
      </c>
      <c r="HZ84" s="481">
        <f ca="1">IF(AND(HW84&gt;0,HY84&gt;0),HY84-HW84,"0")</f>
        <v>30</v>
      </c>
      <c r="IA84" s="497">
        <f ca="1">+HZ84-30</f>
        <v>0</v>
      </c>
      <c r="IB84" s="506">
        <f ca="1">IF(AND(HT84&gt;0,HY84&gt;0),HY84-HT84,"0")</f>
        <v>60</v>
      </c>
      <c r="IC84" s="490"/>
      <c r="ID84" s="505">
        <f>$ID$1*HH84</f>
        <v>0</v>
      </c>
      <c r="IE84" s="450">
        <f ca="1">DATE(YEAR(HY84),MONTH(HY84),DAY(HY84)+15)</f>
        <v>42915</v>
      </c>
      <c r="IF84" s="450">
        <f ca="1">DATE(YEAR(IE84),MONTH(IE84),DAY(IE84)+7)</f>
        <v>42922</v>
      </c>
      <c r="IG84" s="494"/>
      <c r="IH84" s="505">
        <f>$IH$1*HH84</f>
        <v>0</v>
      </c>
      <c r="II84" s="206">
        <f ca="1">DATE(YEAR(IF84),MONTH(IF84),DAY(IF84)+21)</f>
        <v>42943</v>
      </c>
      <c r="IJ84" s="497">
        <f ca="1">IF(AND(HY84&gt;0,II84&gt;0),II84-HY84,"0")</f>
        <v>43</v>
      </c>
      <c r="IK84" s="206">
        <f ca="1">DATE(YEAR(II84),MONTH(II84),DAY(II84)+30)</f>
        <v>42973</v>
      </c>
      <c r="IL84" s="206">
        <f ca="1">IF(IK84&lt;TODAY(),TODAY(),IK84)</f>
        <v>42973</v>
      </c>
      <c r="IM84" s="497"/>
      <c r="IN84" s="206"/>
      <c r="IO84" s="481"/>
      <c r="IP84" s="497"/>
      <c r="IQ84" s="506"/>
      <c r="IR84" s="490"/>
      <c r="IS84" s="491"/>
      <c r="IT84" s="206">
        <f>IN84</f>
        <v>0</v>
      </c>
      <c r="IU84" s="498" t="str">
        <f>IF(AND(IN84&gt;0,IT84&gt;0),IT84-IN84,"0")</f>
        <v>0</v>
      </c>
      <c r="IV84" s="206">
        <f>DATE(YEAR(IT84),MONTH(IT84),DAY(IT84)+30)</f>
        <v>30</v>
      </c>
      <c r="IW84" s="206">
        <f ca="1">IF(IV84&lt;TODAY(),TODAY(),IV84)</f>
        <v>42789</v>
      </c>
      <c r="IX84" s="498">
        <f ca="1">IF(AND(IV84&gt;0,IW84&gt;0),IW84-IV84,"0")</f>
        <v>42759</v>
      </c>
      <c r="IY84" s="206">
        <f>DATE(YEAR(IV84),MONTH(IV84),DAY(IV84)+30)</f>
        <v>60</v>
      </c>
      <c r="IZ84" s="482">
        <f ca="1">IF(AND(IW84&gt;0,IY84&gt;0),IY84-IW84,"0")</f>
        <v>-42729</v>
      </c>
      <c r="JA84" s="498">
        <f ca="1">IZ84-30</f>
        <v>-42759</v>
      </c>
      <c r="JB84" s="508" t="str">
        <f>IF(AND(IT84&gt;0,IY84&gt;0),IY84-IT84,"0")</f>
        <v>0</v>
      </c>
      <c r="JC84" s="490"/>
      <c r="JD84" s="505"/>
      <c r="JE84" s="502">
        <f>IY84</f>
        <v>60</v>
      </c>
      <c r="JF84" s="487">
        <f>IF(AND(IY84&gt;0,JE84&gt;0),JE84-IY84,"0")</f>
        <v>0</v>
      </c>
      <c r="JG84" s="502">
        <f>DATE(YEAR(JE84),MONTH(JE84),DAY(JE84)+15)</f>
        <v>75</v>
      </c>
      <c r="JH84" s="502">
        <f ca="1">IF(JG84&lt;TODAY(),TODAY(),JG84)</f>
        <v>42789</v>
      </c>
      <c r="JI84" s="487">
        <f ca="1">IF(AND(JG84&gt;0,JH84&gt;0),JH84-JG84,"0")</f>
        <v>42714</v>
      </c>
      <c r="JJ84" s="502">
        <f ca="1">DATE(YEAR(JH84),MONTH(JH84),DAY(JH84)+45)</f>
        <v>42834</v>
      </c>
      <c r="JK84" s="502">
        <f ca="1">JJ84</f>
        <v>42834</v>
      </c>
      <c r="JL84" s="487">
        <f ca="1">IF(AND(JJ84&gt;0,JK84&gt;0),JK84-JJ84,"0")</f>
        <v>0</v>
      </c>
      <c r="JM84" s="509">
        <f ca="1">IF(AND(JE84&gt;0,JK84&gt;0),JK84-JE84,"0")</f>
        <v>42774</v>
      </c>
      <c r="JN84" s="502">
        <f ca="1">DATE(YEAR(JK84),MONTH(JK84),DAY(JK84)+60)</f>
        <v>42894</v>
      </c>
      <c r="JO84" s="501">
        <f ca="1">IF(AND(JK84&gt;0,JN84&gt;0),JN84-JK84,"0")</f>
        <v>60</v>
      </c>
      <c r="JP84" s="498">
        <f ca="1">JO84-60</f>
        <v>0</v>
      </c>
      <c r="JQ84" s="482">
        <f>291/30</f>
        <v>9.6999999999999993</v>
      </c>
      <c r="JR84" s="504">
        <f ca="1">((+HS84+HU84+IB84+IJ84+IQ84+IU84+JB84+JM84+JF84)/30)-JQ84</f>
        <v>1421.2333333333333</v>
      </c>
      <c r="JS84" s="490"/>
      <c r="JT84" s="505"/>
      <c r="JU84" s="490"/>
      <c r="JV84" s="505"/>
      <c r="JW84" s="586"/>
      <c r="JX84" s="586"/>
      <c r="JY84" s="586"/>
      <c r="JZ84" s="586"/>
    </row>
    <row r="85" spans="1:286" ht="63" customHeight="1" x14ac:dyDescent="0.25">
      <c r="A85" s="552" t="s">
        <v>836</v>
      </c>
      <c r="B85" s="110" t="s">
        <v>38</v>
      </c>
      <c r="C85" s="110" t="s">
        <v>157</v>
      </c>
      <c r="D85" s="110">
        <v>2017</v>
      </c>
      <c r="E85" s="110"/>
      <c r="F85" s="110" t="s">
        <v>834</v>
      </c>
      <c r="G85" s="110" t="s">
        <v>276</v>
      </c>
      <c r="H85" s="110"/>
      <c r="I85" s="110"/>
      <c r="J85" s="110" t="s">
        <v>837</v>
      </c>
      <c r="K85" s="453" t="s">
        <v>949</v>
      </c>
      <c r="L85" s="309" t="s">
        <v>80</v>
      </c>
      <c r="M85" s="310" t="s">
        <v>914</v>
      </c>
      <c r="N85" s="311">
        <v>34851</v>
      </c>
      <c r="O85" s="379"/>
      <c r="P85" s="379"/>
      <c r="Q85" s="379"/>
      <c r="R85" s="379"/>
      <c r="S85" s="379"/>
      <c r="T85" s="387"/>
      <c r="U85" s="387"/>
      <c r="V85" s="387"/>
      <c r="W85" s="379"/>
      <c r="X85" s="380"/>
      <c r="Y85" s="381"/>
      <c r="Z85" s="380"/>
      <c r="AA85" s="380"/>
      <c r="AB85" s="381"/>
      <c r="AC85" s="110" t="s">
        <v>833</v>
      </c>
      <c r="AD85" s="342">
        <v>10</v>
      </c>
      <c r="AE85" s="121"/>
      <c r="AF85" s="110"/>
      <c r="AG85" s="114"/>
      <c r="AH85" s="152"/>
      <c r="AI85" s="114"/>
      <c r="AJ85" s="135"/>
      <c r="AK85" s="135"/>
      <c r="AL85" s="135"/>
      <c r="AM85" s="135"/>
      <c r="AN85" s="135"/>
      <c r="AO85" s="114"/>
      <c r="AP85" s="133"/>
      <c r="AQ85" s="135"/>
      <c r="AR85" s="114"/>
      <c r="AS85" s="110"/>
      <c r="AT85" s="110"/>
      <c r="AU85" s="110"/>
      <c r="AV85" s="110"/>
      <c r="AW85" s="415"/>
      <c r="AX85" s="110"/>
      <c r="AY85" s="110"/>
      <c r="AZ85" s="464"/>
      <c r="BA85" s="110"/>
      <c r="BB85" s="540"/>
      <c r="BC85" s="540"/>
      <c r="BD85" s="110"/>
      <c r="BE85" s="110"/>
      <c r="BF85" s="110"/>
      <c r="BG85" s="110"/>
      <c r="BH85" s="110"/>
      <c r="BI85" s="110"/>
      <c r="BJ85" s="110"/>
      <c r="BK85" s="110"/>
      <c r="BL85" s="110"/>
      <c r="BM85" s="110"/>
      <c r="BN85" s="196"/>
      <c r="BO85" s="196"/>
      <c r="BP85" s="196"/>
      <c r="BQ85" s="196"/>
      <c r="BR85" s="196"/>
      <c r="BS85" s="196"/>
      <c r="BT85" s="158"/>
      <c r="BU85" s="376"/>
      <c r="BV85" s="160"/>
      <c r="BW85" s="160"/>
      <c r="BX85" s="160"/>
      <c r="BY85" s="160"/>
      <c r="BZ85" s="376"/>
      <c r="CA85" s="160"/>
      <c r="CB85" s="302"/>
      <c r="CC85" s="374"/>
      <c r="CD85" s="302"/>
      <c r="CE85" s="302"/>
      <c r="CF85" s="161"/>
      <c r="CG85" s="336">
        <f>DATE(YEAR(CF85),MONTH(CF85)+24,DAY(CF85))</f>
        <v>731</v>
      </c>
      <c r="CH85" s="336">
        <f>DATE(YEAR(CF85),MONTH(CF85)+36,DAY(CF85))</f>
        <v>1096</v>
      </c>
      <c r="CI85" s="336"/>
      <c r="CJ85" s="302"/>
      <c r="CK85" s="308"/>
      <c r="CL85" s="161"/>
      <c r="CM85" s="371"/>
      <c r="CN85" s="161"/>
      <c r="CO85" s="161"/>
      <c r="CP85" s="162"/>
      <c r="CQ85" s="367"/>
      <c r="CR85" s="162"/>
      <c r="CS85" s="162"/>
      <c r="CT85" s="162"/>
      <c r="CU85" s="367"/>
      <c r="CV85" s="162"/>
      <c r="CW85" s="162"/>
      <c r="CX85" s="162"/>
      <c r="CY85" s="367"/>
      <c r="CZ85" s="162"/>
      <c r="DA85" s="162"/>
      <c r="DB85" s="299"/>
      <c r="DC85" s="299"/>
      <c r="DD85" s="299"/>
      <c r="DE85" s="312"/>
      <c r="DF85" s="312"/>
      <c r="DG85" s="312"/>
      <c r="DH85" s="312"/>
      <c r="DI85" s="312"/>
      <c r="DJ85" s="312"/>
      <c r="DK85" s="293"/>
      <c r="DL85" s="293"/>
      <c r="DM85" s="293"/>
      <c r="DN85" s="293"/>
      <c r="DO85" s="293"/>
      <c r="DP85" s="293"/>
      <c r="DQ85" s="443"/>
      <c r="DR85" s="443"/>
      <c r="DS85" s="443"/>
      <c r="DT85" s="298"/>
      <c r="DU85" s="443"/>
      <c r="DV85" s="443"/>
      <c r="DW85" s="443"/>
      <c r="DX85" s="423"/>
      <c r="DY85" s="423"/>
      <c r="DZ85" s="423"/>
      <c r="EA85" s="434"/>
      <c r="EB85" s="423"/>
      <c r="EC85" s="430"/>
      <c r="ED85" s="430"/>
      <c r="EE85" s="422"/>
      <c r="EF85" s="422"/>
      <c r="EG85" s="423"/>
      <c r="EH85" s="423"/>
      <c r="EI85" s="431"/>
      <c r="EJ85" s="431"/>
      <c r="EK85" s="423"/>
      <c r="EL85" s="423"/>
      <c r="EM85" s="423"/>
      <c r="EN85" s="210"/>
      <c r="EO85" s="210"/>
      <c r="EP85" s="423"/>
      <c r="EQ85" s="423"/>
      <c r="ER85" s="423"/>
      <c r="ES85" s="423"/>
      <c r="ET85" s="423"/>
      <c r="EU85" s="334"/>
      <c r="EV85" s="206"/>
      <c r="EW85" s="206"/>
      <c r="EX85" s="209"/>
      <c r="EY85" s="434"/>
      <c r="EZ85" s="212"/>
      <c r="FA85" s="212"/>
      <c r="FB85" s="212"/>
      <c r="FC85" s="212"/>
      <c r="FD85" s="110"/>
      <c r="FE85" s="110"/>
      <c r="FF85" s="110"/>
      <c r="FG85" s="110"/>
      <c r="FH85" s="110"/>
      <c r="FI85" s="110"/>
      <c r="FJ85" s="110"/>
      <c r="FK85" s="110"/>
      <c r="FL85" s="110"/>
      <c r="FM85" s="110"/>
      <c r="FN85" s="110"/>
      <c r="FO85" s="110"/>
      <c r="FP85" s="199"/>
      <c r="FQ85" s="153">
        <f>+GA85+GE85+GL85+HF85+GQ85+GP85</f>
        <v>197036.08000000002</v>
      </c>
      <c r="FR85" s="124"/>
      <c r="FS85" s="154"/>
      <c r="FT85" s="98" t="e">
        <f>FQ85/AG85</f>
        <v>#DIV/0!</v>
      </c>
      <c r="FU85" s="98">
        <f>FQ85/AD85</f>
        <v>19703.608</v>
      </c>
      <c r="FV85" s="153"/>
      <c r="FW85" s="124"/>
      <c r="FX85" s="154"/>
      <c r="FY85" s="232"/>
      <c r="FZ85" s="232"/>
      <c r="GA85" s="609"/>
      <c r="GB85" s="124"/>
      <c r="GC85" s="98">
        <f>GA85/AD85</f>
        <v>0</v>
      </c>
      <c r="GD85" s="155"/>
      <c r="GE85" s="153">
        <v>77120.800000000003</v>
      </c>
      <c r="GF85" s="124"/>
      <c r="GG85" s="147"/>
      <c r="GH85" s="147"/>
      <c r="GI85" s="155"/>
      <c r="GJ85" s="98">
        <f>GE85/AD85</f>
        <v>7712.08</v>
      </c>
      <c r="GK85" s="124"/>
      <c r="GL85" s="153">
        <v>18200</v>
      </c>
      <c r="GM85" s="124"/>
      <c r="GN85" s="124"/>
      <c r="GO85" s="76">
        <f>GL85/FQ85</f>
        <v>9.236886970142727E-2</v>
      </c>
      <c r="GP85" s="153">
        <v>100000</v>
      </c>
      <c r="GQ85" s="124">
        <v>1715.28</v>
      </c>
      <c r="GR85" s="149">
        <f>GM85-GL85</f>
        <v>-18200</v>
      </c>
      <c r="GS85" s="98">
        <f>GL85/AD85</f>
        <v>1820</v>
      </c>
      <c r="GT85" s="138">
        <f>(GA85+GL85)/AD85</f>
        <v>1820</v>
      </c>
      <c r="GU85" s="149">
        <f>GR85/AD85</f>
        <v>-1820</v>
      </c>
      <c r="GV85" s="150"/>
      <c r="GW85" s="150"/>
      <c r="GX85" s="151"/>
      <c r="GY85" s="151"/>
      <c r="GZ85" s="98">
        <f>(GA85+GL85+GY85)/AD85</f>
        <v>1820</v>
      </c>
      <c r="HA85" s="151"/>
      <c r="HB85" s="98">
        <f>(GB85+GL85+GY85+HA85)/AD85</f>
        <v>1820</v>
      </c>
      <c r="HC85" s="99">
        <f>(GA85+GL85+GY85+HA85)/(GX85+FQ85-HD85)</f>
        <v>9.236886970142727E-2</v>
      </c>
      <c r="HD85" s="151"/>
      <c r="HE85" s="151"/>
      <c r="HF85" s="124"/>
      <c r="HG85" s="77">
        <f>FQ85+GX85</f>
        <v>197036.08000000002</v>
      </c>
      <c r="HH85" s="491"/>
      <c r="HI85" s="491"/>
      <c r="HJ85" s="494"/>
      <c r="HK85" s="505">
        <f>$HK$1*HH85</f>
        <v>0</v>
      </c>
      <c r="HL85" s="450">
        <f ca="1">TODAY()</f>
        <v>42789</v>
      </c>
      <c r="HM85" s="464">
        <f ca="1">DATE(YEAR(HL85),MONTH(HL85),DAY(HL85)+21)</f>
        <v>42810</v>
      </c>
      <c r="HN85" s="464">
        <f ca="1">IF(HM85&lt;TODAY(),TODAY(),HM85)</f>
        <v>42810</v>
      </c>
      <c r="HO85" s="497">
        <f ca="1">IF(AND(HM85&gt;0,HN85&gt;0),HN85-HM85,"0")</f>
        <v>0</v>
      </c>
      <c r="HP85" s="464">
        <f ca="1">DATE(YEAR(HL85),MONTH(HL85),DAY(HL85)+21)</f>
        <v>42810</v>
      </c>
      <c r="HQ85" s="481">
        <f ca="1">IF(AND(HN85&gt;0,HP85&gt;0),HP85-HN85,"0")</f>
        <v>0</v>
      </c>
      <c r="HR85" s="497">
        <f ca="1">+HQ85-30</f>
        <v>-30</v>
      </c>
      <c r="HS85" s="506">
        <f ca="1">IF(AND(HL85&gt;0,HP85&gt;0),HP85-HL85,"0")</f>
        <v>21</v>
      </c>
      <c r="HT85" s="450">
        <f ca="1">DATE(YEAR(HP85),MONTH(HP85),DAY(HP85)+30)</f>
        <v>42840</v>
      </c>
      <c r="HU85" s="497">
        <f ca="1">IF(AND(HP85&gt;0,HT85&gt;0),HT85-HP85,"0")</f>
        <v>30</v>
      </c>
      <c r="HV85" s="450">
        <f ca="1">DATE(YEAR(HT85),MONTH(HT85),DAY(HT85)+30)</f>
        <v>42870</v>
      </c>
      <c r="HW85" s="450">
        <f ca="1">IF(HV85&lt;TODAY(),TODAY(),HV85)</f>
        <v>42870</v>
      </c>
      <c r="HX85" s="497">
        <f ca="1">IF(AND(HV85&gt;0,HW85&gt;0),HW85-HV85,"0")</f>
        <v>0</v>
      </c>
      <c r="HY85" s="206">
        <f ca="1">DATE(YEAR(HV85),MONTH(HV85),DAY(HV85)+30)</f>
        <v>42900</v>
      </c>
      <c r="HZ85" s="481">
        <f ca="1">IF(AND(HW85&gt;0,HY85&gt;0),HY85-HW85,"0")</f>
        <v>30</v>
      </c>
      <c r="IA85" s="497">
        <f ca="1">+HZ85-30</f>
        <v>0</v>
      </c>
      <c r="IB85" s="506">
        <f ca="1">IF(AND(HT85&gt;0,HY85&gt;0),HY85-HT85,"0")</f>
        <v>60</v>
      </c>
      <c r="IC85" s="490"/>
      <c r="ID85" s="505">
        <f>$ID$1*HH85</f>
        <v>0</v>
      </c>
      <c r="IE85" s="450">
        <f ca="1">DATE(YEAR(HY85),MONTH(HY85),DAY(HY85)+15)</f>
        <v>42915</v>
      </c>
      <c r="IF85" s="450">
        <f ca="1">DATE(YEAR(IE85),MONTH(IE85),DAY(IE85)+7)</f>
        <v>42922</v>
      </c>
      <c r="IG85" s="494"/>
      <c r="IH85" s="505">
        <f>$IH$1*HH85</f>
        <v>0</v>
      </c>
      <c r="II85" s="206">
        <f ca="1">DATE(YEAR(IF85),MONTH(IF85),DAY(IF85)+21)</f>
        <v>42943</v>
      </c>
      <c r="IJ85" s="497">
        <f ca="1">IF(AND(HY85&gt;0,II85&gt;0),II85-HY85,"0")</f>
        <v>43</v>
      </c>
      <c r="IK85" s="206">
        <f ca="1">DATE(YEAR(II85),MONTH(II85),DAY(II85)+30)</f>
        <v>42973</v>
      </c>
      <c r="IL85" s="206">
        <f ca="1">IF(IK85&lt;TODAY(),TODAY(),IK85)</f>
        <v>42973</v>
      </c>
      <c r="IM85" s="497"/>
      <c r="IN85" s="206"/>
      <c r="IO85" s="481"/>
      <c r="IP85" s="497"/>
      <c r="IQ85" s="506"/>
      <c r="IR85" s="490"/>
      <c r="IS85" s="491"/>
      <c r="IT85" s="206">
        <f>IN85</f>
        <v>0</v>
      </c>
      <c r="IU85" s="498" t="str">
        <f>IF(AND(IN85&gt;0,IT85&gt;0),IT85-IN85,"0")</f>
        <v>0</v>
      </c>
      <c r="IV85" s="206">
        <f>DATE(YEAR(IT85),MONTH(IT85),DAY(IT85)+30)</f>
        <v>30</v>
      </c>
      <c r="IW85" s="206">
        <f ca="1">IF(IV85&lt;TODAY(),TODAY(),IV85)</f>
        <v>42789</v>
      </c>
      <c r="IX85" s="498">
        <f ca="1">IF(AND(IV85&gt;0,IW85&gt;0),IW85-IV85,"0")</f>
        <v>42759</v>
      </c>
      <c r="IY85" s="206">
        <f>DATE(YEAR(IV85),MONTH(IV85),DAY(IV85)+30)</f>
        <v>60</v>
      </c>
      <c r="IZ85" s="482">
        <f ca="1">IF(AND(IW85&gt;0,IY85&gt;0),IY85-IW85,"0")</f>
        <v>-42729</v>
      </c>
      <c r="JA85" s="498">
        <f ca="1">IZ85-30</f>
        <v>-42759</v>
      </c>
      <c r="JB85" s="508" t="str">
        <f>IF(AND(IT85&gt;0,IY85&gt;0),IY85-IT85,"0")</f>
        <v>0</v>
      </c>
      <c r="JC85" s="490"/>
      <c r="JD85" s="505"/>
      <c r="JE85" s="502">
        <f>IY85</f>
        <v>60</v>
      </c>
      <c r="JF85" s="487">
        <f>IF(AND(IY85&gt;0,JE85&gt;0),JE85-IY85,"0")</f>
        <v>0</v>
      </c>
      <c r="JG85" s="502">
        <f>DATE(YEAR(JE85),MONTH(JE85),DAY(JE85)+15)</f>
        <v>75</v>
      </c>
      <c r="JH85" s="502">
        <f ca="1">IF(JG85&lt;TODAY(),TODAY(),JG85)</f>
        <v>42789</v>
      </c>
      <c r="JI85" s="487">
        <f ca="1">IF(AND(JG85&gt;0,JH85&gt;0),JH85-JG85,"0")</f>
        <v>42714</v>
      </c>
      <c r="JJ85" s="502">
        <f ca="1">DATE(YEAR(JH85),MONTH(JH85),DAY(JH85)+45)</f>
        <v>42834</v>
      </c>
      <c r="JK85" s="502">
        <f ca="1">JJ85</f>
        <v>42834</v>
      </c>
      <c r="JL85" s="487">
        <f ca="1">IF(AND(JJ85&gt;0,JK85&gt;0),JK85-JJ85,"0")</f>
        <v>0</v>
      </c>
      <c r="JM85" s="509">
        <f ca="1">IF(AND(JE85&gt;0,JK85&gt;0),JK85-JE85,"0")</f>
        <v>42774</v>
      </c>
      <c r="JN85" s="502">
        <f ca="1">DATE(YEAR(JK85),MONTH(JK85),DAY(JK85)+60)</f>
        <v>42894</v>
      </c>
      <c r="JO85" s="501">
        <f ca="1">IF(AND(JK85&gt;0,JN85&gt;0),JN85-JK85,"0")</f>
        <v>60</v>
      </c>
      <c r="JP85" s="498">
        <f ca="1">JO85-60</f>
        <v>0</v>
      </c>
      <c r="JQ85" s="482">
        <f>291/30</f>
        <v>9.6999999999999993</v>
      </c>
      <c r="JR85" s="504">
        <f ca="1">((+HS85+HU85+IB85+IJ85+IQ85+IU85+JB85+JM85+JF85)/30)-JQ85</f>
        <v>1421.2333333333333</v>
      </c>
      <c r="JS85" s="490"/>
      <c r="JT85" s="505"/>
      <c r="JU85" s="490"/>
      <c r="JV85" s="505"/>
      <c r="JW85" s="586"/>
      <c r="JX85" s="586"/>
      <c r="JY85" s="586"/>
      <c r="JZ85" s="586"/>
    </row>
    <row r="86" spans="1:286" ht="63" customHeight="1" x14ac:dyDescent="0.25">
      <c r="A86" s="552" t="s">
        <v>832</v>
      </c>
      <c r="B86" s="110" t="s">
        <v>38</v>
      </c>
      <c r="C86" s="110" t="s">
        <v>157</v>
      </c>
      <c r="D86" s="110">
        <v>2017</v>
      </c>
      <c r="E86" s="110"/>
      <c r="F86" s="110" t="s">
        <v>834</v>
      </c>
      <c r="G86" s="110" t="s">
        <v>439</v>
      </c>
      <c r="H86" s="110"/>
      <c r="I86" s="110"/>
      <c r="J86" s="110" t="s">
        <v>835</v>
      </c>
      <c r="K86" s="453" t="s">
        <v>948</v>
      </c>
      <c r="L86" s="309" t="s">
        <v>80</v>
      </c>
      <c r="M86" s="310" t="s">
        <v>917</v>
      </c>
      <c r="N86" s="311">
        <v>34914</v>
      </c>
      <c r="O86" s="379"/>
      <c r="P86" s="379"/>
      <c r="Q86" s="379"/>
      <c r="R86" s="379"/>
      <c r="S86" s="379"/>
      <c r="T86" s="387"/>
      <c r="U86" s="387"/>
      <c r="V86" s="387"/>
      <c r="W86" s="379"/>
      <c r="X86" s="380"/>
      <c r="Y86" s="381"/>
      <c r="Z86" s="380"/>
      <c r="AA86" s="380"/>
      <c r="AB86" s="381"/>
      <c r="AC86" s="110" t="s">
        <v>833</v>
      </c>
      <c r="AD86" s="342">
        <v>26</v>
      </c>
      <c r="AE86" s="121"/>
      <c r="AF86" s="110"/>
      <c r="AG86" s="114"/>
      <c r="AH86" s="152"/>
      <c r="AI86" s="114"/>
      <c r="AJ86" s="135"/>
      <c r="AK86" s="135"/>
      <c r="AL86" s="135"/>
      <c r="AM86" s="135"/>
      <c r="AN86" s="135"/>
      <c r="AO86" s="114"/>
      <c r="AP86" s="133"/>
      <c r="AQ86" s="135"/>
      <c r="AR86" s="114"/>
      <c r="AS86" s="110"/>
      <c r="AT86" s="110"/>
      <c r="AU86" s="110"/>
      <c r="AV86" s="110"/>
      <c r="AW86" s="415"/>
      <c r="AX86" s="110"/>
      <c r="AY86" s="110"/>
      <c r="AZ86" s="464"/>
      <c r="BA86" s="110"/>
      <c r="BB86" s="540"/>
      <c r="BC86" s="540"/>
      <c r="BD86" s="110"/>
      <c r="BE86" s="110"/>
      <c r="BF86" s="110"/>
      <c r="BG86" s="110"/>
      <c r="BH86" s="110"/>
      <c r="BI86" s="110"/>
      <c r="BJ86" s="110"/>
      <c r="BK86" s="110"/>
      <c r="BL86" s="110"/>
      <c r="BM86" s="110"/>
      <c r="BN86" s="196"/>
      <c r="BO86" s="196"/>
      <c r="BP86" s="196"/>
      <c r="BQ86" s="196"/>
      <c r="BR86" s="196"/>
      <c r="BS86" s="196"/>
      <c r="BT86" s="158"/>
      <c r="BU86" s="376"/>
      <c r="BV86" s="160"/>
      <c r="BW86" s="160"/>
      <c r="BX86" s="160"/>
      <c r="BY86" s="160"/>
      <c r="BZ86" s="376"/>
      <c r="CA86" s="160"/>
      <c r="CB86" s="302"/>
      <c r="CC86" s="374"/>
      <c r="CD86" s="302"/>
      <c r="CE86" s="302"/>
      <c r="CF86" s="161"/>
      <c r="CG86" s="336">
        <f>DATE(YEAR(CF86),MONTH(CF86)+24,DAY(CF86))</f>
        <v>731</v>
      </c>
      <c r="CH86" s="336">
        <f>DATE(YEAR(CF86),MONTH(CF86)+36,DAY(CF86))</f>
        <v>1096</v>
      </c>
      <c r="CI86" s="336"/>
      <c r="CJ86" s="302"/>
      <c r="CK86" s="308"/>
      <c r="CL86" s="161"/>
      <c r="CM86" s="371"/>
      <c r="CN86" s="161"/>
      <c r="CO86" s="161"/>
      <c r="CP86" s="162"/>
      <c r="CQ86" s="367"/>
      <c r="CR86" s="162"/>
      <c r="CS86" s="162"/>
      <c r="CT86" s="162"/>
      <c r="CU86" s="367"/>
      <c r="CV86" s="162"/>
      <c r="CW86" s="162"/>
      <c r="CX86" s="162"/>
      <c r="CY86" s="367"/>
      <c r="CZ86" s="162"/>
      <c r="DA86" s="162"/>
      <c r="DB86" s="299"/>
      <c r="DC86" s="299"/>
      <c r="DD86" s="299"/>
      <c r="DE86" s="312"/>
      <c r="DF86" s="312"/>
      <c r="DG86" s="312"/>
      <c r="DH86" s="312"/>
      <c r="DI86" s="312"/>
      <c r="DJ86" s="312"/>
      <c r="DK86" s="293"/>
      <c r="DL86" s="293"/>
      <c r="DM86" s="293"/>
      <c r="DN86" s="293"/>
      <c r="DO86" s="293"/>
      <c r="DP86" s="293"/>
      <c r="DQ86" s="443"/>
      <c r="DR86" s="443"/>
      <c r="DS86" s="443"/>
      <c r="DT86" s="298"/>
      <c r="DU86" s="443"/>
      <c r="DV86" s="443"/>
      <c r="DW86" s="443"/>
      <c r="DX86" s="423"/>
      <c r="DY86" s="423"/>
      <c r="DZ86" s="423"/>
      <c r="EA86" s="434"/>
      <c r="EB86" s="423"/>
      <c r="EC86" s="430"/>
      <c r="ED86" s="430"/>
      <c r="EE86" s="422"/>
      <c r="EF86" s="422"/>
      <c r="EG86" s="423"/>
      <c r="EH86" s="423"/>
      <c r="EI86" s="431"/>
      <c r="EJ86" s="431"/>
      <c r="EK86" s="423"/>
      <c r="EL86" s="423"/>
      <c r="EM86" s="423"/>
      <c r="EN86" s="210"/>
      <c r="EO86" s="210"/>
      <c r="EP86" s="423"/>
      <c r="EQ86" s="423"/>
      <c r="ER86" s="423"/>
      <c r="ES86" s="423"/>
      <c r="ET86" s="423"/>
      <c r="EU86" s="334"/>
      <c r="EV86" s="206"/>
      <c r="EW86" s="206"/>
      <c r="EX86" s="209"/>
      <c r="EY86" s="434"/>
      <c r="EZ86" s="212"/>
      <c r="FA86" s="212"/>
      <c r="FB86" s="212"/>
      <c r="FC86" s="212"/>
      <c r="FD86" s="110"/>
      <c r="FE86" s="110"/>
      <c r="FF86" s="110"/>
      <c r="FG86" s="110"/>
      <c r="FH86" s="110"/>
      <c r="FI86" s="110"/>
      <c r="FJ86" s="110"/>
      <c r="FK86" s="110"/>
      <c r="FL86" s="110"/>
      <c r="FM86" s="110"/>
      <c r="FN86" s="110"/>
      <c r="FO86" s="110"/>
      <c r="FP86" s="199"/>
      <c r="FQ86" s="153">
        <f>+GA86+GE86+GL86+HF86+GQ86+GP86</f>
        <v>876580.21</v>
      </c>
      <c r="FR86" s="124"/>
      <c r="FS86" s="154"/>
      <c r="FT86" s="98" t="e">
        <f>FQ86/AG86</f>
        <v>#DIV/0!</v>
      </c>
      <c r="FU86" s="98">
        <f>FQ86/AD86</f>
        <v>33714.62346153846</v>
      </c>
      <c r="FV86" s="153"/>
      <c r="FW86" s="124"/>
      <c r="FX86" s="154"/>
      <c r="FY86" s="232"/>
      <c r="FZ86" s="234">
        <v>0.4</v>
      </c>
      <c r="GA86" s="609"/>
      <c r="GB86" s="124"/>
      <c r="GC86" s="98">
        <f>GA86/AD86</f>
        <v>0</v>
      </c>
      <c r="GD86" s="155">
        <f>GB86-GA86</f>
        <v>0</v>
      </c>
      <c r="GE86" s="153">
        <v>617299.89</v>
      </c>
      <c r="GF86" s="124"/>
      <c r="GG86" s="147"/>
      <c r="GH86" s="147"/>
      <c r="GI86" s="155"/>
      <c r="GJ86" s="98">
        <f>GE86/AD86</f>
        <v>23742.30346153846</v>
      </c>
      <c r="GK86" s="124"/>
      <c r="GL86" s="153">
        <v>47320</v>
      </c>
      <c r="GM86" s="124"/>
      <c r="GN86" s="124"/>
      <c r="GO86" s="148">
        <f>GL86/FQ86</f>
        <v>5.3982510054613256E-2</v>
      </c>
      <c r="GP86" s="153">
        <v>210000</v>
      </c>
      <c r="GQ86" s="124">
        <v>1960.32</v>
      </c>
      <c r="GR86" s="149">
        <f>GM86-GL86</f>
        <v>-47320</v>
      </c>
      <c r="GS86" s="98">
        <f>GL86/AD86</f>
        <v>1820</v>
      </c>
      <c r="GT86" s="138">
        <f>(GA86+GL86)/AD86</f>
        <v>1820</v>
      </c>
      <c r="GU86" s="149">
        <f>GR86/AD86</f>
        <v>-1820</v>
      </c>
      <c r="GV86" s="150"/>
      <c r="GW86" s="150"/>
      <c r="GX86" s="151"/>
      <c r="GY86" s="151"/>
      <c r="GZ86" s="98">
        <f>(GA86+GL86+GY86)/AD86</f>
        <v>1820</v>
      </c>
      <c r="HA86" s="151"/>
      <c r="HB86" s="98">
        <f>(GB86+GL86+GY86+HA86)/AD86</f>
        <v>1820</v>
      </c>
      <c r="HC86" s="99">
        <f>(GA86+GL86+GY86+HA86)/(GX86+FQ86-HD86)</f>
        <v>5.3982510054613256E-2</v>
      </c>
      <c r="HD86" s="151"/>
      <c r="HE86" s="151"/>
      <c r="HF86" s="124"/>
      <c r="HG86" s="77">
        <f>FQ86+GX86</f>
        <v>876580.21</v>
      </c>
      <c r="HH86" s="491"/>
      <c r="HI86" s="491"/>
      <c r="HJ86" s="494"/>
      <c r="HK86" s="505">
        <f>$HK$1*HH86</f>
        <v>0</v>
      </c>
      <c r="HL86" s="474">
        <v>42688</v>
      </c>
      <c r="HM86" s="474">
        <f>DATE(YEAR(HL86),MONTH(HL86),DAY(HL86)+21)</f>
        <v>42709</v>
      </c>
      <c r="HN86" s="474">
        <v>42716</v>
      </c>
      <c r="HO86" s="497">
        <f>IF(AND(HM86&gt;0,HN86&gt;0),HN86-HM86,"0")</f>
        <v>7</v>
      </c>
      <c r="HP86" s="474">
        <v>42752</v>
      </c>
      <c r="HQ86" s="481">
        <f>IF(AND(HN86&gt;0,HP86&gt;0),HP86-HN86,"0")</f>
        <v>36</v>
      </c>
      <c r="HR86" s="497">
        <f>+HQ86-30</f>
        <v>6</v>
      </c>
      <c r="HS86" s="506">
        <f>IF(AND(HL86&gt;0,HP86&gt;0),HP86-HL86,"0")</f>
        <v>64</v>
      </c>
      <c r="HT86" s="450">
        <f>DATE(YEAR(HP86),MONTH(HP86),DAY(HP86)+30)</f>
        <v>42782</v>
      </c>
      <c r="HU86" s="497">
        <f>IF(AND(HP86&gt;0,HT86&gt;0),HT86-HP86,"0")</f>
        <v>30</v>
      </c>
      <c r="HV86" s="450">
        <f>DATE(YEAR(HT86),MONTH(HT86),DAY(HT86)+30)</f>
        <v>42812</v>
      </c>
      <c r="HW86" s="450">
        <f ca="1">IF(HV86&lt;TODAY(),TODAY(),HV86)</f>
        <v>42812</v>
      </c>
      <c r="HX86" s="497">
        <f ca="1">IF(AND(HV86&gt;0,HW86&gt;0),HW86-HV86,"0")</f>
        <v>0</v>
      </c>
      <c r="HY86" s="206">
        <f>DATE(YEAR(HV86),MONTH(HV86),DAY(HV86)+30)</f>
        <v>42842</v>
      </c>
      <c r="HZ86" s="481">
        <f ca="1">IF(AND(HW86&gt;0,HY86&gt;0),HY86-HW86,"0")</f>
        <v>30</v>
      </c>
      <c r="IA86" s="497">
        <f ca="1">+HZ86-30</f>
        <v>0</v>
      </c>
      <c r="IB86" s="506">
        <f>IF(AND(HT86&gt;0,HY86&gt;0),HY86-HT86,"0")</f>
        <v>60</v>
      </c>
      <c r="IC86" s="490"/>
      <c r="ID86" s="505">
        <f>$ID$1*HH86</f>
        <v>0</v>
      </c>
      <c r="IE86" s="450">
        <f>DATE(YEAR(HY86),MONTH(HY86),DAY(HY86)+15)</f>
        <v>42857</v>
      </c>
      <c r="IF86" s="450">
        <f>DATE(YEAR(IE86),MONTH(IE86),DAY(IE86)+7)</f>
        <v>42864</v>
      </c>
      <c r="IG86" s="494"/>
      <c r="IH86" s="505">
        <f>$IH$1*HH86</f>
        <v>0</v>
      </c>
      <c r="II86" s="206">
        <f>DATE(YEAR(IF86),MONTH(IF86),DAY(IF86)+21)</f>
        <v>42885</v>
      </c>
      <c r="IJ86" s="497">
        <f>IF(AND(HY86&gt;0,II86&gt;0),II86-HY86,"0")</f>
        <v>43</v>
      </c>
      <c r="IK86" s="206">
        <f>DATE(YEAR(II86),MONTH(II86),DAY(II86)+30)</f>
        <v>42915</v>
      </c>
      <c r="IL86" s="206">
        <f ca="1">IF(IK86&lt;TODAY(),TODAY(),IK86)</f>
        <v>42915</v>
      </c>
      <c r="IM86" s="497"/>
      <c r="IN86" s="206"/>
      <c r="IO86" s="481"/>
      <c r="IP86" s="497"/>
      <c r="IQ86" s="506"/>
      <c r="IR86" s="490"/>
      <c r="IS86" s="491"/>
      <c r="IT86" s="206">
        <f>IN86</f>
        <v>0</v>
      </c>
      <c r="IU86" s="498" t="str">
        <f>IF(AND(IN86&gt;0,IT86&gt;0),IT86-IN86,"0")</f>
        <v>0</v>
      </c>
      <c r="IV86" s="206">
        <f>DATE(YEAR(IT86),MONTH(IT86),DAY(IT86)+30)</f>
        <v>30</v>
      </c>
      <c r="IW86" s="206">
        <f ca="1">IF(IV86&lt;TODAY(),TODAY(),IV86)</f>
        <v>42789</v>
      </c>
      <c r="IX86" s="498">
        <f ca="1">IF(AND(IV86&gt;0,IW86&gt;0),IW86-IV86,"0")</f>
        <v>42759</v>
      </c>
      <c r="IY86" s="206">
        <f>DATE(YEAR(IV86),MONTH(IV86),DAY(IV86)+30)</f>
        <v>60</v>
      </c>
      <c r="IZ86" s="482">
        <f ca="1">IF(AND(IW86&gt;0,IY86&gt;0),IY86-IW86,"0")</f>
        <v>-42729</v>
      </c>
      <c r="JA86" s="498">
        <f ca="1">IZ86-30</f>
        <v>-42759</v>
      </c>
      <c r="JB86" s="508" t="str">
        <f>IF(AND(IT86&gt;0,IY86&gt;0),IY86-IT86,"0")</f>
        <v>0</v>
      </c>
      <c r="JC86" s="490"/>
      <c r="JD86" s="505"/>
      <c r="JE86" s="502">
        <f>IY86</f>
        <v>60</v>
      </c>
      <c r="JF86" s="487">
        <f>IF(AND(IY86&gt;0,JE86&gt;0),JE86-IY86,"0")</f>
        <v>0</v>
      </c>
      <c r="JG86" s="502">
        <f>DATE(YEAR(JE86),MONTH(JE86),DAY(JE86)+15)</f>
        <v>75</v>
      </c>
      <c r="JH86" s="502">
        <f ca="1">IF(JG86&lt;TODAY(),TODAY(),JG86)</f>
        <v>42789</v>
      </c>
      <c r="JI86" s="487">
        <f ca="1">IF(AND(JG86&gt;0,JH86&gt;0),JH86-JG86,"0")</f>
        <v>42714</v>
      </c>
      <c r="JJ86" s="502">
        <f ca="1">DATE(YEAR(JH86),MONTH(JH86),DAY(JH86)+45)</f>
        <v>42834</v>
      </c>
      <c r="JK86" s="502">
        <f ca="1">JJ86</f>
        <v>42834</v>
      </c>
      <c r="JL86" s="487">
        <f ca="1">IF(AND(JJ86&gt;0,JK86&gt;0),JK86-JJ86,"0")</f>
        <v>0</v>
      </c>
      <c r="JM86" s="509">
        <f ca="1">IF(AND(JE86&gt;0,JK86&gt;0),JK86-JE86,"0")</f>
        <v>42774</v>
      </c>
      <c r="JN86" s="502">
        <f ca="1">DATE(YEAR(JK86),MONTH(JK86),DAY(JK86)+60)</f>
        <v>42894</v>
      </c>
      <c r="JO86" s="501">
        <f ca="1">IF(AND(JK86&gt;0,JN86&gt;0),JN86-JK86,"0")</f>
        <v>60</v>
      </c>
      <c r="JP86" s="498">
        <f ca="1">JO86-60</f>
        <v>0</v>
      </c>
      <c r="JQ86" s="482">
        <f>291/30</f>
        <v>9.6999999999999993</v>
      </c>
      <c r="JR86" s="504">
        <f ca="1">((+HS86+HU86+IB86+IJ86+IQ86+IU86+JB86+JM86+JF86)/30)-JQ86</f>
        <v>1422.6666666666665</v>
      </c>
      <c r="JS86" s="490"/>
      <c r="JT86" s="491"/>
      <c r="JU86" s="490"/>
      <c r="JV86" s="491"/>
      <c r="JW86" s="586"/>
      <c r="JX86" s="586"/>
      <c r="JY86" s="586"/>
      <c r="JZ86" s="586"/>
    </row>
    <row r="87" spans="1:286" ht="63" customHeight="1" x14ac:dyDescent="0.25">
      <c r="A87" s="552" t="s">
        <v>844</v>
      </c>
      <c r="B87" s="110" t="s">
        <v>845</v>
      </c>
      <c r="C87" s="110" t="s">
        <v>159</v>
      </c>
      <c r="D87" s="110">
        <v>2017</v>
      </c>
      <c r="E87" s="110"/>
      <c r="F87" s="110" t="s">
        <v>834</v>
      </c>
      <c r="G87" s="110" t="s">
        <v>439</v>
      </c>
      <c r="H87" s="110"/>
      <c r="I87" s="110"/>
      <c r="J87" s="110" t="s">
        <v>846</v>
      </c>
      <c r="K87" s="453" t="s">
        <v>952</v>
      </c>
      <c r="L87" s="309" t="s">
        <v>80</v>
      </c>
      <c r="M87" s="310" t="s">
        <v>918</v>
      </c>
      <c r="N87" s="311">
        <v>35569</v>
      </c>
      <c r="O87" s="379"/>
      <c r="P87" s="379"/>
      <c r="Q87" s="379"/>
      <c r="R87" s="379"/>
      <c r="S87" s="379"/>
      <c r="T87" s="387"/>
      <c r="U87" s="387"/>
      <c r="V87" s="387"/>
      <c r="W87" s="379"/>
      <c r="X87" s="380"/>
      <c r="Y87" s="381"/>
      <c r="Z87" s="380"/>
      <c r="AA87" s="380"/>
      <c r="AB87" s="381"/>
      <c r="AC87" s="110" t="s">
        <v>833</v>
      </c>
      <c r="AD87" s="342">
        <v>31</v>
      </c>
      <c r="AE87" s="121"/>
      <c r="AF87" s="110"/>
      <c r="AG87" s="114"/>
      <c r="AH87" s="152"/>
      <c r="AI87" s="114"/>
      <c r="AJ87" s="135"/>
      <c r="AK87" s="135"/>
      <c r="AL87" s="135"/>
      <c r="AM87" s="135"/>
      <c r="AN87" s="135"/>
      <c r="AO87" s="114"/>
      <c r="AP87" s="133"/>
      <c r="AQ87" s="135"/>
      <c r="AR87" s="114"/>
      <c r="AS87" s="110"/>
      <c r="AT87" s="110"/>
      <c r="AU87" s="110"/>
      <c r="AV87" s="110"/>
      <c r="AW87" s="415"/>
      <c r="AX87" s="110"/>
      <c r="AY87" s="110"/>
      <c r="AZ87" s="464"/>
      <c r="BA87" s="110"/>
      <c r="BB87" s="540"/>
      <c r="BC87" s="540"/>
      <c r="BD87" s="110"/>
      <c r="BE87" s="110"/>
      <c r="BF87" s="110"/>
      <c r="BG87" s="110"/>
      <c r="BH87" s="110"/>
      <c r="BI87" s="110"/>
      <c r="BJ87" s="110"/>
      <c r="BK87" s="110"/>
      <c r="BL87" s="110"/>
      <c r="BM87" s="110"/>
      <c r="BN87" s="196"/>
      <c r="BO87" s="196"/>
      <c r="BP87" s="196"/>
      <c r="BQ87" s="196"/>
      <c r="BR87" s="196"/>
      <c r="BS87" s="196"/>
      <c r="BT87" s="158"/>
      <c r="BU87" s="376"/>
      <c r="BV87" s="160"/>
      <c r="BW87" s="160"/>
      <c r="BX87" s="160"/>
      <c r="BY87" s="160"/>
      <c r="BZ87" s="376"/>
      <c r="CA87" s="160"/>
      <c r="CB87" s="302"/>
      <c r="CC87" s="374"/>
      <c r="CD87" s="302"/>
      <c r="CE87" s="302"/>
      <c r="CF87" s="161"/>
      <c r="CG87" s="336">
        <f>DATE(YEAR(CF87),MONTH(CF87)+24,DAY(CF87))</f>
        <v>731</v>
      </c>
      <c r="CH87" s="336">
        <f>DATE(YEAR(CF87),MONTH(CF87)+36,DAY(CF87))</f>
        <v>1096</v>
      </c>
      <c r="CI87" s="336"/>
      <c r="CJ87" s="302"/>
      <c r="CK87" s="308"/>
      <c r="CL87" s="161"/>
      <c r="CM87" s="371"/>
      <c r="CN87" s="161"/>
      <c r="CO87" s="161"/>
      <c r="CP87" s="162"/>
      <c r="CQ87" s="367"/>
      <c r="CR87" s="162"/>
      <c r="CS87" s="162"/>
      <c r="CT87" s="162"/>
      <c r="CU87" s="367"/>
      <c r="CV87" s="162"/>
      <c r="CW87" s="162"/>
      <c r="CX87" s="162"/>
      <c r="CY87" s="367"/>
      <c r="CZ87" s="162"/>
      <c r="DA87" s="162"/>
      <c r="DB87" s="299"/>
      <c r="DC87" s="299"/>
      <c r="DD87" s="299"/>
      <c r="DE87" s="312"/>
      <c r="DF87" s="312"/>
      <c r="DG87" s="312"/>
      <c r="DH87" s="312"/>
      <c r="DI87" s="312"/>
      <c r="DJ87" s="312"/>
      <c r="DK87" s="293"/>
      <c r="DL87" s="293"/>
      <c r="DM87" s="293"/>
      <c r="DN87" s="293"/>
      <c r="DO87" s="293"/>
      <c r="DP87" s="293"/>
      <c r="DQ87" s="443"/>
      <c r="DR87" s="443"/>
      <c r="DS87" s="443"/>
      <c r="DT87" s="298"/>
      <c r="DU87" s="443"/>
      <c r="DV87" s="443"/>
      <c r="DW87" s="443"/>
      <c r="DX87" s="423"/>
      <c r="DY87" s="423"/>
      <c r="DZ87" s="423"/>
      <c r="EA87" s="434"/>
      <c r="EB87" s="423"/>
      <c r="EC87" s="430"/>
      <c r="ED87" s="430"/>
      <c r="EE87" s="422"/>
      <c r="EF87" s="422"/>
      <c r="EG87" s="423"/>
      <c r="EH87" s="423"/>
      <c r="EI87" s="431"/>
      <c r="EJ87" s="431"/>
      <c r="EK87" s="423"/>
      <c r="EL87" s="423"/>
      <c r="EM87" s="423"/>
      <c r="EN87" s="210"/>
      <c r="EO87" s="210"/>
      <c r="EP87" s="423"/>
      <c r="EQ87" s="423"/>
      <c r="ER87" s="423"/>
      <c r="ES87" s="423"/>
      <c r="ET87" s="423"/>
      <c r="EU87" s="334"/>
      <c r="EV87" s="206"/>
      <c r="EW87" s="206"/>
      <c r="EX87" s="209"/>
      <c r="EY87" s="434"/>
      <c r="EZ87" s="212"/>
      <c r="FA87" s="212"/>
      <c r="FB87" s="212"/>
      <c r="FC87" s="212"/>
      <c r="FD87" s="110"/>
      <c r="FE87" s="110"/>
      <c r="FF87" s="110"/>
      <c r="FG87" s="110"/>
      <c r="FH87" s="110"/>
      <c r="FI87" s="110"/>
      <c r="FJ87" s="110"/>
      <c r="FK87" s="110"/>
      <c r="FL87" s="110"/>
      <c r="FM87" s="110"/>
      <c r="FN87" s="110"/>
      <c r="FO87" s="110"/>
      <c r="FP87" s="199"/>
      <c r="FQ87" s="153">
        <f>+GA87+GE87+GL87+HF87+GQ87+GP87</f>
        <v>1692687.1400000001</v>
      </c>
      <c r="FR87" s="124"/>
      <c r="FS87" s="154"/>
      <c r="FT87" s="98" t="e">
        <f>FQ87/AG87</f>
        <v>#DIV/0!</v>
      </c>
      <c r="FU87" s="98">
        <f>FQ87/AD87</f>
        <v>54602.810967741942</v>
      </c>
      <c r="FV87" s="153"/>
      <c r="FW87" s="124"/>
      <c r="FX87" s="154"/>
      <c r="FY87" s="232"/>
      <c r="FZ87" s="232"/>
      <c r="GA87" s="609"/>
      <c r="GB87" s="124"/>
      <c r="GC87" s="98">
        <f>GA87/AD87</f>
        <v>0</v>
      </c>
      <c r="GD87" s="155"/>
      <c r="GE87" s="153">
        <f>1374429.34-345340</f>
        <v>1029089.3400000001</v>
      </c>
      <c r="GF87" s="124"/>
      <c r="GG87" s="147"/>
      <c r="GH87" s="147"/>
      <c r="GI87" s="155"/>
      <c r="GJ87" s="98">
        <f>GE87/AD87</f>
        <v>33196.430322580651</v>
      </c>
      <c r="GK87" s="124"/>
      <c r="GL87" s="153">
        <v>401760</v>
      </c>
      <c r="GM87" s="124"/>
      <c r="GN87" s="124"/>
      <c r="GO87" s="148">
        <f>GL87/FQ87</f>
        <v>0.23735041786871494</v>
      </c>
      <c r="GP87" s="153">
        <v>260000</v>
      </c>
      <c r="GQ87" s="124">
        <v>1837.8</v>
      </c>
      <c r="GR87" s="149">
        <f>GM87-GL87</f>
        <v>-401760</v>
      </c>
      <c r="GS87" s="98">
        <f>GL87/AD87</f>
        <v>12960</v>
      </c>
      <c r="GT87" s="138">
        <f>(GA87+GL87)/AD87</f>
        <v>12960</v>
      </c>
      <c r="GU87" s="149">
        <f>GR87/AD87</f>
        <v>-12960</v>
      </c>
      <c r="GV87" s="150"/>
      <c r="GW87" s="150"/>
      <c r="GX87" s="151"/>
      <c r="GY87" s="151"/>
      <c r="GZ87" s="98">
        <f>(GA87+GL87+GY87)/AD87</f>
        <v>12960</v>
      </c>
      <c r="HA87" s="151"/>
      <c r="HB87" s="98">
        <f>(GB87+GL87+GY87+HA87)/AD87</f>
        <v>12960</v>
      </c>
      <c r="HC87" s="99">
        <f>(GA87+GL87+GY87+HA87)/(GX87+FQ87-HD87)</f>
        <v>0.23735041786871494</v>
      </c>
      <c r="HD87" s="151"/>
      <c r="HE87" s="151"/>
      <c r="HF87" s="124"/>
      <c r="HG87" s="77">
        <f>FQ87+GX87</f>
        <v>1692687.1400000001</v>
      </c>
      <c r="HH87" s="491"/>
      <c r="HI87" s="491"/>
      <c r="HJ87" s="494"/>
      <c r="HK87" s="505">
        <f>$HK$1*HH87</f>
        <v>0</v>
      </c>
      <c r="HL87" s="474">
        <v>42689</v>
      </c>
      <c r="HM87" s="474">
        <f>DATE(YEAR(HL87),MONTH(HL87),DAY(HL87)+21)</f>
        <v>42710</v>
      </c>
      <c r="HN87" s="474">
        <v>42719</v>
      </c>
      <c r="HO87" s="497">
        <f>IF(AND(HM87&gt;0,HN87&gt;0),HN87-HM87,"0")</f>
        <v>9</v>
      </c>
      <c r="HP87" s="474">
        <v>42754</v>
      </c>
      <c r="HQ87" s="481">
        <f>IF(AND(HN87&gt;0,HP87&gt;0),HP87-HN87,"0")</f>
        <v>35</v>
      </c>
      <c r="HR87" s="497">
        <f>+HQ87-30</f>
        <v>5</v>
      </c>
      <c r="HS87" s="506">
        <f>IF(AND(HL87&gt;0,HP87&gt;0),HP87-HL87,"0")</f>
        <v>65</v>
      </c>
      <c r="HT87" s="450">
        <f>DATE(YEAR(HP87),MONTH(HP87),DAY(HP87)+30)</f>
        <v>42784</v>
      </c>
      <c r="HU87" s="497">
        <f>IF(AND(HP87&gt;0,HT87&gt;0),HT87-HP87,"0")</f>
        <v>30</v>
      </c>
      <c r="HV87" s="450">
        <f>DATE(YEAR(HT87),MONTH(HT87),DAY(HT87)+30)</f>
        <v>42814</v>
      </c>
      <c r="HW87" s="450">
        <f ca="1">IF(HV87&lt;TODAY(),TODAY(),HV87)</f>
        <v>42814</v>
      </c>
      <c r="HX87" s="497">
        <f ca="1">IF(AND(HV87&gt;0,HW87&gt;0),HW87-HV87,"0")</f>
        <v>0</v>
      </c>
      <c r="HY87" s="206">
        <f>DATE(YEAR(HV87),MONTH(HV87),DAY(HV87)+30)</f>
        <v>42844</v>
      </c>
      <c r="HZ87" s="481">
        <f ca="1">IF(AND(HW87&gt;0,HY87&gt;0),HY87-HW87,"0")</f>
        <v>30</v>
      </c>
      <c r="IA87" s="497">
        <f ca="1">+HZ87-30</f>
        <v>0</v>
      </c>
      <c r="IB87" s="506">
        <f>IF(AND(HT87&gt;0,HY87&gt;0),HY87-HT87,"0")</f>
        <v>60</v>
      </c>
      <c r="IC87" s="490"/>
      <c r="ID87" s="505">
        <f>$ID$1*HH87</f>
        <v>0</v>
      </c>
      <c r="IE87" s="450">
        <f>DATE(YEAR(HY87),MONTH(HY87),DAY(HY87)+15)</f>
        <v>42859</v>
      </c>
      <c r="IF87" s="450">
        <f>DATE(YEAR(IE87),MONTH(IE87),DAY(IE87)+7)</f>
        <v>42866</v>
      </c>
      <c r="IG87" s="494"/>
      <c r="IH87" s="505">
        <f>$IH$1*HH87</f>
        <v>0</v>
      </c>
      <c r="II87" s="206">
        <f>DATE(YEAR(IF87),MONTH(IF87),DAY(IF87)+21)</f>
        <v>42887</v>
      </c>
      <c r="IJ87" s="497">
        <f>IF(AND(HY87&gt;0,II87&gt;0),II87-HY87,"0")</f>
        <v>43</v>
      </c>
      <c r="IK87" s="206">
        <f>DATE(YEAR(II87),MONTH(II87),DAY(II87)+30)</f>
        <v>42917</v>
      </c>
      <c r="IL87" s="206">
        <f ca="1">IF(IK87&lt;TODAY(),TODAY(),IK87)</f>
        <v>42917</v>
      </c>
      <c r="IM87" s="497"/>
      <c r="IN87" s="206"/>
      <c r="IO87" s="481"/>
      <c r="IP87" s="497"/>
      <c r="IQ87" s="506"/>
      <c r="IR87" s="490"/>
      <c r="IS87" s="491"/>
      <c r="IT87" s="206">
        <f>IN87</f>
        <v>0</v>
      </c>
      <c r="IU87" s="498" t="str">
        <f>IF(AND(IN87&gt;0,IT87&gt;0),IT87-IN87,"0")</f>
        <v>0</v>
      </c>
      <c r="IV87" s="206">
        <f>DATE(YEAR(IT87),MONTH(IT87),DAY(IT87)+30)</f>
        <v>30</v>
      </c>
      <c r="IW87" s="206">
        <f ca="1">IF(IV87&lt;TODAY(),TODAY(),IV87)</f>
        <v>42789</v>
      </c>
      <c r="IX87" s="498">
        <f ca="1">IF(AND(IV87&gt;0,IW87&gt;0),IW87-IV87,"0")</f>
        <v>42759</v>
      </c>
      <c r="IY87" s="206">
        <f>DATE(YEAR(IV87),MONTH(IV87),DAY(IV87)+30)</f>
        <v>60</v>
      </c>
      <c r="IZ87" s="482">
        <f ca="1">IF(AND(IW87&gt;0,IY87&gt;0),IY87-IW87,"0")</f>
        <v>-42729</v>
      </c>
      <c r="JA87" s="498">
        <f ca="1">IZ87-30</f>
        <v>-42759</v>
      </c>
      <c r="JB87" s="508" t="str">
        <f>IF(AND(IT87&gt;0,IY87&gt;0),IY87-IT87,"0")</f>
        <v>0</v>
      </c>
      <c r="JC87" s="490"/>
      <c r="JD87" s="505"/>
      <c r="JE87" s="502">
        <f>IY87</f>
        <v>60</v>
      </c>
      <c r="JF87" s="487">
        <f>IF(AND(IY87&gt;0,JE87&gt;0),JE87-IY87,"0")</f>
        <v>0</v>
      </c>
      <c r="JG87" s="502">
        <f>DATE(YEAR(JE87),MONTH(JE87),DAY(JE87)+15)</f>
        <v>75</v>
      </c>
      <c r="JH87" s="502">
        <f ca="1">IF(JG87&lt;TODAY(),TODAY(),JG87)</f>
        <v>42789</v>
      </c>
      <c r="JI87" s="487">
        <f ca="1">IF(AND(JG87&gt;0,JH87&gt;0),JH87-JG87,"0")</f>
        <v>42714</v>
      </c>
      <c r="JJ87" s="502">
        <f ca="1">DATE(YEAR(JH87),MONTH(JH87),DAY(JH87)+45)</f>
        <v>42834</v>
      </c>
      <c r="JK87" s="502">
        <f ca="1">JJ87</f>
        <v>42834</v>
      </c>
      <c r="JL87" s="487">
        <f ca="1">IF(AND(JJ87&gt;0,JK87&gt;0),JK87-JJ87,"0")</f>
        <v>0</v>
      </c>
      <c r="JM87" s="509">
        <f ca="1">IF(AND(JE87&gt;0,JK87&gt;0),JK87-JE87,"0")</f>
        <v>42774</v>
      </c>
      <c r="JN87" s="502">
        <f ca="1">DATE(YEAR(JK87),MONTH(JK87),DAY(JK87)+60)</f>
        <v>42894</v>
      </c>
      <c r="JO87" s="501">
        <f ca="1">IF(AND(JK87&gt;0,JN87&gt;0),JN87-JK87,"0")</f>
        <v>60</v>
      </c>
      <c r="JP87" s="498">
        <f ca="1">JO87-60</f>
        <v>0</v>
      </c>
      <c r="JQ87" s="482">
        <f>291/30</f>
        <v>9.6999999999999993</v>
      </c>
      <c r="JR87" s="504">
        <f ca="1">((+HS87+HU87+IB87+IJ87+IQ87+IU87+JB87+JM87+JF87)/30)-JQ87</f>
        <v>1422.7</v>
      </c>
      <c r="JS87" s="490"/>
      <c r="JT87" s="505"/>
      <c r="JU87" s="490"/>
      <c r="JV87" s="505"/>
      <c r="JW87" s="586"/>
      <c r="JX87" s="586"/>
      <c r="JY87" s="586"/>
      <c r="JZ87" s="586"/>
    </row>
    <row r="88" spans="1:286" ht="63" customHeight="1" x14ac:dyDescent="0.25">
      <c r="A88" s="552" t="s">
        <v>838</v>
      </c>
      <c r="B88" s="110" t="s">
        <v>59</v>
      </c>
      <c r="C88" s="110" t="s">
        <v>157</v>
      </c>
      <c r="D88" s="110">
        <v>2017</v>
      </c>
      <c r="E88" s="110"/>
      <c r="F88" s="110" t="s">
        <v>834</v>
      </c>
      <c r="G88" s="110" t="s">
        <v>277</v>
      </c>
      <c r="H88" s="110"/>
      <c r="I88" s="110"/>
      <c r="J88" s="110" t="s">
        <v>839</v>
      </c>
      <c r="K88" s="453" t="s">
        <v>950</v>
      </c>
      <c r="L88" s="309" t="s">
        <v>80</v>
      </c>
      <c r="M88" s="310" t="s">
        <v>921</v>
      </c>
      <c r="N88" s="311">
        <v>35049</v>
      </c>
      <c r="O88" s="379"/>
      <c r="P88" s="379"/>
      <c r="Q88" s="379"/>
      <c r="R88" s="379"/>
      <c r="S88" s="379"/>
      <c r="T88" s="387"/>
      <c r="U88" s="387"/>
      <c r="V88" s="387"/>
      <c r="W88" s="379"/>
      <c r="X88" s="380"/>
      <c r="Y88" s="381"/>
      <c r="Z88" s="380"/>
      <c r="AA88" s="380"/>
      <c r="AB88" s="381"/>
      <c r="AC88" s="110" t="s">
        <v>833</v>
      </c>
      <c r="AD88" s="342">
        <v>6</v>
      </c>
      <c r="AE88" s="121"/>
      <c r="AF88" s="110"/>
      <c r="AG88" s="114"/>
      <c r="AH88" s="152"/>
      <c r="AI88" s="114"/>
      <c r="AJ88" s="135"/>
      <c r="AK88" s="135"/>
      <c r="AL88" s="135"/>
      <c r="AM88" s="135"/>
      <c r="AN88" s="135"/>
      <c r="AO88" s="114"/>
      <c r="AP88" s="133"/>
      <c r="AQ88" s="135"/>
      <c r="AR88" s="114"/>
      <c r="AS88" s="110"/>
      <c r="AT88" s="110"/>
      <c r="AU88" s="110"/>
      <c r="AV88" s="110"/>
      <c r="AW88" s="415"/>
      <c r="AX88" s="110"/>
      <c r="AY88" s="110"/>
      <c r="AZ88" s="464"/>
      <c r="BA88" s="110"/>
      <c r="BB88" s="540"/>
      <c r="BC88" s="540"/>
      <c r="BD88" s="110"/>
      <c r="BE88" s="110"/>
      <c r="BF88" s="110"/>
      <c r="BG88" s="110"/>
      <c r="BH88" s="110"/>
      <c r="BI88" s="110"/>
      <c r="BJ88" s="110"/>
      <c r="BK88" s="110"/>
      <c r="BL88" s="110"/>
      <c r="BM88" s="110"/>
      <c r="BN88" s="196"/>
      <c r="BO88" s="196"/>
      <c r="BP88" s="196"/>
      <c r="BQ88" s="196"/>
      <c r="BR88" s="196"/>
      <c r="BS88" s="196"/>
      <c r="BT88" s="158"/>
      <c r="BU88" s="376"/>
      <c r="BV88" s="160"/>
      <c r="BW88" s="160"/>
      <c r="BX88" s="160"/>
      <c r="BY88" s="160"/>
      <c r="BZ88" s="376"/>
      <c r="CA88" s="160"/>
      <c r="CB88" s="302"/>
      <c r="CC88" s="374"/>
      <c r="CD88" s="302"/>
      <c r="CE88" s="302"/>
      <c r="CF88" s="161"/>
      <c r="CG88" s="336">
        <f>DATE(YEAR(CF88),MONTH(CF88)+24,DAY(CF88))</f>
        <v>731</v>
      </c>
      <c r="CH88" s="336">
        <f>DATE(YEAR(CF88),MONTH(CF88)+36,DAY(CF88))</f>
        <v>1096</v>
      </c>
      <c r="CI88" s="336"/>
      <c r="CJ88" s="302"/>
      <c r="CK88" s="308"/>
      <c r="CL88" s="161"/>
      <c r="CM88" s="371"/>
      <c r="CN88" s="161"/>
      <c r="CO88" s="161"/>
      <c r="CP88" s="162"/>
      <c r="CQ88" s="367"/>
      <c r="CR88" s="162"/>
      <c r="CS88" s="162"/>
      <c r="CT88" s="162"/>
      <c r="CU88" s="367"/>
      <c r="CV88" s="162"/>
      <c r="CW88" s="162"/>
      <c r="CX88" s="162"/>
      <c r="CY88" s="367"/>
      <c r="CZ88" s="162"/>
      <c r="DA88" s="162"/>
      <c r="DB88" s="299"/>
      <c r="DC88" s="299"/>
      <c r="DD88" s="299"/>
      <c r="DE88" s="312"/>
      <c r="DF88" s="312"/>
      <c r="DG88" s="312"/>
      <c r="DH88" s="312"/>
      <c r="DI88" s="312"/>
      <c r="DJ88" s="312"/>
      <c r="DK88" s="293"/>
      <c r="DL88" s="293"/>
      <c r="DM88" s="293"/>
      <c r="DN88" s="293"/>
      <c r="DO88" s="293"/>
      <c r="DP88" s="293"/>
      <c r="DQ88" s="443"/>
      <c r="DR88" s="443"/>
      <c r="DS88" s="443"/>
      <c r="DT88" s="298"/>
      <c r="DU88" s="443"/>
      <c r="DV88" s="443"/>
      <c r="DW88" s="443"/>
      <c r="DX88" s="423"/>
      <c r="DY88" s="423"/>
      <c r="DZ88" s="423"/>
      <c r="EA88" s="434"/>
      <c r="EB88" s="423"/>
      <c r="EC88" s="430"/>
      <c r="ED88" s="430"/>
      <c r="EE88" s="422"/>
      <c r="EF88" s="422"/>
      <c r="EG88" s="423"/>
      <c r="EH88" s="423"/>
      <c r="EI88" s="431"/>
      <c r="EJ88" s="431"/>
      <c r="EK88" s="423"/>
      <c r="EL88" s="423"/>
      <c r="EM88" s="423"/>
      <c r="EN88" s="210"/>
      <c r="EO88" s="210"/>
      <c r="EP88" s="423"/>
      <c r="EQ88" s="423"/>
      <c r="ER88" s="423"/>
      <c r="ES88" s="423"/>
      <c r="ET88" s="423"/>
      <c r="EU88" s="334"/>
      <c r="EV88" s="206"/>
      <c r="EW88" s="206"/>
      <c r="EX88" s="209"/>
      <c r="EY88" s="434"/>
      <c r="EZ88" s="212"/>
      <c r="FA88" s="212"/>
      <c r="FB88" s="212"/>
      <c r="FC88" s="212"/>
      <c r="FD88" s="110"/>
      <c r="FE88" s="110"/>
      <c r="FF88" s="110"/>
      <c r="FG88" s="110"/>
      <c r="FH88" s="110"/>
      <c r="FI88" s="110"/>
      <c r="FJ88" s="110"/>
      <c r="FK88" s="110"/>
      <c r="FL88" s="110"/>
      <c r="FM88" s="110"/>
      <c r="FN88" s="110"/>
      <c r="FO88" s="110"/>
      <c r="FP88" s="199"/>
      <c r="FQ88" s="153">
        <f>+GA88+GE88+GL88+HF88+GQ88+GP88</f>
        <v>155209.97999999998</v>
      </c>
      <c r="FR88" s="124"/>
      <c r="FS88" s="154"/>
      <c r="FT88" s="98" t="e">
        <f>FQ88/AG88</f>
        <v>#DIV/0!</v>
      </c>
      <c r="FU88" s="98">
        <f>FQ88/AD88</f>
        <v>25868.329999999998</v>
      </c>
      <c r="FV88" s="153"/>
      <c r="FW88" s="124"/>
      <c r="FX88" s="154"/>
      <c r="FY88" s="232"/>
      <c r="FZ88" s="232"/>
      <c r="GA88" s="609"/>
      <c r="GB88" s="124"/>
      <c r="GC88" s="98">
        <f>GA88/AD88</f>
        <v>0</v>
      </c>
      <c r="GD88" s="155"/>
      <c r="GE88" s="153">
        <v>82574.7</v>
      </c>
      <c r="GF88" s="124"/>
      <c r="GG88" s="147"/>
      <c r="GH88" s="147"/>
      <c r="GI88" s="155"/>
      <c r="GJ88" s="98">
        <f>GE88/AD88</f>
        <v>13762.449999999999</v>
      </c>
      <c r="GK88" s="124"/>
      <c r="GL88" s="153">
        <v>10920</v>
      </c>
      <c r="GM88" s="124"/>
      <c r="GN88" s="124"/>
      <c r="GO88" s="148">
        <f>GL88/FQ88</f>
        <v>7.0356300542014125E-2</v>
      </c>
      <c r="GP88" s="153">
        <v>60000</v>
      </c>
      <c r="GQ88" s="124">
        <v>1715.28</v>
      </c>
      <c r="GR88" s="149">
        <f>GM88-GL88</f>
        <v>-10920</v>
      </c>
      <c r="GS88" s="98">
        <f>GL88/AD88</f>
        <v>1820</v>
      </c>
      <c r="GT88" s="138">
        <f>(GA88+GL88)/AD88</f>
        <v>1820</v>
      </c>
      <c r="GU88" s="149">
        <f>GR88/AD88</f>
        <v>-1820</v>
      </c>
      <c r="GV88" s="150"/>
      <c r="GW88" s="150"/>
      <c r="GX88" s="151"/>
      <c r="GY88" s="151"/>
      <c r="GZ88" s="98">
        <f>(GA88+GL88+GY88)/AD88</f>
        <v>1820</v>
      </c>
      <c r="HA88" s="151"/>
      <c r="HB88" s="98">
        <f>(GB88+GL88+GY88+HA88)/AD88</f>
        <v>1820</v>
      </c>
      <c r="HC88" s="99">
        <f>(GA88+GL88+GY88+HA88)/(GX88+FQ88-HD88)</f>
        <v>7.0356300542014125E-2</v>
      </c>
      <c r="HD88" s="151"/>
      <c r="HE88" s="151"/>
      <c r="HF88" s="124"/>
      <c r="HG88" s="77">
        <f>FQ88+GX88</f>
        <v>155209.97999999998</v>
      </c>
      <c r="HH88" s="491"/>
      <c r="HI88" s="491"/>
      <c r="HJ88" s="494"/>
      <c r="HK88" s="505">
        <f>$HK$1*HH88</f>
        <v>0</v>
      </c>
      <c r="HL88" s="474">
        <v>42702</v>
      </c>
      <c r="HM88" s="474">
        <f>DATE(YEAR(HL88),MONTH(HL88),DAY(HL88)+21)</f>
        <v>42723</v>
      </c>
      <c r="HN88" s="474">
        <v>42720</v>
      </c>
      <c r="HO88" s="497">
        <f>IF(AND(HM88&gt;0,HN88&gt;0),HN88-HM88,"0")</f>
        <v>-3</v>
      </c>
      <c r="HP88" s="464">
        <f>DATE(YEAR(HL88),MONTH(HL88),DAY(HL88)+21)</f>
        <v>42723</v>
      </c>
      <c r="HQ88" s="481">
        <f>IF(AND(HN88&gt;0,HP88&gt;0),HP88-HN88,"0")</f>
        <v>3</v>
      </c>
      <c r="HR88" s="497">
        <f>+HQ88-30</f>
        <v>-27</v>
      </c>
      <c r="HS88" s="506">
        <f>IF(AND(HL88&gt;0,HP88&gt;0),HP88-HL88,"0")</f>
        <v>21</v>
      </c>
      <c r="HT88" s="450">
        <f>DATE(YEAR(HP88),MONTH(HP88),DAY(HP88)+30)</f>
        <v>42753</v>
      </c>
      <c r="HU88" s="497">
        <f>IF(AND(HP88&gt;0,HT88&gt;0),HT88-HP88,"0")</f>
        <v>30</v>
      </c>
      <c r="HV88" s="450">
        <f>DATE(YEAR(HT88),MONTH(HT88),DAY(HT88)+30)</f>
        <v>42783</v>
      </c>
      <c r="HW88" s="450">
        <f ca="1">IF(HV88&lt;TODAY(),TODAY(),HV88)</f>
        <v>42789</v>
      </c>
      <c r="HX88" s="497">
        <f ca="1">IF(AND(HV88&gt;0,HW88&gt;0),HW88-HV88,"0")</f>
        <v>6</v>
      </c>
      <c r="HY88" s="206">
        <f>DATE(YEAR(HV88),MONTH(HV88),DAY(HV88)+30)</f>
        <v>42813</v>
      </c>
      <c r="HZ88" s="481">
        <f ca="1">IF(AND(HW88&gt;0,HY88&gt;0),HY88-HW88,"0")</f>
        <v>24</v>
      </c>
      <c r="IA88" s="497">
        <f ca="1">+HZ88-30</f>
        <v>-6</v>
      </c>
      <c r="IB88" s="506">
        <f>IF(AND(HT88&gt;0,HY88&gt;0),HY88-HT88,"0")</f>
        <v>60</v>
      </c>
      <c r="IC88" s="490"/>
      <c r="ID88" s="505">
        <f>$ID$1*HH88</f>
        <v>0</v>
      </c>
      <c r="IE88" s="450">
        <f>DATE(YEAR(HY88),MONTH(HY88),DAY(HY88)+15)</f>
        <v>42828</v>
      </c>
      <c r="IF88" s="450">
        <f>DATE(YEAR(IE88),MONTH(IE88),DAY(IE88)+7)</f>
        <v>42835</v>
      </c>
      <c r="IG88" s="494"/>
      <c r="IH88" s="505">
        <f>$IH$1*HH88</f>
        <v>0</v>
      </c>
      <c r="II88" s="206">
        <f>DATE(YEAR(IF88),MONTH(IF88),DAY(IF88)+21)</f>
        <v>42856</v>
      </c>
      <c r="IJ88" s="497">
        <f>IF(AND(HY88&gt;0,II88&gt;0),II88-HY88,"0")</f>
        <v>43</v>
      </c>
      <c r="IK88" s="206">
        <f>DATE(YEAR(II88),MONTH(II88),DAY(II88)+30)</f>
        <v>42886</v>
      </c>
      <c r="IL88" s="206">
        <f ca="1">IF(IK88&lt;TODAY(),TODAY(),IK88)</f>
        <v>42886</v>
      </c>
      <c r="IM88" s="497"/>
      <c r="IN88" s="206"/>
      <c r="IO88" s="481"/>
      <c r="IP88" s="497"/>
      <c r="IQ88" s="506"/>
      <c r="IR88" s="490"/>
      <c r="IS88" s="491"/>
      <c r="IT88" s="206">
        <f>IN88</f>
        <v>0</v>
      </c>
      <c r="IU88" s="498" t="str">
        <f>IF(AND(IN88&gt;0,IT88&gt;0),IT88-IN88,"0")</f>
        <v>0</v>
      </c>
      <c r="IV88" s="206">
        <f>DATE(YEAR(IT88),MONTH(IT88),DAY(IT88)+30)</f>
        <v>30</v>
      </c>
      <c r="IW88" s="206">
        <f ca="1">IF(IV88&lt;TODAY(),TODAY(),IV88)</f>
        <v>42789</v>
      </c>
      <c r="IX88" s="498">
        <f ca="1">IF(AND(IV88&gt;0,IW88&gt;0),IW88-IV88,"0")</f>
        <v>42759</v>
      </c>
      <c r="IY88" s="206">
        <f>DATE(YEAR(IV88),MONTH(IV88),DAY(IV88)+30)</f>
        <v>60</v>
      </c>
      <c r="IZ88" s="482">
        <f ca="1">IF(AND(IW88&gt;0,IY88&gt;0),IY88-IW88,"0")</f>
        <v>-42729</v>
      </c>
      <c r="JA88" s="498">
        <f ca="1">IZ88-30</f>
        <v>-42759</v>
      </c>
      <c r="JB88" s="508" t="str">
        <f>IF(AND(IT88&gt;0,IY88&gt;0),IY88-IT88,"0")</f>
        <v>0</v>
      </c>
      <c r="JC88" s="490"/>
      <c r="JD88" s="505"/>
      <c r="JE88" s="502">
        <f>IY88</f>
        <v>60</v>
      </c>
      <c r="JF88" s="487">
        <f>IF(AND(IY88&gt;0,JE88&gt;0),JE88-IY88,"0")</f>
        <v>0</v>
      </c>
      <c r="JG88" s="502">
        <f>DATE(YEAR(JE88),MONTH(JE88),DAY(JE88)+15)</f>
        <v>75</v>
      </c>
      <c r="JH88" s="502">
        <f ca="1">IF(JG88&lt;TODAY(),TODAY(),JG88)</f>
        <v>42789</v>
      </c>
      <c r="JI88" s="487">
        <f ca="1">IF(AND(JG88&gt;0,JH88&gt;0),JH88-JG88,"0")</f>
        <v>42714</v>
      </c>
      <c r="JJ88" s="502">
        <f ca="1">DATE(YEAR(JH88),MONTH(JH88),DAY(JH88)+45)</f>
        <v>42834</v>
      </c>
      <c r="JK88" s="502">
        <f ca="1">JJ88</f>
        <v>42834</v>
      </c>
      <c r="JL88" s="487">
        <f ca="1">IF(AND(JJ88&gt;0,JK88&gt;0),JK88-JJ88,"0")</f>
        <v>0</v>
      </c>
      <c r="JM88" s="509">
        <f ca="1">IF(AND(JE88&gt;0,JK88&gt;0),JK88-JE88,"0")</f>
        <v>42774</v>
      </c>
      <c r="JN88" s="502">
        <f ca="1">DATE(YEAR(JK88),MONTH(JK88),DAY(JK88)+60)</f>
        <v>42894</v>
      </c>
      <c r="JO88" s="501">
        <f ca="1">IF(AND(JK88&gt;0,JN88&gt;0),JN88-JK88,"0")</f>
        <v>60</v>
      </c>
      <c r="JP88" s="498">
        <f ca="1">JO88-60</f>
        <v>0</v>
      </c>
      <c r="JQ88" s="482">
        <f>291/30</f>
        <v>9.6999999999999993</v>
      </c>
      <c r="JR88" s="504">
        <f ca="1">((+HS88+HU88+IB88+IJ88+IQ88+IU88+JB88+JM88+JF88)/30)-JQ88</f>
        <v>1421.2333333333333</v>
      </c>
      <c r="JS88" s="490"/>
      <c r="JT88" s="505"/>
      <c r="JU88" s="490"/>
      <c r="JV88" s="505"/>
      <c r="JW88" s="586"/>
      <c r="JX88" s="586"/>
      <c r="JY88" s="586"/>
      <c r="JZ88" s="586"/>
    </row>
    <row r="89" spans="1:286" ht="63" customHeight="1" x14ac:dyDescent="0.25">
      <c r="A89" s="552" t="s">
        <v>842</v>
      </c>
      <c r="B89" s="110" t="s">
        <v>46</v>
      </c>
      <c r="C89" s="110" t="s">
        <v>157</v>
      </c>
      <c r="D89" s="110">
        <v>2017</v>
      </c>
      <c r="E89" s="110"/>
      <c r="F89" s="110" t="s">
        <v>834</v>
      </c>
      <c r="G89" s="110" t="s">
        <v>276</v>
      </c>
      <c r="H89" s="110"/>
      <c r="I89" s="110"/>
      <c r="J89" s="110" t="s">
        <v>843</v>
      </c>
      <c r="K89" s="453" t="s">
        <v>892</v>
      </c>
      <c r="L89" s="309" t="s">
        <v>80</v>
      </c>
      <c r="M89" s="310" t="s">
        <v>917</v>
      </c>
      <c r="N89" s="311">
        <v>34008</v>
      </c>
      <c r="O89" s="379"/>
      <c r="P89" s="379"/>
      <c r="Q89" s="379"/>
      <c r="R89" s="379"/>
      <c r="S89" s="379"/>
      <c r="T89" s="387"/>
      <c r="U89" s="387"/>
      <c r="V89" s="387"/>
      <c r="W89" s="379"/>
      <c r="X89" s="380"/>
      <c r="Y89" s="381"/>
      <c r="Z89" s="380"/>
      <c r="AA89" s="380"/>
      <c r="AB89" s="381"/>
      <c r="AC89" s="110" t="s">
        <v>833</v>
      </c>
      <c r="AD89" s="342">
        <v>45</v>
      </c>
      <c r="AE89" s="121"/>
      <c r="AF89" s="110"/>
      <c r="AG89" s="114"/>
      <c r="AH89" s="152"/>
      <c r="AI89" s="114"/>
      <c r="AJ89" s="135"/>
      <c r="AK89" s="135"/>
      <c r="AL89" s="135"/>
      <c r="AM89" s="135"/>
      <c r="AN89" s="135"/>
      <c r="AO89" s="114"/>
      <c r="AP89" s="133"/>
      <c r="AQ89" s="135"/>
      <c r="AR89" s="114"/>
      <c r="AS89" s="110"/>
      <c r="AT89" s="110"/>
      <c r="AU89" s="110"/>
      <c r="AV89" s="110"/>
      <c r="AW89" s="415"/>
      <c r="AX89" s="110"/>
      <c r="AY89" s="110"/>
      <c r="AZ89" s="464"/>
      <c r="BA89" s="110"/>
      <c r="BB89" s="540"/>
      <c r="BC89" s="540"/>
      <c r="BD89" s="110"/>
      <c r="BE89" s="110"/>
      <c r="BF89" s="110"/>
      <c r="BG89" s="110"/>
      <c r="BH89" s="110"/>
      <c r="BI89" s="110"/>
      <c r="BJ89" s="110"/>
      <c r="BK89" s="110"/>
      <c r="BL89" s="110"/>
      <c r="BM89" s="110"/>
      <c r="BN89" s="196"/>
      <c r="BO89" s="196"/>
      <c r="BP89" s="196"/>
      <c r="BQ89" s="196"/>
      <c r="BR89" s="196"/>
      <c r="BS89" s="196"/>
      <c r="BT89" s="158"/>
      <c r="BU89" s="376"/>
      <c r="BV89" s="160"/>
      <c r="BW89" s="160"/>
      <c r="BX89" s="160"/>
      <c r="BY89" s="160"/>
      <c r="BZ89" s="376"/>
      <c r="CA89" s="160"/>
      <c r="CB89" s="302"/>
      <c r="CC89" s="374"/>
      <c r="CD89" s="302"/>
      <c r="CE89" s="302"/>
      <c r="CF89" s="161"/>
      <c r="CG89" s="336">
        <f>DATE(YEAR(CF89),MONTH(CF89)+24,DAY(CF89))</f>
        <v>731</v>
      </c>
      <c r="CH89" s="336">
        <f>DATE(YEAR(CF89),MONTH(CF89)+36,DAY(CF89))</f>
        <v>1096</v>
      </c>
      <c r="CI89" s="336"/>
      <c r="CJ89" s="302"/>
      <c r="CK89" s="308"/>
      <c r="CL89" s="161"/>
      <c r="CM89" s="371"/>
      <c r="CN89" s="161"/>
      <c r="CO89" s="161"/>
      <c r="CP89" s="162"/>
      <c r="CQ89" s="367"/>
      <c r="CR89" s="162"/>
      <c r="CS89" s="162"/>
      <c r="CT89" s="162"/>
      <c r="CU89" s="367"/>
      <c r="CV89" s="162"/>
      <c r="CW89" s="162"/>
      <c r="CX89" s="162"/>
      <c r="CY89" s="367"/>
      <c r="CZ89" s="162"/>
      <c r="DA89" s="162"/>
      <c r="DB89" s="299"/>
      <c r="DC89" s="299"/>
      <c r="DD89" s="299"/>
      <c r="DE89" s="312"/>
      <c r="DF89" s="312"/>
      <c r="DG89" s="312"/>
      <c r="DH89" s="312"/>
      <c r="DI89" s="312"/>
      <c r="DJ89" s="312"/>
      <c r="DK89" s="293"/>
      <c r="DL89" s="293"/>
      <c r="DM89" s="293"/>
      <c r="DN89" s="293"/>
      <c r="DO89" s="293"/>
      <c r="DP89" s="293"/>
      <c r="DQ89" s="443"/>
      <c r="DR89" s="443"/>
      <c r="DS89" s="443"/>
      <c r="DT89" s="298"/>
      <c r="DU89" s="443"/>
      <c r="DV89" s="443"/>
      <c r="DW89" s="443"/>
      <c r="DX89" s="423"/>
      <c r="DY89" s="423"/>
      <c r="DZ89" s="423"/>
      <c r="EA89" s="434"/>
      <c r="EB89" s="423"/>
      <c r="EC89" s="430"/>
      <c r="ED89" s="430"/>
      <c r="EE89" s="422"/>
      <c r="EF89" s="422"/>
      <c r="EG89" s="423"/>
      <c r="EH89" s="423"/>
      <c r="EI89" s="431"/>
      <c r="EJ89" s="431"/>
      <c r="EK89" s="423"/>
      <c r="EL89" s="423"/>
      <c r="EM89" s="423"/>
      <c r="EN89" s="210"/>
      <c r="EO89" s="210"/>
      <c r="EP89" s="423"/>
      <c r="EQ89" s="423"/>
      <c r="ER89" s="423"/>
      <c r="ES89" s="423"/>
      <c r="ET89" s="423"/>
      <c r="EU89" s="334"/>
      <c r="EV89" s="206"/>
      <c r="EW89" s="206"/>
      <c r="EX89" s="209"/>
      <c r="EY89" s="434"/>
      <c r="EZ89" s="212"/>
      <c r="FA89" s="212"/>
      <c r="FB89" s="212"/>
      <c r="FC89" s="212"/>
      <c r="FD89" s="110"/>
      <c r="FE89" s="110"/>
      <c r="FF89" s="110"/>
      <c r="FG89" s="110"/>
      <c r="FH89" s="110"/>
      <c r="FI89" s="110"/>
      <c r="FJ89" s="110"/>
      <c r="FK89" s="110"/>
      <c r="FL89" s="110"/>
      <c r="FM89" s="110"/>
      <c r="FN89" s="110"/>
      <c r="FO89" s="110"/>
      <c r="FP89" s="199"/>
      <c r="FQ89" s="153">
        <f>+GA89+GE89+GL89+HF89+GQ89+GP89</f>
        <v>2090128.02</v>
      </c>
      <c r="FR89" s="124"/>
      <c r="FS89" s="154"/>
      <c r="FT89" s="98" t="e">
        <f>FQ89/AG89</f>
        <v>#DIV/0!</v>
      </c>
      <c r="FU89" s="98">
        <f>FQ89/AD89</f>
        <v>46447.289333333334</v>
      </c>
      <c r="FV89" s="153"/>
      <c r="FW89" s="124"/>
      <c r="FX89" s="154"/>
      <c r="FY89" s="232"/>
      <c r="FZ89" s="232"/>
      <c r="GA89" s="609"/>
      <c r="GB89" s="124"/>
      <c r="GC89" s="98">
        <f>GA89/AD89</f>
        <v>0</v>
      </c>
      <c r="GD89" s="155"/>
      <c r="GE89" s="153">
        <v>1398465.18</v>
      </c>
      <c r="GF89" s="124"/>
      <c r="GG89" s="147"/>
      <c r="GH89" s="147"/>
      <c r="GI89" s="155"/>
      <c r="GJ89" s="98">
        <f>GE89/AD89</f>
        <v>31077.003999999997</v>
      </c>
      <c r="GK89" s="124"/>
      <c r="GL89" s="153">
        <v>281250</v>
      </c>
      <c r="GM89" s="124"/>
      <c r="GN89" s="124"/>
      <c r="GO89" s="148">
        <f>GL89/FQ89</f>
        <v>0.1345611356379979</v>
      </c>
      <c r="GP89" s="153">
        <v>400000</v>
      </c>
      <c r="GQ89" s="124">
        <f>2082.84+8330</f>
        <v>10412.84</v>
      </c>
      <c r="GR89" s="149">
        <f>GM89-GL89</f>
        <v>-281250</v>
      </c>
      <c r="GS89" s="98">
        <f>GL89/AD89</f>
        <v>6250</v>
      </c>
      <c r="GT89" s="138">
        <f>(GA89+GL89)/AD89</f>
        <v>6250</v>
      </c>
      <c r="GU89" s="149">
        <f>GR89/AD89</f>
        <v>-6250</v>
      </c>
      <c r="GV89" s="150"/>
      <c r="GW89" s="150"/>
      <c r="GX89" s="151"/>
      <c r="GY89" s="151"/>
      <c r="GZ89" s="98">
        <f>(GA89+GL89+GY89)/AD89</f>
        <v>6250</v>
      </c>
      <c r="HA89" s="151"/>
      <c r="HB89" s="98">
        <f>(GB89+GL89+GY89+HA89)/AD89</f>
        <v>6250</v>
      </c>
      <c r="HC89" s="99">
        <f>(GA89+GL89+GY89+HA89)/(GX89+FQ89-HD89)</f>
        <v>0.1345611356379979</v>
      </c>
      <c r="HD89" s="151"/>
      <c r="HE89" s="151"/>
      <c r="HF89" s="124"/>
      <c r="HG89" s="77">
        <f>FQ89+GX89</f>
        <v>2090128.02</v>
      </c>
      <c r="HH89" s="491"/>
      <c r="HI89" s="491"/>
      <c r="HJ89" s="494"/>
      <c r="HK89" s="505">
        <f>$HK$1*HH89</f>
        <v>0</v>
      </c>
      <c r="HL89" s="474">
        <v>42690</v>
      </c>
      <c r="HM89" s="474">
        <f>DATE(YEAR(HL89),MONTH(HL89),DAY(HL89)+20)</f>
        <v>42710</v>
      </c>
      <c r="HN89" s="474">
        <v>42719</v>
      </c>
      <c r="HO89" s="497">
        <f>IF(AND(HM89&gt;0,HN89&gt;0),HN89-HM89,"0")</f>
        <v>9</v>
      </c>
      <c r="HP89" s="474">
        <v>42766</v>
      </c>
      <c r="HQ89" s="481">
        <f>IF(AND(HN89&gt;0,HP89&gt;0),HP89-HN89,"0")</f>
        <v>47</v>
      </c>
      <c r="HR89" s="497">
        <f>+HQ89-30</f>
        <v>17</v>
      </c>
      <c r="HS89" s="506">
        <f>IF(AND(HL89&gt;0,HP89&gt;0),HP89-HL89,"0")</f>
        <v>76</v>
      </c>
      <c r="HT89" s="450">
        <f>DATE(YEAR(HP89),MONTH(HP89),DAY(HP89)+30)</f>
        <v>42796</v>
      </c>
      <c r="HU89" s="497">
        <f>IF(AND(HP89&gt;0,HT89&gt;0),HT89-HP89,"0")</f>
        <v>30</v>
      </c>
      <c r="HV89" s="450">
        <f>DATE(YEAR(HT89),MONTH(HT89),DAY(HT89)+30)</f>
        <v>42826</v>
      </c>
      <c r="HW89" s="450">
        <f ca="1">IF(HV89&lt;TODAY(),TODAY(),HV89)</f>
        <v>42826</v>
      </c>
      <c r="HX89" s="497">
        <f ca="1">IF(AND(HV89&gt;0,HW89&gt;0),HW89-HV89,"0")</f>
        <v>0</v>
      </c>
      <c r="HY89" s="206">
        <f>DATE(YEAR(HV89),MONTH(HV89),DAY(HV89)+30)</f>
        <v>42856</v>
      </c>
      <c r="HZ89" s="481">
        <f ca="1">IF(AND(HW89&gt;0,HY89&gt;0),HY89-HW89,"0")</f>
        <v>30</v>
      </c>
      <c r="IA89" s="497">
        <f ca="1">+HZ89-30</f>
        <v>0</v>
      </c>
      <c r="IB89" s="506">
        <f>IF(AND(HT89&gt;0,HY89&gt;0),HY89-HT89,"0")</f>
        <v>60</v>
      </c>
      <c r="IC89" s="490"/>
      <c r="ID89" s="505">
        <f>$ID$1*HH89</f>
        <v>0</v>
      </c>
      <c r="IE89" s="450">
        <f>DATE(YEAR(HY89),MONTH(HY89),DAY(HY89)+15)</f>
        <v>42871</v>
      </c>
      <c r="IF89" s="450">
        <f>DATE(YEAR(IE89),MONTH(IE89),DAY(IE89)+7)</f>
        <v>42878</v>
      </c>
      <c r="IG89" s="494"/>
      <c r="IH89" s="505">
        <f>$IH$1*HH89</f>
        <v>0</v>
      </c>
      <c r="II89" s="206">
        <f>DATE(YEAR(IF89),MONTH(IF89),DAY(IF89)+21)</f>
        <v>42899</v>
      </c>
      <c r="IJ89" s="497">
        <f>IF(AND(HY89&gt;0,II89&gt;0),II89-HY89,"0")</f>
        <v>43</v>
      </c>
      <c r="IK89" s="206">
        <f>DATE(YEAR(II89),MONTH(II89),DAY(II89)+30)</f>
        <v>42929</v>
      </c>
      <c r="IL89" s="206">
        <f ca="1">IF(IK89&lt;TODAY(),TODAY(),IK89)</f>
        <v>42929</v>
      </c>
      <c r="IM89" s="497"/>
      <c r="IN89" s="206"/>
      <c r="IO89" s="481"/>
      <c r="IP89" s="497"/>
      <c r="IQ89" s="506"/>
      <c r="IR89" s="490"/>
      <c r="IS89" s="491"/>
      <c r="IT89" s="206">
        <f>IN89</f>
        <v>0</v>
      </c>
      <c r="IU89" s="498" t="str">
        <f>IF(AND(IN89&gt;0,IT89&gt;0),IT89-IN89,"0")</f>
        <v>0</v>
      </c>
      <c r="IV89" s="206">
        <f>DATE(YEAR(IT89),MONTH(IT89),DAY(IT89)+30)</f>
        <v>30</v>
      </c>
      <c r="IW89" s="206">
        <f ca="1">IF(IV89&lt;TODAY(),TODAY(),IV89)</f>
        <v>42789</v>
      </c>
      <c r="IX89" s="498">
        <f ca="1">IF(AND(IV89&gt;0,IW89&gt;0),IW89-IV89,"0")</f>
        <v>42759</v>
      </c>
      <c r="IY89" s="206">
        <f>DATE(YEAR(IV89),MONTH(IV89),DAY(IV89)+30)</f>
        <v>60</v>
      </c>
      <c r="IZ89" s="482">
        <f ca="1">IF(AND(IW89&gt;0,IY89&gt;0),IY89-IW89,"0")</f>
        <v>-42729</v>
      </c>
      <c r="JA89" s="498">
        <f ca="1">IZ89-30</f>
        <v>-42759</v>
      </c>
      <c r="JB89" s="508" t="str">
        <f>IF(AND(IT89&gt;0,IY89&gt;0),IY89-IT89,"0")</f>
        <v>0</v>
      </c>
      <c r="JC89" s="490"/>
      <c r="JD89" s="505"/>
      <c r="JE89" s="502">
        <f>IY89</f>
        <v>60</v>
      </c>
      <c r="JF89" s="487">
        <f>IF(AND(IY89&gt;0,JE89&gt;0),JE89-IY89,"0")</f>
        <v>0</v>
      </c>
      <c r="JG89" s="502">
        <f>DATE(YEAR(JE89),MONTH(JE89),DAY(JE89)+15)</f>
        <v>75</v>
      </c>
      <c r="JH89" s="502">
        <f ca="1">IF(JG89&lt;TODAY(),TODAY(),JG89)</f>
        <v>42789</v>
      </c>
      <c r="JI89" s="487">
        <f ca="1">IF(AND(JG89&gt;0,JH89&gt;0),JH89-JG89,"0")</f>
        <v>42714</v>
      </c>
      <c r="JJ89" s="502">
        <f ca="1">DATE(YEAR(JH89),MONTH(JH89),DAY(JH89)+45)</f>
        <v>42834</v>
      </c>
      <c r="JK89" s="502">
        <f ca="1">JJ89</f>
        <v>42834</v>
      </c>
      <c r="JL89" s="487">
        <f ca="1">IF(AND(JJ89&gt;0,JK89&gt;0),JK89-JJ89,"0")</f>
        <v>0</v>
      </c>
      <c r="JM89" s="509">
        <f ca="1">IF(AND(JE89&gt;0,JK89&gt;0),JK89-JE89,"0")</f>
        <v>42774</v>
      </c>
      <c r="JN89" s="502">
        <f ca="1">DATE(YEAR(JK89),MONTH(JK89),DAY(JK89)+60)</f>
        <v>42894</v>
      </c>
      <c r="JO89" s="501">
        <f ca="1">IF(AND(JK89&gt;0,JN89&gt;0),JN89-JK89,"0")</f>
        <v>60</v>
      </c>
      <c r="JP89" s="498">
        <f ca="1">JO89-60</f>
        <v>0</v>
      </c>
      <c r="JQ89" s="482">
        <f>291/30</f>
        <v>9.6999999999999993</v>
      </c>
      <c r="JR89" s="504">
        <f ca="1">((+HS89+HU89+IB89+IJ89+IQ89+IU89+JB89+JM89+JF89)/30)-JQ89</f>
        <v>1423.0666666666666</v>
      </c>
      <c r="JS89" s="490"/>
      <c r="JT89" s="491"/>
      <c r="JU89" s="490"/>
      <c r="JV89" s="491"/>
      <c r="JW89" s="586"/>
      <c r="JX89" s="586"/>
      <c r="JY89" s="586"/>
      <c r="JZ89" s="586"/>
    </row>
    <row r="90" spans="1:286" ht="63" customHeight="1" x14ac:dyDescent="0.25">
      <c r="A90" s="552" t="s">
        <v>840</v>
      </c>
      <c r="B90" s="110" t="s">
        <v>46</v>
      </c>
      <c r="C90" s="110" t="s">
        <v>157</v>
      </c>
      <c r="D90" s="110">
        <v>2017</v>
      </c>
      <c r="E90" s="110"/>
      <c r="F90" s="110" t="s">
        <v>834</v>
      </c>
      <c r="G90" s="110" t="s">
        <v>277</v>
      </c>
      <c r="H90" s="110"/>
      <c r="I90" s="110"/>
      <c r="J90" s="110" t="s">
        <v>841</v>
      </c>
      <c r="K90" s="453" t="s">
        <v>951</v>
      </c>
      <c r="L90" s="309"/>
      <c r="M90" s="310"/>
      <c r="N90" s="311"/>
      <c r="O90" s="379"/>
      <c r="P90" s="379"/>
      <c r="Q90" s="379"/>
      <c r="R90" s="379"/>
      <c r="S90" s="379"/>
      <c r="T90" s="387"/>
      <c r="U90" s="387"/>
      <c r="V90" s="387"/>
      <c r="W90" s="379"/>
      <c r="X90" s="380"/>
      <c r="Y90" s="381"/>
      <c r="Z90" s="380"/>
      <c r="AA90" s="380"/>
      <c r="AB90" s="381"/>
      <c r="AC90" s="110" t="s">
        <v>833</v>
      </c>
      <c r="AD90" s="342">
        <v>74</v>
      </c>
      <c r="AE90" s="121"/>
      <c r="AF90" s="110"/>
      <c r="AG90" s="114"/>
      <c r="AH90" s="152"/>
      <c r="AI90" s="114"/>
      <c r="AJ90" s="135"/>
      <c r="AK90" s="135"/>
      <c r="AL90" s="135"/>
      <c r="AM90" s="135"/>
      <c r="AN90" s="135"/>
      <c r="AO90" s="114"/>
      <c r="AP90" s="133"/>
      <c r="AQ90" s="135"/>
      <c r="AR90" s="114"/>
      <c r="AS90" s="110"/>
      <c r="AT90" s="110"/>
      <c r="AU90" s="110"/>
      <c r="AV90" s="110"/>
      <c r="AW90" s="415"/>
      <c r="AX90" s="110"/>
      <c r="AY90" s="110"/>
      <c r="AZ90" s="464"/>
      <c r="BA90" s="110"/>
      <c r="BB90" s="540"/>
      <c r="BC90" s="540"/>
      <c r="BD90" s="110"/>
      <c r="BE90" s="110"/>
      <c r="BF90" s="110"/>
      <c r="BG90" s="110"/>
      <c r="BH90" s="110"/>
      <c r="BI90" s="110"/>
      <c r="BJ90" s="110"/>
      <c r="BK90" s="110"/>
      <c r="BL90" s="110"/>
      <c r="BM90" s="110"/>
      <c r="BN90" s="196"/>
      <c r="BO90" s="196"/>
      <c r="BP90" s="196"/>
      <c r="BQ90" s="196"/>
      <c r="BR90" s="196"/>
      <c r="BS90" s="196"/>
      <c r="BT90" s="158"/>
      <c r="BU90" s="376"/>
      <c r="BV90" s="160"/>
      <c r="BW90" s="160"/>
      <c r="BX90" s="160"/>
      <c r="BY90" s="160"/>
      <c r="BZ90" s="376"/>
      <c r="CA90" s="160"/>
      <c r="CB90" s="302"/>
      <c r="CC90" s="374"/>
      <c r="CD90" s="302"/>
      <c r="CE90" s="302"/>
      <c r="CF90" s="161"/>
      <c r="CG90" s="336">
        <f>DATE(YEAR(CF90),MONTH(CF90)+24,DAY(CF90))</f>
        <v>731</v>
      </c>
      <c r="CH90" s="336">
        <f>DATE(YEAR(CF90),MONTH(CF90)+36,DAY(CF90))</f>
        <v>1096</v>
      </c>
      <c r="CI90" s="336"/>
      <c r="CJ90" s="302"/>
      <c r="CK90" s="308"/>
      <c r="CL90" s="161"/>
      <c r="CM90" s="371"/>
      <c r="CN90" s="161"/>
      <c r="CO90" s="161"/>
      <c r="CP90" s="162"/>
      <c r="CQ90" s="367"/>
      <c r="CR90" s="162"/>
      <c r="CS90" s="162"/>
      <c r="CT90" s="162"/>
      <c r="CU90" s="367"/>
      <c r="CV90" s="162"/>
      <c r="CW90" s="162"/>
      <c r="CX90" s="162"/>
      <c r="CY90" s="367"/>
      <c r="CZ90" s="162"/>
      <c r="DA90" s="162"/>
      <c r="DB90" s="299"/>
      <c r="DC90" s="299"/>
      <c r="DD90" s="299"/>
      <c r="DE90" s="312"/>
      <c r="DF90" s="312"/>
      <c r="DG90" s="312"/>
      <c r="DH90" s="312"/>
      <c r="DI90" s="312"/>
      <c r="DJ90" s="312"/>
      <c r="DK90" s="293"/>
      <c r="DL90" s="293"/>
      <c r="DM90" s="293"/>
      <c r="DN90" s="293"/>
      <c r="DO90" s="293"/>
      <c r="DP90" s="293"/>
      <c r="DQ90" s="443"/>
      <c r="DR90" s="443"/>
      <c r="DS90" s="443"/>
      <c r="DT90" s="298"/>
      <c r="DU90" s="443"/>
      <c r="DV90" s="443"/>
      <c r="DW90" s="443"/>
      <c r="DX90" s="423"/>
      <c r="DY90" s="423"/>
      <c r="DZ90" s="423"/>
      <c r="EA90" s="434"/>
      <c r="EB90" s="423"/>
      <c r="EC90" s="430"/>
      <c r="ED90" s="430"/>
      <c r="EE90" s="422"/>
      <c r="EF90" s="422"/>
      <c r="EG90" s="423"/>
      <c r="EH90" s="423"/>
      <c r="EI90" s="431"/>
      <c r="EJ90" s="431"/>
      <c r="EK90" s="423"/>
      <c r="EL90" s="423"/>
      <c r="EM90" s="423"/>
      <c r="EN90" s="210"/>
      <c r="EO90" s="210"/>
      <c r="EP90" s="423"/>
      <c r="EQ90" s="423"/>
      <c r="ER90" s="423"/>
      <c r="ES90" s="423"/>
      <c r="ET90" s="423"/>
      <c r="EU90" s="334"/>
      <c r="EV90" s="206"/>
      <c r="EW90" s="206"/>
      <c r="EX90" s="209"/>
      <c r="EY90" s="434"/>
      <c r="EZ90" s="212"/>
      <c r="FA90" s="212"/>
      <c r="FB90" s="212"/>
      <c r="FC90" s="212"/>
      <c r="FD90" s="110"/>
      <c r="FE90" s="110"/>
      <c r="FF90" s="110"/>
      <c r="FG90" s="110"/>
      <c r="FH90" s="110"/>
      <c r="FI90" s="110"/>
      <c r="FJ90" s="110"/>
      <c r="FK90" s="110"/>
      <c r="FL90" s="110"/>
      <c r="FM90" s="110"/>
      <c r="FN90" s="110"/>
      <c r="FO90" s="110"/>
      <c r="FP90" s="199"/>
      <c r="FQ90" s="153">
        <f>+GA90+GE90+GL90+HF90+GQ90+GP90</f>
        <v>3419294</v>
      </c>
      <c r="FR90" s="124"/>
      <c r="FS90" s="154"/>
      <c r="FT90" s="98" t="e">
        <f>FQ90/AG90</f>
        <v>#DIV/0!</v>
      </c>
      <c r="FU90" s="98">
        <f>FQ90/AD90</f>
        <v>46206.675675675673</v>
      </c>
      <c r="FV90" s="153"/>
      <c r="FW90" s="124"/>
      <c r="FX90" s="154"/>
      <c r="FY90" s="232"/>
      <c r="FZ90" s="232"/>
      <c r="GA90" s="609"/>
      <c r="GB90" s="124"/>
      <c r="GC90" s="98">
        <f>GA90/AD90</f>
        <v>0</v>
      </c>
      <c r="GD90" s="155"/>
      <c r="GE90" s="153">
        <v>2434712</v>
      </c>
      <c r="GF90" s="124"/>
      <c r="GG90" s="147"/>
      <c r="GH90" s="147"/>
      <c r="GI90" s="155"/>
      <c r="GJ90" s="98">
        <f>GE90/AD90</f>
        <v>32901.513513513513</v>
      </c>
      <c r="GK90" s="124"/>
      <c r="GL90" s="153">
        <v>462500</v>
      </c>
      <c r="GM90" s="124"/>
      <c r="GN90" s="124"/>
      <c r="GO90" s="148">
        <f>GL90/FQ90</f>
        <v>0.1352618406021828</v>
      </c>
      <c r="GP90" s="153">
        <v>520000</v>
      </c>
      <c r="GQ90" s="124">
        <v>2082</v>
      </c>
      <c r="GR90" s="149">
        <f>GM90-GL90</f>
        <v>-462500</v>
      </c>
      <c r="GS90" s="98">
        <f>GL90/AD90</f>
        <v>6250</v>
      </c>
      <c r="GT90" s="138">
        <f>(GA90+GL90)/AD90</f>
        <v>6250</v>
      </c>
      <c r="GU90" s="149">
        <f>GR90/AD90</f>
        <v>-6250</v>
      </c>
      <c r="GV90" s="150"/>
      <c r="GW90" s="150"/>
      <c r="GX90" s="151"/>
      <c r="GY90" s="151"/>
      <c r="GZ90" s="98">
        <f>(GA90+GL90+GY90)/AD90</f>
        <v>6250</v>
      </c>
      <c r="HA90" s="151"/>
      <c r="HB90" s="98">
        <f>(GB90+GL90+GY90+HA90)/AD90</f>
        <v>6250</v>
      </c>
      <c r="HC90" s="99">
        <f>(GA90+GL90+GY90+HA90)/(GX90+FQ90-HD90)</f>
        <v>0.1352618406021828</v>
      </c>
      <c r="HD90" s="151"/>
      <c r="HE90" s="151"/>
      <c r="HF90" s="124"/>
      <c r="HG90" s="77">
        <f>FQ90+GX90</f>
        <v>3419294</v>
      </c>
      <c r="HH90" s="491"/>
      <c r="HI90" s="491"/>
      <c r="HJ90" s="494"/>
      <c r="HK90" s="505">
        <f>$HK$1*HH90</f>
        <v>0</v>
      </c>
      <c r="HL90" s="474">
        <v>42702</v>
      </c>
      <c r="HM90" s="474">
        <f>DATE(YEAR(HL90),MONTH(HL90),DAY(HL90)+20)</f>
        <v>42722</v>
      </c>
      <c r="HN90" s="474">
        <v>42727</v>
      </c>
      <c r="HO90" s="497">
        <f>IF(AND(HM90&gt;0,HN90&gt;0),HN90-HM90,"0")</f>
        <v>5</v>
      </c>
      <c r="HP90" s="474">
        <v>42761</v>
      </c>
      <c r="HQ90" s="481">
        <f>IF(AND(HN90&gt;0,HP90&gt;0),HP90-HN90,"0")</f>
        <v>34</v>
      </c>
      <c r="HR90" s="497">
        <f>+HQ90-30</f>
        <v>4</v>
      </c>
      <c r="HS90" s="506">
        <f>IF(AND(HL90&gt;0,HP90&gt;0),HP90-HL90,"0")</f>
        <v>59</v>
      </c>
      <c r="HT90" s="450">
        <f>DATE(YEAR(HP90),MONTH(HP90),DAY(HP90)+30)</f>
        <v>42791</v>
      </c>
      <c r="HU90" s="497">
        <f>IF(AND(HP90&gt;0,HT90&gt;0),HT90-HP90,"0")</f>
        <v>30</v>
      </c>
      <c r="HV90" s="450">
        <f>DATE(YEAR(HT90),MONTH(HT90),DAY(HT90)+30)</f>
        <v>42821</v>
      </c>
      <c r="HW90" s="450">
        <f ca="1">IF(HV90&lt;TODAY(),TODAY(),HV90)</f>
        <v>42821</v>
      </c>
      <c r="HX90" s="497">
        <f ca="1">IF(AND(HV90&gt;0,HW90&gt;0),HW90-HV90,"0")</f>
        <v>0</v>
      </c>
      <c r="HY90" s="206">
        <f>DATE(YEAR(HV90),MONTH(HV90),DAY(HV90)+30)</f>
        <v>42851</v>
      </c>
      <c r="HZ90" s="481">
        <f ca="1">IF(AND(HW90&gt;0,HY90&gt;0),HY90-HW90,"0")</f>
        <v>30</v>
      </c>
      <c r="IA90" s="497">
        <f ca="1">+HZ90-30</f>
        <v>0</v>
      </c>
      <c r="IB90" s="506">
        <f>IF(AND(HT90&gt;0,HY90&gt;0),HY90-HT90,"0")</f>
        <v>60</v>
      </c>
      <c r="IC90" s="490"/>
      <c r="ID90" s="505">
        <f>$ID$1*HH90</f>
        <v>0</v>
      </c>
      <c r="IE90" s="450">
        <f>DATE(YEAR(HY90),MONTH(HY90),DAY(HY90)+15)</f>
        <v>42866</v>
      </c>
      <c r="IF90" s="450">
        <f>DATE(YEAR(IE90),MONTH(IE90),DAY(IE90)+7)</f>
        <v>42873</v>
      </c>
      <c r="IG90" s="494"/>
      <c r="IH90" s="505">
        <f>$IH$1*HH90</f>
        <v>0</v>
      </c>
      <c r="II90" s="206">
        <f>DATE(YEAR(IF90),MONTH(IF90),DAY(IF90)+21)</f>
        <v>42894</v>
      </c>
      <c r="IJ90" s="497">
        <f>IF(AND(HY90&gt;0,II90&gt;0),II90-HY90,"0")</f>
        <v>43</v>
      </c>
      <c r="IK90" s="206">
        <f>DATE(YEAR(II90),MONTH(II90),DAY(II90)+30)</f>
        <v>42924</v>
      </c>
      <c r="IL90" s="206">
        <f ca="1">IF(IK90&lt;TODAY(),TODAY(),IK90)</f>
        <v>42924</v>
      </c>
      <c r="IM90" s="497"/>
      <c r="IN90" s="206"/>
      <c r="IO90" s="481"/>
      <c r="IP90" s="497"/>
      <c r="IQ90" s="506"/>
      <c r="IR90" s="490"/>
      <c r="IS90" s="491"/>
      <c r="IT90" s="206">
        <f>IN90</f>
        <v>0</v>
      </c>
      <c r="IU90" s="498" t="str">
        <f>IF(AND(IN90&gt;0,IT90&gt;0),IT90-IN90,"0")</f>
        <v>0</v>
      </c>
      <c r="IV90" s="206">
        <f>DATE(YEAR(IT90),MONTH(IT90),DAY(IT90)+30)</f>
        <v>30</v>
      </c>
      <c r="IW90" s="206">
        <f ca="1">IF(IV90&lt;TODAY(),TODAY(),IV90)</f>
        <v>42789</v>
      </c>
      <c r="IX90" s="498">
        <f ca="1">IF(AND(IV90&gt;0,IW90&gt;0),IW90-IV90,"0")</f>
        <v>42759</v>
      </c>
      <c r="IY90" s="206">
        <f>DATE(YEAR(IV90),MONTH(IV90),DAY(IV90)+30)</f>
        <v>60</v>
      </c>
      <c r="IZ90" s="482">
        <f ca="1">IF(AND(IW90&gt;0,IY90&gt;0),IY90-IW90,"0")</f>
        <v>-42729</v>
      </c>
      <c r="JA90" s="498">
        <f ca="1">IZ90-30</f>
        <v>-42759</v>
      </c>
      <c r="JB90" s="508" t="str">
        <f>IF(AND(IT90&gt;0,IY90&gt;0),IY90-IT90,"0")</f>
        <v>0</v>
      </c>
      <c r="JC90" s="490"/>
      <c r="JD90" s="505"/>
      <c r="JE90" s="502">
        <f>IY90</f>
        <v>60</v>
      </c>
      <c r="JF90" s="487">
        <f>IF(AND(IY90&gt;0,JE90&gt;0),JE90-IY90,"0")</f>
        <v>0</v>
      </c>
      <c r="JG90" s="502">
        <f>DATE(YEAR(JE90),MONTH(JE90),DAY(JE90)+15)</f>
        <v>75</v>
      </c>
      <c r="JH90" s="502">
        <f ca="1">IF(JG90&lt;TODAY(),TODAY(),JG90)</f>
        <v>42789</v>
      </c>
      <c r="JI90" s="487">
        <f ca="1">IF(AND(JG90&gt;0,JH90&gt;0),JH90-JG90,"0")</f>
        <v>42714</v>
      </c>
      <c r="JJ90" s="502">
        <f ca="1">DATE(YEAR(JH90),MONTH(JH90),DAY(JH90)+45)</f>
        <v>42834</v>
      </c>
      <c r="JK90" s="502">
        <f ca="1">JJ90</f>
        <v>42834</v>
      </c>
      <c r="JL90" s="487">
        <f ca="1">IF(AND(JJ90&gt;0,JK90&gt;0),JK90-JJ90,"0")</f>
        <v>0</v>
      </c>
      <c r="JM90" s="509">
        <f ca="1">IF(AND(JE90&gt;0,JK90&gt;0),JK90-JE90,"0")</f>
        <v>42774</v>
      </c>
      <c r="JN90" s="502">
        <f ca="1">DATE(YEAR(JK90),MONTH(JK90),DAY(JK90)+60)</f>
        <v>42894</v>
      </c>
      <c r="JO90" s="501">
        <f ca="1">IF(AND(JK90&gt;0,JN90&gt;0),JN90-JK90,"0")</f>
        <v>60</v>
      </c>
      <c r="JP90" s="498">
        <f ca="1">JO90-60</f>
        <v>0</v>
      </c>
      <c r="JQ90" s="482">
        <f>291/30</f>
        <v>9.6999999999999993</v>
      </c>
      <c r="JR90" s="504">
        <f ca="1">((+HS90+HU90+IB90+IJ90+IQ90+IU90+JB90+JM90+JF90)/30)-JQ90</f>
        <v>1422.5</v>
      </c>
      <c r="JS90" s="490"/>
      <c r="JT90" s="491"/>
      <c r="JU90" s="490"/>
      <c r="JV90" s="491"/>
      <c r="JW90" s="586"/>
      <c r="JX90" s="586"/>
      <c r="JY90" s="586"/>
      <c r="JZ90" s="586"/>
    </row>
    <row r="91" spans="1:286" ht="63" hidden="1" customHeight="1" x14ac:dyDescent="0.25">
      <c r="A91" s="146" t="s">
        <v>874</v>
      </c>
      <c r="B91" s="110" t="s">
        <v>46</v>
      </c>
      <c r="C91" s="110" t="s">
        <v>157</v>
      </c>
      <c r="D91" s="110">
        <v>2018</v>
      </c>
      <c r="E91" s="110"/>
      <c r="F91" s="110"/>
      <c r="G91" s="110"/>
      <c r="H91" s="110"/>
      <c r="I91" s="110"/>
      <c r="J91" s="110" t="s">
        <v>875</v>
      </c>
      <c r="K91" s="453"/>
      <c r="L91" s="309"/>
      <c r="M91" s="310"/>
      <c r="N91" s="311"/>
      <c r="O91" s="379"/>
      <c r="P91" s="379"/>
      <c r="Q91" s="379"/>
      <c r="R91" s="379"/>
      <c r="S91" s="379"/>
      <c r="T91" s="387"/>
      <c r="U91" s="387"/>
      <c r="V91" s="387"/>
      <c r="W91" s="379"/>
      <c r="X91" s="380"/>
      <c r="Y91" s="381"/>
      <c r="Z91" s="380"/>
      <c r="AA91" s="380"/>
      <c r="AB91" s="381"/>
      <c r="AC91" s="111" t="s">
        <v>26</v>
      </c>
      <c r="AD91" s="342">
        <f>AE91+AF91</f>
        <v>60</v>
      </c>
      <c r="AE91" s="121"/>
      <c r="AF91" s="110">
        <v>60</v>
      </c>
      <c r="AG91" s="114"/>
      <c r="AH91" s="152"/>
      <c r="AI91" s="114"/>
      <c r="AJ91" s="135"/>
      <c r="AK91" s="135"/>
      <c r="AL91" s="135"/>
      <c r="AM91" s="135"/>
      <c r="AN91" s="135"/>
      <c r="AO91" s="114"/>
      <c r="AP91" s="133"/>
      <c r="AQ91" s="135"/>
      <c r="AR91" s="114"/>
      <c r="AS91" s="110"/>
      <c r="AT91" s="110"/>
      <c r="AU91" s="110"/>
      <c r="AV91" s="110"/>
      <c r="AW91" s="332"/>
      <c r="AX91" s="332"/>
      <c r="AY91" s="110"/>
      <c r="AZ91" s="110"/>
      <c r="BA91" s="110"/>
      <c r="BB91" s="110"/>
      <c r="BC91" s="110"/>
      <c r="BD91" s="110"/>
      <c r="BE91" s="110"/>
      <c r="BF91" s="110"/>
      <c r="BG91" s="110"/>
      <c r="BH91" s="110"/>
      <c r="BI91" s="110"/>
      <c r="BJ91" s="110"/>
      <c r="BK91" s="110"/>
      <c r="BL91" s="110"/>
      <c r="BM91" s="110"/>
      <c r="BN91" s="196"/>
      <c r="BO91" s="196"/>
      <c r="BP91" s="196"/>
      <c r="BQ91" s="196"/>
      <c r="BR91" s="196"/>
      <c r="BS91" s="196"/>
      <c r="BT91" s="158"/>
      <c r="BU91" s="376"/>
      <c r="BV91" s="160"/>
      <c r="BW91" s="160"/>
      <c r="BX91" s="160"/>
      <c r="BY91" s="160"/>
      <c r="BZ91" s="376"/>
      <c r="CA91" s="160"/>
      <c r="CB91" s="302"/>
      <c r="CC91" s="374"/>
      <c r="CD91" s="302"/>
      <c r="CE91" s="302"/>
      <c r="CF91" s="161"/>
      <c r="CG91" s="336">
        <f>DATE(YEAR(CF91),MONTH(CF91)+24,DAY(CF91))</f>
        <v>731</v>
      </c>
      <c r="CH91" s="336">
        <f>DATE(YEAR(CF91),MONTH(CF91)+36,DAY(CF91))</f>
        <v>1096</v>
      </c>
      <c r="CI91" s="336"/>
      <c r="CJ91" s="302"/>
      <c r="CK91" s="308"/>
      <c r="CL91" s="161"/>
      <c r="CM91" s="371"/>
      <c r="CN91" s="161"/>
      <c r="CO91" s="161"/>
      <c r="CP91" s="162"/>
      <c r="CQ91" s="367"/>
      <c r="CR91" s="162"/>
      <c r="CS91" s="162"/>
      <c r="CT91" s="162"/>
      <c r="CU91" s="367"/>
      <c r="CV91" s="162"/>
      <c r="CW91" s="162"/>
      <c r="CX91" s="162"/>
      <c r="CY91" s="367"/>
      <c r="CZ91" s="162"/>
      <c r="DA91" s="162"/>
      <c r="DB91" s="299"/>
      <c r="DC91" s="299"/>
      <c r="DD91" s="299"/>
      <c r="DE91" s="312"/>
      <c r="DF91" s="312"/>
      <c r="DG91" s="312"/>
      <c r="DH91" s="312"/>
      <c r="DI91" s="312"/>
      <c r="DJ91" s="312"/>
      <c r="DK91" s="293"/>
      <c r="DL91" s="293"/>
      <c r="DM91" s="293"/>
      <c r="DN91" s="293"/>
      <c r="DO91" s="293"/>
      <c r="DP91" s="293"/>
      <c r="DQ91" s="443"/>
      <c r="DR91" s="443"/>
      <c r="DS91" s="443"/>
      <c r="DT91" s="298"/>
      <c r="DU91" s="443"/>
      <c r="DV91" s="443"/>
      <c r="DW91" s="443"/>
      <c r="DX91" s="423"/>
      <c r="DY91" s="423"/>
      <c r="DZ91" s="423"/>
      <c r="EA91" s="434"/>
      <c r="EB91" s="423"/>
      <c r="EC91" s="430"/>
      <c r="ED91" s="430"/>
      <c r="EE91" s="422"/>
      <c r="EF91" s="422"/>
      <c r="EG91" s="422"/>
      <c r="EH91" s="422"/>
      <c r="EI91" s="431"/>
      <c r="EJ91" s="431"/>
      <c r="EK91" s="423"/>
      <c r="EL91" s="423"/>
      <c r="EM91" s="423"/>
      <c r="EN91" s="210"/>
      <c r="EO91" s="210"/>
      <c r="EP91" s="423"/>
      <c r="EQ91" s="423"/>
      <c r="ER91" s="423"/>
      <c r="ES91" s="423"/>
      <c r="ET91" s="423"/>
      <c r="EU91" s="210"/>
      <c r="EV91" s="206"/>
      <c r="EW91" s="206"/>
      <c r="EX91" s="206"/>
      <c r="EY91" s="434"/>
      <c r="EZ91" s="212"/>
      <c r="FA91" s="212"/>
      <c r="FB91" s="212"/>
      <c r="FC91" s="212"/>
      <c r="FD91" s="110"/>
      <c r="FE91" s="110"/>
      <c r="FF91" s="110"/>
      <c r="FG91" s="110"/>
      <c r="FH91" s="110"/>
      <c r="FI91" s="110"/>
      <c r="FJ91" s="110"/>
      <c r="FK91" s="110"/>
      <c r="FL91" s="110"/>
      <c r="FM91" s="110"/>
      <c r="FN91" s="110"/>
      <c r="FO91" s="110"/>
      <c r="FP91" s="199"/>
      <c r="FQ91" s="153"/>
      <c r="FR91" s="124"/>
      <c r="FS91" s="154"/>
      <c r="FT91" s="98"/>
      <c r="FU91" s="98"/>
      <c r="FV91" s="153"/>
      <c r="FW91" s="124"/>
      <c r="FX91" s="154"/>
      <c r="FY91" s="232"/>
      <c r="FZ91" s="234"/>
      <c r="GA91" s="153"/>
      <c r="GB91" s="124"/>
      <c r="GC91" s="98"/>
      <c r="GD91" s="155"/>
      <c r="GE91" s="153"/>
      <c r="GF91" s="124"/>
      <c r="GG91" s="147"/>
      <c r="GH91" s="147"/>
      <c r="GI91" s="155"/>
      <c r="GJ91" s="98"/>
      <c r="GK91" s="124"/>
      <c r="GL91" s="153"/>
      <c r="GM91" s="124"/>
      <c r="GN91" s="124"/>
      <c r="GO91" s="148"/>
      <c r="GP91" s="590"/>
      <c r="GQ91" s="124"/>
      <c r="GR91" s="149"/>
      <c r="GS91" s="98"/>
      <c r="GT91" s="138"/>
      <c r="GU91" s="149"/>
      <c r="GV91" s="150"/>
      <c r="GW91" s="150"/>
      <c r="GX91" s="151"/>
      <c r="GY91" s="151"/>
      <c r="GZ91" s="98"/>
      <c r="HA91" s="151"/>
      <c r="HB91" s="98"/>
      <c r="HC91" s="99"/>
      <c r="HD91" s="151"/>
      <c r="HE91" s="151"/>
      <c r="HF91" s="124"/>
      <c r="HG91" s="77"/>
      <c r="HH91" s="491"/>
      <c r="HI91" s="491"/>
      <c r="HJ91" s="494"/>
      <c r="HK91" s="505">
        <f>$HK$1*HH91</f>
        <v>0</v>
      </c>
      <c r="HL91" s="450">
        <f ca="1">TODAY()</f>
        <v>42789</v>
      </c>
      <c r="HM91" s="464">
        <f ca="1">DATE(YEAR(HL91),MONTH(HL91),DAY(HL91)+21)</f>
        <v>42810</v>
      </c>
      <c r="HN91" s="464">
        <f ca="1">IF(HM91&lt;TODAY(),TODAY(),HM91)</f>
        <v>42810</v>
      </c>
      <c r="HO91" s="497">
        <f ca="1">IF(AND(HM91&gt;0,HN91&gt;0),HN91-HM91,"0")</f>
        <v>0</v>
      </c>
      <c r="HP91" s="464">
        <f ca="1">DATE(YEAR(HL91),MONTH(HL91),DAY(HL91)+21)</f>
        <v>42810</v>
      </c>
      <c r="HQ91" s="481">
        <f ca="1">IF(AND(HN91&gt;0,HP91&gt;0),HP91-HN91,"0")</f>
        <v>0</v>
      </c>
      <c r="HR91" s="497">
        <f ca="1">+HQ91-30</f>
        <v>-30</v>
      </c>
      <c r="HS91" s="506">
        <f ca="1">IF(AND(HL91&gt;0,HP91&gt;0),HP91-HL91,"0")</f>
        <v>21</v>
      </c>
      <c r="HT91" s="450">
        <f ca="1">DATE(YEAR(HP91),MONTH(HP91),DAY(HP91)+30)</f>
        <v>42840</v>
      </c>
      <c r="HU91" s="497">
        <f ca="1">IF(AND(HP91&gt;0,HT91&gt;0),HT91-HP91,"0")</f>
        <v>30</v>
      </c>
      <c r="HV91" s="450">
        <f ca="1">DATE(YEAR(HT91),MONTH(HT91),DAY(HT91)+30)</f>
        <v>42870</v>
      </c>
      <c r="HW91" s="450">
        <f ca="1">IF(HV91&lt;TODAY(),TODAY(),HV91)</f>
        <v>42870</v>
      </c>
      <c r="HX91" s="497">
        <f ca="1">IF(AND(HV91&gt;0,HW91&gt;0),HW91-HV91,"0")</f>
        <v>0</v>
      </c>
      <c r="HY91" s="206">
        <f ca="1">DATE(YEAR(HV91),MONTH(HV91),DAY(HV91)+30)</f>
        <v>42900</v>
      </c>
      <c r="HZ91" s="481">
        <f ca="1">IF(AND(HW91&gt;0,HY91&gt;0),HY91-HW91,"0")</f>
        <v>30</v>
      </c>
      <c r="IA91" s="497">
        <f ca="1">+HZ91-30</f>
        <v>0</v>
      </c>
      <c r="IB91" s="506">
        <f ca="1">IF(AND(HT91&gt;0,HY91&gt;0),HY91-HT91,"0")</f>
        <v>60</v>
      </c>
      <c r="IC91" s="490"/>
      <c r="ID91" s="505">
        <f>$ID$1*HH91</f>
        <v>0</v>
      </c>
      <c r="IE91" s="450">
        <f ca="1">DATE(YEAR(HY91),MONTH(HY91),DAY(HY91)+15)</f>
        <v>42915</v>
      </c>
      <c r="IF91" s="450">
        <f ca="1">DATE(YEAR(IE91),MONTH(IE91),DAY(IE91)+7)</f>
        <v>42922</v>
      </c>
      <c r="IG91" s="494"/>
      <c r="IH91" s="505">
        <f>$IH$1*HH91</f>
        <v>0</v>
      </c>
      <c r="II91" s="206">
        <f ca="1">DATE(YEAR(IF91),MONTH(IF91),DAY(IF91)+21)</f>
        <v>42943</v>
      </c>
      <c r="IJ91" s="497">
        <f ca="1">IF(AND(HY91&gt;0,II91&gt;0),II91-HY91,"0")</f>
        <v>43</v>
      </c>
      <c r="IK91" s="206">
        <f ca="1">DATE(YEAR(II91),MONTH(II91),DAY(II91)+30)</f>
        <v>42973</v>
      </c>
      <c r="IL91" s="478">
        <f ca="1">IF(IK91&lt;TODAY(),TODAY(),IK91)</f>
        <v>42973</v>
      </c>
      <c r="IM91" s="497"/>
      <c r="IN91" s="478"/>
      <c r="IO91" s="481"/>
      <c r="IP91" s="497"/>
      <c r="IQ91" s="506"/>
      <c r="IR91" s="490"/>
      <c r="IS91" s="491"/>
      <c r="IT91" s="206">
        <f>IN91</f>
        <v>0</v>
      </c>
      <c r="IU91" s="498" t="str">
        <f>IF(AND(IN91&gt;0,IT91&gt;0),IT91-IN91,"0")</f>
        <v>0</v>
      </c>
      <c r="IV91" s="206">
        <f>DATE(YEAR(IT91),MONTH(IT91),DAY(IT91)+30)</f>
        <v>30</v>
      </c>
      <c r="IW91" s="206">
        <f ca="1">IF(IV91&lt;TODAY(),TODAY(),IV91)</f>
        <v>42789</v>
      </c>
      <c r="IX91" s="498">
        <f ca="1">IF(AND(IV91&gt;0,IW91&gt;0),IW91-IV91,"0")</f>
        <v>42759</v>
      </c>
      <c r="IY91" s="206">
        <f>DATE(YEAR(IV91),MONTH(IV91),DAY(IV91)+30)</f>
        <v>60</v>
      </c>
      <c r="IZ91" s="482">
        <f ca="1">IF(AND(IW91&gt;0,IY91&gt;0),IY91-IW91,"0")</f>
        <v>-42729</v>
      </c>
      <c r="JA91" s="498">
        <f ca="1">IZ91-30</f>
        <v>-42759</v>
      </c>
      <c r="JB91" s="508" t="str">
        <f>IF(AND(IT91&gt;0,IY91&gt;0),IY91-IT91,"0")</f>
        <v>0</v>
      </c>
      <c r="JC91" s="490"/>
      <c r="JD91" s="491"/>
      <c r="JE91" s="502">
        <f>IY91</f>
        <v>60</v>
      </c>
      <c r="JF91" s="487">
        <f>IF(AND(IY91&gt;0,JE91&gt;0),JE91-IY91,"0")</f>
        <v>0</v>
      </c>
      <c r="JG91" s="502">
        <f>DATE(YEAR(JE91),MONTH(JE91),DAY(JE91)+15)</f>
        <v>75</v>
      </c>
      <c r="JH91" s="502">
        <f ca="1">IF(JG91&lt;TODAY(),TODAY(),JG91)</f>
        <v>42789</v>
      </c>
      <c r="JI91" s="487">
        <f ca="1">IF(AND(JG91&gt;0,JH91&gt;0),JH91-JG91,"0")</f>
        <v>42714</v>
      </c>
      <c r="JJ91" s="502">
        <f ca="1">DATE(YEAR(JH91),MONTH(JH91),DAY(JH91)+45)</f>
        <v>42834</v>
      </c>
      <c r="JK91" s="502">
        <f ca="1">JJ91</f>
        <v>42834</v>
      </c>
      <c r="JL91" s="487">
        <f ca="1">IF(AND(JJ91&gt;0,JK91&gt;0),JK91-JJ91,"0")</f>
        <v>0</v>
      </c>
      <c r="JM91" s="509">
        <f ca="1">IF(AND(JE91&gt;0,JK91&gt;0),JK91-JE91,"0")</f>
        <v>42774</v>
      </c>
      <c r="JN91" s="502">
        <f ca="1">DATE(YEAR(JK91),MONTH(JK91),DAY(JK91)+60)</f>
        <v>42894</v>
      </c>
      <c r="JO91" s="501">
        <f ca="1">IF(AND(JK91&gt;0,JN91&gt;0),JN91-JK91,"0")</f>
        <v>60</v>
      </c>
      <c r="JP91" s="498">
        <f ca="1">JO91-60</f>
        <v>0</v>
      </c>
      <c r="JQ91" s="482">
        <f>291/30</f>
        <v>9.6999999999999993</v>
      </c>
      <c r="JR91" s="504">
        <f ca="1">((+HS91+HU91+IB91+IJ91+IQ91+IU91+JB91+JM91+JF91)/30)-JQ91</f>
        <v>1421.2333333333333</v>
      </c>
      <c r="JS91" s="490"/>
      <c r="JT91" s="491"/>
      <c r="JU91" s="490"/>
      <c r="JV91" s="491"/>
      <c r="JW91" s="586"/>
      <c r="JX91" s="586"/>
      <c r="JY91" s="586"/>
      <c r="JZ91" s="586"/>
    </row>
    <row r="92" spans="1:286" ht="63" hidden="1" customHeight="1" x14ac:dyDescent="0.25">
      <c r="A92" s="146" t="s">
        <v>705</v>
      </c>
      <c r="B92" s="110" t="s">
        <v>46</v>
      </c>
      <c r="C92" s="110" t="s">
        <v>157</v>
      </c>
      <c r="D92" s="110">
        <v>2018</v>
      </c>
      <c r="E92" s="110"/>
      <c r="F92" s="110" t="s">
        <v>637</v>
      </c>
      <c r="G92" s="110"/>
      <c r="H92" s="110" t="s">
        <v>712</v>
      </c>
      <c r="I92" s="110"/>
      <c r="J92" s="110" t="s">
        <v>706</v>
      </c>
      <c r="K92" s="453" t="s">
        <v>1021</v>
      </c>
      <c r="L92" s="309"/>
      <c r="M92" s="310"/>
      <c r="N92" s="311"/>
      <c r="O92" s="379"/>
      <c r="P92" s="379"/>
      <c r="Q92" s="379"/>
      <c r="R92" s="379"/>
      <c r="S92" s="379"/>
      <c r="T92" s="387"/>
      <c r="U92" s="387"/>
      <c r="V92" s="387"/>
      <c r="W92" s="379"/>
      <c r="X92" s="380"/>
      <c r="Y92" s="381" t="e">
        <f>AH92/O92</f>
        <v>#DIV/0!</v>
      </c>
      <c r="Z92" s="380"/>
      <c r="AA92" s="380"/>
      <c r="AB92" s="381"/>
      <c r="AC92" s="110" t="s">
        <v>26</v>
      </c>
      <c r="AD92" s="342">
        <f>(AE92+AF92)</f>
        <v>29</v>
      </c>
      <c r="AE92" s="121"/>
      <c r="AF92" s="110">
        <v>29</v>
      </c>
      <c r="AG92" s="114">
        <v>2492.9699999999998</v>
      </c>
      <c r="AH92" s="152"/>
      <c r="AI92" s="114"/>
      <c r="AJ92" s="135"/>
      <c r="AK92" s="135"/>
      <c r="AL92" s="135"/>
      <c r="AM92" s="135"/>
      <c r="AN92" s="135"/>
      <c r="AO92" s="114"/>
      <c r="AP92" s="133"/>
      <c r="AQ92" s="135"/>
      <c r="AR92" s="114"/>
      <c r="AS92" s="110"/>
      <c r="AT92" s="110"/>
      <c r="AU92" s="110"/>
      <c r="AV92" s="110"/>
      <c r="AW92" s="110"/>
      <c r="AX92" s="415"/>
      <c r="AY92" s="110"/>
      <c r="AZ92" s="110"/>
      <c r="BA92" s="110"/>
      <c r="BB92" s="110"/>
      <c r="BC92" s="110"/>
      <c r="BD92" s="110"/>
      <c r="BE92" s="110"/>
      <c r="BF92" s="110"/>
      <c r="BG92" s="110"/>
      <c r="BH92" s="110"/>
      <c r="BI92" s="110"/>
      <c r="BJ92" s="110"/>
      <c r="BK92" s="110"/>
      <c r="BL92" s="110"/>
      <c r="BM92" s="110"/>
      <c r="BN92" s="196"/>
      <c r="BO92" s="196"/>
      <c r="BP92" s="196"/>
      <c r="BQ92" s="196"/>
      <c r="BR92" s="196"/>
      <c r="BS92" s="196"/>
      <c r="BT92" s="158"/>
      <c r="BU92" s="376"/>
      <c r="BV92" s="160"/>
      <c r="BW92" s="160"/>
      <c r="BX92" s="160"/>
      <c r="BY92" s="160"/>
      <c r="BZ92" s="376"/>
      <c r="CA92" s="160"/>
      <c r="CB92" s="302"/>
      <c r="CC92" s="374"/>
      <c r="CD92" s="302"/>
      <c r="CE92" s="302"/>
      <c r="CF92" s="161"/>
      <c r="CG92" s="336">
        <f>DATE(YEAR(CF92),MONTH(CF92)+24,DAY(CF92))</f>
        <v>731</v>
      </c>
      <c r="CH92" s="336">
        <f>DATE(YEAR(CF92),MONTH(CF92)+36,DAY(CF92))</f>
        <v>1096</v>
      </c>
      <c r="CI92" s="336"/>
      <c r="CJ92" s="302"/>
      <c r="CK92" s="308"/>
      <c r="CL92" s="161"/>
      <c r="CM92" s="371"/>
      <c r="CN92" s="161"/>
      <c r="CO92" s="161"/>
      <c r="CP92" s="162"/>
      <c r="CQ92" s="367"/>
      <c r="CR92" s="162"/>
      <c r="CS92" s="162"/>
      <c r="CT92" s="162"/>
      <c r="CU92" s="367"/>
      <c r="CV92" s="162"/>
      <c r="CW92" s="162"/>
      <c r="CX92" s="162"/>
      <c r="CY92" s="367"/>
      <c r="CZ92" s="162"/>
      <c r="DA92" s="162"/>
      <c r="DB92" s="299"/>
      <c r="DC92" s="299"/>
      <c r="DD92" s="299"/>
      <c r="DE92" s="312"/>
      <c r="DF92" s="312"/>
      <c r="DG92" s="312"/>
      <c r="DH92" s="312"/>
      <c r="DI92" s="312"/>
      <c r="DJ92" s="312"/>
      <c r="DK92" s="293"/>
      <c r="DL92" s="293"/>
      <c r="DM92" s="293"/>
      <c r="DN92" s="293"/>
      <c r="DO92" s="293"/>
      <c r="DP92" s="293"/>
      <c r="DQ92" s="443"/>
      <c r="DR92" s="443"/>
      <c r="DS92" s="443"/>
      <c r="DT92" s="298"/>
      <c r="DU92" s="443"/>
      <c r="DV92" s="443"/>
      <c r="DW92" s="443"/>
      <c r="DX92" s="423"/>
      <c r="DY92" s="423"/>
      <c r="DZ92" s="423"/>
      <c r="EA92" s="434"/>
      <c r="EB92" s="423"/>
      <c r="EC92" s="430"/>
      <c r="ED92" s="430"/>
      <c r="EE92" s="422"/>
      <c r="EF92" s="422"/>
      <c r="EG92" s="423"/>
      <c r="EH92" s="423"/>
      <c r="EI92" s="431"/>
      <c r="EJ92" s="431"/>
      <c r="EK92" s="423"/>
      <c r="EL92" s="423"/>
      <c r="EM92" s="423"/>
      <c r="EN92" s="210"/>
      <c r="EO92" s="210"/>
      <c r="EP92" s="423"/>
      <c r="EQ92" s="423"/>
      <c r="ER92" s="423"/>
      <c r="ES92" s="423"/>
      <c r="ET92" s="423"/>
      <c r="EU92" s="334"/>
      <c r="EV92" s="206"/>
      <c r="EW92" s="206"/>
      <c r="EX92" s="209"/>
      <c r="EY92" s="434"/>
      <c r="EZ92" s="212"/>
      <c r="FA92" s="212"/>
      <c r="FB92" s="212"/>
      <c r="FC92" s="212"/>
      <c r="FD92" s="110"/>
      <c r="FE92" s="110"/>
      <c r="FF92" s="110"/>
      <c r="FG92" s="110"/>
      <c r="FH92" s="110"/>
      <c r="FI92" s="110"/>
      <c r="FJ92" s="110"/>
      <c r="FK92" s="110"/>
      <c r="FL92" s="110"/>
      <c r="FM92" s="110"/>
      <c r="FN92" s="110"/>
      <c r="FO92" s="110"/>
      <c r="FP92" s="199"/>
      <c r="FQ92" s="153">
        <f>+GA92+GE92+GL92+HF92+GQ92+GP92</f>
        <v>6279539.0745284017</v>
      </c>
      <c r="FR92" s="124"/>
      <c r="FS92" s="154">
        <f>FR92-FQ92</f>
        <v>-6279539.0745284017</v>
      </c>
      <c r="FT92" s="98">
        <f>FQ92/AG92</f>
        <v>2518.8987731614911</v>
      </c>
      <c r="FU92" s="98">
        <f>FQ92/AD92</f>
        <v>216535.83015615179</v>
      </c>
      <c r="FV92" s="153">
        <v>5654394.4334999993</v>
      </c>
      <c r="FW92" s="124"/>
      <c r="FX92" s="154">
        <f>FW92-FV92</f>
        <v>-5654394.4334999993</v>
      </c>
      <c r="FY92" s="232" t="e">
        <f>FW92*1.021/FR92</f>
        <v>#DIV/0!</v>
      </c>
      <c r="FZ92" s="232">
        <v>0.4</v>
      </c>
      <c r="GA92" s="153">
        <v>2048467.0042442095</v>
      </c>
      <c r="GB92" s="124"/>
      <c r="GC92" s="98">
        <f>GA92/AD92</f>
        <v>70636.793249800321</v>
      </c>
      <c r="GD92" s="155">
        <f>GB92-GA92</f>
        <v>-2048467.0042442095</v>
      </c>
      <c r="GE92" s="153">
        <v>2952586.880284193</v>
      </c>
      <c r="GF92" s="124"/>
      <c r="GG92" s="147"/>
      <c r="GH92" s="147"/>
      <c r="GI92" s="155">
        <f>GF92-GE92</f>
        <v>-2952586.880284193</v>
      </c>
      <c r="GJ92" s="98">
        <f>GE92/AD92</f>
        <v>101813.34069945493</v>
      </c>
      <c r="GK92" s="124"/>
      <c r="GL92" s="153">
        <v>580000</v>
      </c>
      <c r="GM92" s="124"/>
      <c r="GN92" s="124"/>
      <c r="GO92" s="148">
        <f>GL92/FQ92</f>
        <v>9.2363466986397955E-2</v>
      </c>
      <c r="GP92" s="153"/>
      <c r="GQ92" s="124"/>
      <c r="GR92" s="149">
        <f>GM92-GL92</f>
        <v>-580000</v>
      </c>
      <c r="GS92" s="98">
        <f>GL92/AD92</f>
        <v>20000</v>
      </c>
      <c r="GT92" s="138">
        <f>(GA92+GL92)/AD92</f>
        <v>90636.793249800321</v>
      </c>
      <c r="GU92" s="149">
        <f>GR92/AD92</f>
        <v>-20000</v>
      </c>
      <c r="GV92" s="150"/>
      <c r="GW92" s="150"/>
      <c r="GX92" s="151"/>
      <c r="GY92" s="151"/>
      <c r="GZ92" s="98">
        <f>(GA92+GL92+GY92)/AD92</f>
        <v>90636.793249800321</v>
      </c>
      <c r="HA92" s="151"/>
      <c r="HB92" s="98">
        <f>(GB92+GM92+GY92+HA92)/AD92</f>
        <v>0</v>
      </c>
      <c r="HC92" s="99">
        <f>(GA92+GL92+GY92+HA92)/(GX92+FQ92-HD92)</f>
        <v>0.41857642305404547</v>
      </c>
      <c r="HD92" s="151"/>
      <c r="HE92" s="151"/>
      <c r="HF92" s="124">
        <v>698485.19</v>
      </c>
      <c r="HG92" s="156">
        <f>FQ92+GX92</f>
        <v>6279539.0745284017</v>
      </c>
      <c r="HH92" s="491">
        <v>192726</v>
      </c>
      <c r="HI92" s="491">
        <f>HK92</f>
        <v>19273</v>
      </c>
      <c r="HJ92" s="494">
        <v>42579</v>
      </c>
      <c r="HK92" s="511">
        <v>19273</v>
      </c>
      <c r="HL92" s="526">
        <v>42619</v>
      </c>
      <c r="HM92" s="526">
        <f>DATE(YEAR(HL92),MONTH(HL92),DAY(HL92)+21)</f>
        <v>42640</v>
      </c>
      <c r="HN92" s="420">
        <v>42635</v>
      </c>
      <c r="HO92" s="497">
        <f>IF(AND(HM92&gt;0,HN92&gt;0),HN92-HM92,"0")</f>
        <v>-5</v>
      </c>
      <c r="HP92" s="450">
        <f>DATE(YEAR(HL92),MONTH(HL92),DAY(HL92)+21)</f>
        <v>42640</v>
      </c>
      <c r="HQ92" s="481">
        <f>IF(AND(HN92&gt;0,HP92&gt;0),HP92-HN92,"0")</f>
        <v>5</v>
      </c>
      <c r="HR92" s="497">
        <f>+HQ92-30</f>
        <v>-25</v>
      </c>
      <c r="HS92" s="506">
        <f>IF(AND(HL92&gt;0,HP92&gt;0),HP92-HL92,"0")</f>
        <v>21</v>
      </c>
      <c r="HT92" s="450">
        <f>DATE(YEAR(HP92),MONTH(HP92),DAY(HP92)+5)</f>
        <v>42645</v>
      </c>
      <c r="HU92" s="497">
        <f>IF(AND(HP92&gt;0,HT92&gt;0),HT92-HP92,"0")</f>
        <v>5</v>
      </c>
      <c r="HV92" s="450">
        <f>DATE(YEAR(HT92),MONTH(HT92),DAY(HT92)+30)</f>
        <v>42675</v>
      </c>
      <c r="HW92" s="450">
        <f>HV92</f>
        <v>42675</v>
      </c>
      <c r="HX92" s="497">
        <f>IF(AND(HV92&gt;0,HW92&gt;0),HW92-HV92,"0")</f>
        <v>0</v>
      </c>
      <c r="HY92" s="206">
        <f>DATE(YEAR(HV92),MONTH(HV92),DAY(HV92)+15)</f>
        <v>42690</v>
      </c>
      <c r="HZ92" s="481">
        <f>IF(AND(HW92&gt;0,HY92&gt;0),HY92-HW92,"0")</f>
        <v>15</v>
      </c>
      <c r="IA92" s="497">
        <f>+HZ92-30</f>
        <v>-15</v>
      </c>
      <c r="IB92" s="506">
        <f>IF(AND(HT92&gt;0,HY92&gt;0),HY92-HT92,"0")</f>
        <v>45</v>
      </c>
      <c r="IC92" s="490"/>
      <c r="ID92" s="505">
        <f>$ID$1*HH92</f>
        <v>9636.3000000000011</v>
      </c>
      <c r="IE92" s="450">
        <f>DATE(YEAR(HY92),MONTH(HY92),DAY(HY92)+15)</f>
        <v>42705</v>
      </c>
      <c r="IF92" s="450">
        <f>DATE(YEAR(IE92),MONTH(IE92),DAY(IE92)+7)</f>
        <v>42712</v>
      </c>
      <c r="IG92" s="494"/>
      <c r="IH92" s="505">
        <f>$IH$1*HH92</f>
        <v>19272.600000000002</v>
      </c>
      <c r="II92" s="206">
        <f>DATE(YEAR(IF92),MONTH(IF92),DAY(IF92)+21)</f>
        <v>42733</v>
      </c>
      <c r="IJ92" s="497">
        <f>IF(AND(HY92&gt;0,II92&gt;0),II92-HY92,"0")</f>
        <v>43</v>
      </c>
      <c r="IK92" s="206">
        <f>DATE(YEAR(II92),MONTH(II92),DAY(II92)+30)</f>
        <v>42763</v>
      </c>
      <c r="IL92" s="206">
        <f ca="1">IF(IK92&lt;TODAY(),TODAY(),IK92)</f>
        <v>42789</v>
      </c>
      <c r="IM92" s="497">
        <f ca="1">IF(AND(IK92&gt;0,IL92&gt;0),IL92-IK92,"0")</f>
        <v>26</v>
      </c>
      <c r="IN92" s="206">
        <f>DATE(YEAR(IK92),MONTH(IK92),DAY(IK92)+30)</f>
        <v>42793</v>
      </c>
      <c r="IO92" s="481">
        <f ca="1">IF(AND(IL92&gt;0,IN92&gt;0),IN92-IL92,"0")</f>
        <v>4</v>
      </c>
      <c r="IP92" s="497">
        <f ca="1">+IO92-30</f>
        <v>-26</v>
      </c>
      <c r="IQ92" s="506">
        <f>IF(AND(II92&gt;0,IN92&gt;0),IN92-II92,"0")</f>
        <v>60</v>
      </c>
      <c r="IR92" s="490"/>
      <c r="IS92" s="491">
        <f>$IS$1*HH92</f>
        <v>19272.600000000002</v>
      </c>
      <c r="IT92" s="206">
        <f>IN92</f>
        <v>42793</v>
      </c>
      <c r="IU92" s="498">
        <f>IF(AND(IN92&gt;0,IT92&gt;0),IT92-IN92,"0")</f>
        <v>0</v>
      </c>
      <c r="IV92" s="206">
        <f>DATE(YEAR(IT92),MONTH(IT92),DAY(IT92)+30)</f>
        <v>42823</v>
      </c>
      <c r="IW92" s="206">
        <f ca="1">IF(IV92&lt;TODAY(),TODAY(),IV92)</f>
        <v>42823</v>
      </c>
      <c r="IX92" s="498">
        <f ca="1">IF(AND(IV92&gt;0,IW92&gt;0),IW92-IV92,"0")</f>
        <v>0</v>
      </c>
      <c r="IY92" s="206">
        <f>DATE(YEAR(IV92),MONTH(IV92),DAY(IV92)+30)</f>
        <v>42853</v>
      </c>
      <c r="IZ92" s="482">
        <f ca="1">IF(AND(IW92&gt;0,IY92&gt;0),IY92-IW92,"0")</f>
        <v>30</v>
      </c>
      <c r="JA92" s="498">
        <f ca="1">IZ92-30</f>
        <v>0</v>
      </c>
      <c r="JB92" s="508">
        <f>IF(AND(IT92&gt;0,IY92&gt;0),IY92-IT92,"0")</f>
        <v>60</v>
      </c>
      <c r="JC92" s="490"/>
      <c r="JD92" s="505">
        <f>$JD$1*$HH$65</f>
        <v>34029.599999999999</v>
      </c>
      <c r="JE92" s="502">
        <f>IY92</f>
        <v>42853</v>
      </c>
      <c r="JF92" s="487">
        <f>IF(AND(IY92&gt;0,JE92&gt;0),JE92-IY92,"0")</f>
        <v>0</v>
      </c>
      <c r="JG92" s="502">
        <f>DATE(YEAR(JE92),MONTH(JE92),DAY(JE92)+15)</f>
        <v>42868</v>
      </c>
      <c r="JH92" s="502">
        <f ca="1">IF(JG92&lt;TODAY(),TODAY(),JG92)</f>
        <v>42868</v>
      </c>
      <c r="JI92" s="487">
        <f ca="1">IF(AND(JG92&gt;0,JH92&gt;0),JH92-JG92,"0")</f>
        <v>0</v>
      </c>
      <c r="JJ92" s="502">
        <f ca="1">DATE(YEAR(JH92),MONTH(JH92),DAY(JH92)+45)</f>
        <v>42913</v>
      </c>
      <c r="JK92" s="502">
        <f ca="1">JJ92</f>
        <v>42913</v>
      </c>
      <c r="JL92" s="487">
        <f ca="1">IF(AND(JJ92&gt;0,JK92&gt;0),JK92-JJ92,"0")</f>
        <v>0</v>
      </c>
      <c r="JM92" s="509">
        <f ca="1">IF(AND(JE92&gt;0,JK92&gt;0),JK92-JE92,"0")</f>
        <v>60</v>
      </c>
      <c r="JN92" s="502">
        <f ca="1">DATE(YEAR(JK92),MONTH(JK92),DAY(JK92)+60)</f>
        <v>42973</v>
      </c>
      <c r="JO92" s="501">
        <f ca="1">IF(AND(JK92&gt;0,JN92&gt;0),JN92-JK92,"0")</f>
        <v>60</v>
      </c>
      <c r="JP92" s="498">
        <f ca="1">JO92-60</f>
        <v>0</v>
      </c>
      <c r="JQ92" s="482">
        <f>291/30</f>
        <v>9.6999999999999993</v>
      </c>
      <c r="JR92" s="504">
        <f ca="1">((+HS92+HU92+IB92+IJ92+IQ92+IU92+JB92+JM92+JF92)/30)-JQ92</f>
        <v>0.10000000000000142</v>
      </c>
      <c r="JS92" s="490"/>
      <c r="JT92" s="505"/>
      <c r="JU92" s="490"/>
      <c r="JV92" s="505"/>
      <c r="JW92" s="586"/>
      <c r="JX92" s="586"/>
      <c r="JY92" s="586"/>
      <c r="JZ92" s="586"/>
    </row>
    <row r="93" spans="1:286" ht="63" hidden="1" customHeight="1" x14ac:dyDescent="0.25">
      <c r="A93" s="146" t="s">
        <v>829</v>
      </c>
      <c r="B93" s="110" t="s">
        <v>38</v>
      </c>
      <c r="C93" s="110" t="s">
        <v>157</v>
      </c>
      <c r="D93" s="111">
        <v>2018</v>
      </c>
      <c r="E93" s="110"/>
      <c r="F93" s="111"/>
      <c r="G93" s="111"/>
      <c r="H93" s="111"/>
      <c r="I93" s="111"/>
      <c r="J93" s="110" t="s">
        <v>830</v>
      </c>
      <c r="K93" s="453"/>
      <c r="L93" s="309"/>
      <c r="M93" s="310"/>
      <c r="N93" s="311"/>
      <c r="O93" s="387"/>
      <c r="P93" s="387"/>
      <c r="Q93" s="387"/>
      <c r="R93" s="379"/>
      <c r="S93" s="387"/>
      <c r="T93" s="387"/>
      <c r="U93" s="387"/>
      <c r="V93" s="387"/>
      <c r="W93" s="379"/>
      <c r="X93" s="391"/>
      <c r="Y93" s="392"/>
      <c r="Z93" s="391"/>
      <c r="AA93" s="394"/>
      <c r="AB93" s="390"/>
      <c r="AC93" s="111" t="s">
        <v>26</v>
      </c>
      <c r="AD93" s="342">
        <f>AE93+AF93</f>
        <v>22</v>
      </c>
      <c r="AE93" s="121"/>
      <c r="AF93" s="110">
        <v>22</v>
      </c>
      <c r="AG93" s="115"/>
      <c r="AH93" s="547"/>
      <c r="AI93" s="114"/>
      <c r="AJ93" s="117"/>
      <c r="AK93" s="117"/>
      <c r="AL93" s="117"/>
      <c r="AM93" s="117"/>
      <c r="AN93" s="117"/>
      <c r="AO93" s="115"/>
      <c r="AP93" s="134"/>
      <c r="AQ93" s="136"/>
      <c r="AR93" s="115"/>
      <c r="AS93" s="111"/>
      <c r="AT93" s="111"/>
      <c r="AU93" s="111"/>
      <c r="AV93" s="111"/>
      <c r="AW93" s="338"/>
      <c r="AX93" s="338"/>
      <c r="AY93" s="111"/>
      <c r="AZ93" s="111"/>
      <c r="BA93" s="111"/>
      <c r="BB93" s="111"/>
      <c r="BC93" s="111"/>
      <c r="BD93" s="111"/>
      <c r="BE93" s="111"/>
      <c r="BF93" s="111"/>
      <c r="BG93" s="111"/>
      <c r="BH93" s="111"/>
      <c r="BI93" s="111"/>
      <c r="BJ93" s="111"/>
      <c r="BK93" s="111"/>
      <c r="BL93" s="111"/>
      <c r="BM93" s="111"/>
      <c r="BN93" s="196"/>
      <c r="BO93" s="358"/>
      <c r="BP93" s="358"/>
      <c r="BQ93" s="196"/>
      <c r="BR93" s="196"/>
      <c r="BS93" s="196"/>
      <c r="BT93" s="520"/>
      <c r="BU93" s="376"/>
      <c r="BV93" s="160"/>
      <c r="BW93" s="160"/>
      <c r="BX93" s="160"/>
      <c r="BY93" s="160"/>
      <c r="BZ93" s="376"/>
      <c r="CA93" s="160"/>
      <c r="CB93" s="302"/>
      <c r="CC93" s="374"/>
      <c r="CD93" s="302"/>
      <c r="CE93" s="302"/>
      <c r="CF93" s="161"/>
      <c r="CG93" s="336">
        <f>DATE(YEAR(CF93),MONTH(CF93)+24,DAY(CF93))</f>
        <v>731</v>
      </c>
      <c r="CH93" s="336">
        <f>DATE(YEAR(CF93),MONTH(CF93)+36,DAY(CF93))</f>
        <v>1096</v>
      </c>
      <c r="CI93" s="336"/>
      <c r="CJ93" s="302"/>
      <c r="CK93" s="302"/>
      <c r="CL93" s="161"/>
      <c r="CM93" s="371"/>
      <c r="CN93" s="166"/>
      <c r="CO93" s="166"/>
      <c r="CP93" s="162"/>
      <c r="CQ93" s="367"/>
      <c r="CR93" s="166"/>
      <c r="CS93" s="166"/>
      <c r="CT93" s="166"/>
      <c r="CU93" s="368"/>
      <c r="CV93" s="166"/>
      <c r="CW93" s="166"/>
      <c r="CX93" s="166"/>
      <c r="CY93" s="368"/>
      <c r="CZ93" s="166"/>
      <c r="DA93" s="166"/>
      <c r="DB93" s="299"/>
      <c r="DC93" s="313"/>
      <c r="DD93" s="299"/>
      <c r="DE93" s="299"/>
      <c r="DF93" s="299"/>
      <c r="DG93" s="299"/>
      <c r="DH93" s="299"/>
      <c r="DI93" s="299"/>
      <c r="DJ93" s="299"/>
      <c r="DK93" s="298"/>
      <c r="DL93" s="298"/>
      <c r="DM93" s="298"/>
      <c r="DN93" s="298"/>
      <c r="DO93" s="293"/>
      <c r="DP93" s="293"/>
      <c r="DQ93" s="443"/>
      <c r="DR93" s="443"/>
      <c r="DS93" s="443"/>
      <c r="DT93" s="298"/>
      <c r="DU93" s="443"/>
      <c r="DV93" s="443"/>
      <c r="DW93" s="443"/>
      <c r="DX93" s="415"/>
      <c r="DY93" s="423"/>
      <c r="DZ93" s="423"/>
      <c r="EA93" s="434"/>
      <c r="EB93" s="423"/>
      <c r="EC93" s="430"/>
      <c r="ED93" s="430"/>
      <c r="EE93" s="422"/>
      <c r="EF93" s="422"/>
      <c r="EG93" s="422"/>
      <c r="EH93" s="422"/>
      <c r="EI93" s="431"/>
      <c r="EJ93" s="431"/>
      <c r="EK93" s="423"/>
      <c r="EL93" s="423"/>
      <c r="EM93" s="423"/>
      <c r="EN93" s="210"/>
      <c r="EO93" s="210"/>
      <c r="EP93" s="432"/>
      <c r="EQ93" s="433"/>
      <c r="ER93" s="433"/>
      <c r="ES93" s="423"/>
      <c r="ET93" s="423"/>
      <c r="EU93" s="334"/>
      <c r="EV93" s="206"/>
      <c r="EW93" s="206"/>
      <c r="EX93" s="206"/>
      <c r="EY93" s="434"/>
      <c r="EZ93" s="218"/>
      <c r="FA93" s="218"/>
      <c r="FB93" s="218"/>
      <c r="FC93" s="218"/>
      <c r="FD93" s="111"/>
      <c r="FE93" s="111"/>
      <c r="FF93" s="111"/>
      <c r="FG93" s="111"/>
      <c r="FH93" s="111"/>
      <c r="FI93" s="111"/>
      <c r="FJ93" s="111"/>
      <c r="FK93" s="111"/>
      <c r="FL93" s="111"/>
      <c r="FM93" s="111"/>
      <c r="FN93" s="111"/>
      <c r="FO93" s="111"/>
      <c r="FP93" s="199"/>
      <c r="FQ93" s="153">
        <f>+GA93+GE93+GL93+HF93</f>
        <v>4182384</v>
      </c>
      <c r="FR93" s="124">
        <f>GB93+GF93+GK93+GM93+GQ93</f>
        <v>2298363</v>
      </c>
      <c r="FS93" s="154">
        <f>FR93-FQ93</f>
        <v>-1884021</v>
      </c>
      <c r="FT93" s="98" t="e">
        <f>FR93/AG93</f>
        <v>#DIV/0!</v>
      </c>
      <c r="FU93" s="98">
        <f>FR93/AD93</f>
        <v>104471.04545454546</v>
      </c>
      <c r="FV93" s="523"/>
      <c r="FW93" s="129"/>
      <c r="FX93" s="154">
        <f>FW93-FV93</f>
        <v>0</v>
      </c>
      <c r="FY93" s="232">
        <f>FW93*1.021/FR93</f>
        <v>0</v>
      </c>
      <c r="FZ93" s="234"/>
      <c r="GA93" s="523">
        <v>1334021</v>
      </c>
      <c r="GB93" s="129"/>
      <c r="GC93" s="98">
        <f>GB93/AD93</f>
        <v>0</v>
      </c>
      <c r="GD93" s="155">
        <f>GB93-GA93</f>
        <v>-1334021</v>
      </c>
      <c r="GE93" s="523">
        <v>2298363</v>
      </c>
      <c r="GF93" s="124">
        <f>GE93</f>
        <v>2298363</v>
      </c>
      <c r="GG93" s="550"/>
      <c r="GH93" s="550"/>
      <c r="GI93" s="155">
        <f>GF93-GE93</f>
        <v>0</v>
      </c>
      <c r="GJ93" s="98">
        <f>GF93/AD93</f>
        <v>104471.04545454546</v>
      </c>
      <c r="GK93" s="129"/>
      <c r="GL93" s="523">
        <v>550000</v>
      </c>
      <c r="GM93" s="129"/>
      <c r="GN93" s="129"/>
      <c r="GO93" s="148">
        <f>GM93/FR93</f>
        <v>0</v>
      </c>
      <c r="GP93" s="590"/>
      <c r="GQ93" s="129"/>
      <c r="GR93" s="149">
        <f>GM93-GL93</f>
        <v>-550000</v>
      </c>
      <c r="GS93" s="98">
        <f>GM93/AD93</f>
        <v>0</v>
      </c>
      <c r="GT93" s="138">
        <f>(GA93+GL93)/AD93</f>
        <v>85637.318181818177</v>
      </c>
      <c r="GU93" s="149">
        <f>GR93/AD93</f>
        <v>-25000</v>
      </c>
      <c r="GV93" s="150"/>
      <c r="GW93" s="150"/>
      <c r="GX93" s="551"/>
      <c r="GY93" s="551"/>
      <c r="GZ93" s="98">
        <f>(GA93+GL93+GY93)/AD93</f>
        <v>85637.318181818177</v>
      </c>
      <c r="HA93" s="551"/>
      <c r="HB93" s="98">
        <f>(GB93+GM93+GY93+HA93)/AD93</f>
        <v>0</v>
      </c>
      <c r="HC93" s="99">
        <f>(GA93+GL93+GY93+HA93)/(GX93+FQ93-HD93)</f>
        <v>0.45046581088680521</v>
      </c>
      <c r="HD93" s="551"/>
      <c r="HE93" s="551"/>
      <c r="HF93" s="129"/>
      <c r="HG93" s="156">
        <f>FQ93+GX93</f>
        <v>4182384</v>
      </c>
      <c r="HH93" s="491"/>
      <c r="HI93" s="491"/>
      <c r="HJ93" s="494"/>
      <c r="HK93" s="505">
        <f>$HK$1*HH93</f>
        <v>0</v>
      </c>
      <c r="HL93" s="450">
        <f ca="1">TODAY()</f>
        <v>42789</v>
      </c>
      <c r="HM93" s="464">
        <f ca="1">DATE(YEAR(HL93),MONTH(HL93),DAY(HL93)+21)</f>
        <v>42810</v>
      </c>
      <c r="HN93" s="464">
        <f ca="1">IF(HM93&lt;TODAY(),TODAY(),HM93)</f>
        <v>42810</v>
      </c>
      <c r="HO93" s="497">
        <f ca="1">IF(AND(HM93&gt;0,HN93&gt;0),HN93-HM93,"0")</f>
        <v>0</v>
      </c>
      <c r="HP93" s="464">
        <f ca="1">DATE(YEAR(HL93),MONTH(HL93),DAY(HL93)+21)</f>
        <v>42810</v>
      </c>
      <c r="HQ93" s="481">
        <f ca="1">IF(AND(HN93&gt;0,HP93&gt;0),HP93-HN93,"0")</f>
        <v>0</v>
      </c>
      <c r="HR93" s="497">
        <f ca="1">+HQ93-30</f>
        <v>-30</v>
      </c>
      <c r="HS93" s="506">
        <f ca="1">IF(AND(HL93&gt;0,HP93&gt;0),HP93-HL93,"0")</f>
        <v>21</v>
      </c>
      <c r="HT93" s="450">
        <f ca="1">DATE(YEAR(HP93),MONTH(HP93),DAY(HP93)+30)</f>
        <v>42840</v>
      </c>
      <c r="HU93" s="497">
        <f ca="1">IF(AND(HP93&gt;0,HT93&gt;0),HT93-HP93,"0")</f>
        <v>30</v>
      </c>
      <c r="HV93" s="450">
        <f ca="1">DATE(YEAR(HT93),MONTH(HT93),DAY(HT93)+30)</f>
        <v>42870</v>
      </c>
      <c r="HW93" s="450">
        <f ca="1">IF(HV93&lt;TODAY(),TODAY(),HV93)</f>
        <v>42870</v>
      </c>
      <c r="HX93" s="497">
        <f ca="1">IF(AND(HV93&gt;0,HW93&gt;0),HW93-HV93,"0")</f>
        <v>0</v>
      </c>
      <c r="HY93" s="206">
        <f ca="1">DATE(YEAR(HV93),MONTH(HV93),DAY(HV93)+30)</f>
        <v>42900</v>
      </c>
      <c r="HZ93" s="481">
        <f ca="1">IF(AND(HW93&gt;0,HY93&gt;0),HY93-HW93,"0")</f>
        <v>30</v>
      </c>
      <c r="IA93" s="497">
        <f ca="1">+HZ93-30</f>
        <v>0</v>
      </c>
      <c r="IB93" s="506">
        <f ca="1">IF(AND(HT93&gt;0,HY93&gt;0),HY93-HT93,"0")</f>
        <v>60</v>
      </c>
      <c r="IC93" s="490"/>
      <c r="ID93" s="505">
        <f>$ID$1*HH93</f>
        <v>0</v>
      </c>
      <c r="IE93" s="450">
        <f ca="1">DATE(YEAR(HY93),MONTH(HY93),DAY(HY93)+15)</f>
        <v>42915</v>
      </c>
      <c r="IF93" s="450">
        <f ca="1">DATE(YEAR(IE93),MONTH(IE93),DAY(IE93)+7)</f>
        <v>42922</v>
      </c>
      <c r="IG93" s="494"/>
      <c r="IH93" s="505">
        <f>$IH$1*HH93</f>
        <v>0</v>
      </c>
      <c r="II93" s="206">
        <f ca="1">DATE(YEAR(IF93),MONTH(IF93),DAY(IF93)+21)</f>
        <v>42943</v>
      </c>
      <c r="IJ93" s="497">
        <f ca="1">IF(AND(HY93&gt;0,II93&gt;0),II93-HY93,"0")</f>
        <v>43</v>
      </c>
      <c r="IK93" s="206">
        <f ca="1">DATE(YEAR(II93),MONTH(II93),DAY(II93)+30)</f>
        <v>42973</v>
      </c>
      <c r="IL93" s="478">
        <f ca="1">IF(IK93&lt;TODAY(),TODAY(),IK93)</f>
        <v>42973</v>
      </c>
      <c r="IM93" s="497"/>
      <c r="IN93" s="478"/>
      <c r="IO93" s="481"/>
      <c r="IP93" s="497"/>
      <c r="IQ93" s="506"/>
      <c r="IR93" s="490"/>
      <c r="IS93" s="491"/>
      <c r="IT93" s="206">
        <f>IN93</f>
        <v>0</v>
      </c>
      <c r="IU93" s="498" t="str">
        <f>IF(AND(IN93&gt;0,IT93&gt;0),IT93-IN93,"0")</f>
        <v>0</v>
      </c>
      <c r="IV93" s="206">
        <f>DATE(YEAR(IT93),MONTH(IT93),DAY(IT93)+30)</f>
        <v>30</v>
      </c>
      <c r="IW93" s="206">
        <f ca="1">IF(IV93&lt;TODAY(),TODAY(),IV93)</f>
        <v>42789</v>
      </c>
      <c r="IX93" s="498">
        <f ca="1">IF(AND(IV93&gt;0,IW93&gt;0),IW93-IV93,"0")</f>
        <v>42759</v>
      </c>
      <c r="IY93" s="206">
        <f>DATE(YEAR(IV93),MONTH(IV93),DAY(IV93)+30)</f>
        <v>60</v>
      </c>
      <c r="IZ93" s="482">
        <f ca="1">IF(AND(IW93&gt;0,IY93&gt;0),IY93-IW93,"0")</f>
        <v>-42729</v>
      </c>
      <c r="JA93" s="498">
        <f ca="1">IZ93-30</f>
        <v>-42759</v>
      </c>
      <c r="JB93" s="508" t="str">
        <f>IF(AND(IT93&gt;0,IY93&gt;0),IY93-IT93,"0")</f>
        <v>0</v>
      </c>
      <c r="JC93" s="490"/>
      <c r="JD93" s="491"/>
      <c r="JE93" s="502">
        <f>IY93</f>
        <v>60</v>
      </c>
      <c r="JF93" s="487">
        <f>IF(AND(IY93&gt;0,JE93&gt;0),JE93-IY93,"0")</f>
        <v>0</v>
      </c>
      <c r="JG93" s="502">
        <f>DATE(YEAR(JE93),MONTH(JE93),DAY(JE93)+15)</f>
        <v>75</v>
      </c>
      <c r="JH93" s="502">
        <f ca="1">IF(JG93&lt;TODAY(),TODAY(),JG93)</f>
        <v>42789</v>
      </c>
      <c r="JI93" s="487">
        <f ca="1">IF(AND(JG93&gt;0,JH93&gt;0),JH93-JG93,"0")</f>
        <v>42714</v>
      </c>
      <c r="JJ93" s="502">
        <f ca="1">DATE(YEAR(JH93),MONTH(JH93),DAY(JH93)+45)</f>
        <v>42834</v>
      </c>
      <c r="JK93" s="502">
        <f ca="1">JJ93</f>
        <v>42834</v>
      </c>
      <c r="JL93" s="487">
        <f ca="1">IF(AND(JJ93&gt;0,JK93&gt;0),JK93-JJ93,"0")</f>
        <v>0</v>
      </c>
      <c r="JM93" s="509">
        <f ca="1">IF(AND(JE93&gt;0,JK93&gt;0),JK93-JE93,"0")</f>
        <v>42774</v>
      </c>
      <c r="JN93" s="502">
        <f ca="1">DATE(YEAR(JK93),MONTH(JK93),DAY(JK93)+60)</f>
        <v>42894</v>
      </c>
      <c r="JO93" s="501">
        <f ca="1">IF(AND(JK93&gt;0,JN93&gt;0),JN93-JK93,"0")</f>
        <v>60</v>
      </c>
      <c r="JP93" s="498">
        <f ca="1">JO93-60</f>
        <v>0</v>
      </c>
      <c r="JQ93" s="482">
        <f>291/30</f>
        <v>9.6999999999999993</v>
      </c>
      <c r="JR93" s="504">
        <f ca="1">((+HS93+HU93+IB93+IJ93+IQ93+IU93+JB93+JM93+JF93)/30)-JQ93</f>
        <v>1421.2333333333333</v>
      </c>
      <c r="JS93" s="490"/>
      <c r="JT93" s="491"/>
      <c r="JU93" s="490"/>
      <c r="JV93" s="491"/>
      <c r="JW93" s="586"/>
      <c r="JX93" s="586"/>
      <c r="JY93" s="586"/>
      <c r="JZ93" s="586"/>
    </row>
    <row r="94" spans="1:286" ht="63" hidden="1" customHeight="1" x14ac:dyDescent="0.25">
      <c r="A94" s="146" t="s">
        <v>879</v>
      </c>
      <c r="B94" s="110" t="s">
        <v>38</v>
      </c>
      <c r="C94" s="110" t="s">
        <v>157</v>
      </c>
      <c r="D94" s="111">
        <v>2018</v>
      </c>
      <c r="E94" s="110"/>
      <c r="F94" s="111"/>
      <c r="G94" s="111"/>
      <c r="H94" s="111"/>
      <c r="I94" s="111"/>
      <c r="J94" s="110"/>
      <c r="K94" s="453"/>
      <c r="L94" s="309"/>
      <c r="M94" s="310"/>
      <c r="N94" s="311"/>
      <c r="O94" s="387"/>
      <c r="P94" s="387"/>
      <c r="Q94" s="387"/>
      <c r="R94" s="379"/>
      <c r="S94" s="387"/>
      <c r="T94" s="387"/>
      <c r="U94" s="387"/>
      <c r="V94" s="387"/>
      <c r="W94" s="379"/>
      <c r="X94" s="391"/>
      <c r="Y94" s="392"/>
      <c r="Z94" s="391"/>
      <c r="AA94" s="394"/>
      <c r="AB94" s="390"/>
      <c r="AC94" s="111" t="s">
        <v>26</v>
      </c>
      <c r="AD94" s="342">
        <f>AE94+AF94</f>
        <v>15</v>
      </c>
      <c r="AE94" s="121"/>
      <c r="AF94" s="110">
        <v>15</v>
      </c>
      <c r="AG94" s="115"/>
      <c r="AH94" s="547"/>
      <c r="AI94" s="114"/>
      <c r="AJ94" s="117"/>
      <c r="AK94" s="117"/>
      <c r="AL94" s="117"/>
      <c r="AM94" s="117"/>
      <c r="AN94" s="117"/>
      <c r="AO94" s="115"/>
      <c r="AP94" s="134"/>
      <c r="AQ94" s="136"/>
      <c r="AR94" s="115"/>
      <c r="AS94" s="111"/>
      <c r="AT94" s="111"/>
      <c r="AU94" s="111"/>
      <c r="AV94" s="111"/>
      <c r="AW94" s="338"/>
      <c r="AX94" s="338"/>
      <c r="AY94" s="111"/>
      <c r="AZ94" s="111"/>
      <c r="BA94" s="111"/>
      <c r="BB94" s="111"/>
      <c r="BC94" s="111"/>
      <c r="BD94" s="111"/>
      <c r="BE94" s="111"/>
      <c r="BF94" s="111"/>
      <c r="BG94" s="111"/>
      <c r="BH94" s="111"/>
      <c r="BI94" s="111"/>
      <c r="BJ94" s="111"/>
      <c r="BK94" s="111"/>
      <c r="BL94" s="111"/>
      <c r="BM94" s="111"/>
      <c r="BN94" s="196"/>
      <c r="BO94" s="358"/>
      <c r="BP94" s="358"/>
      <c r="BQ94" s="196"/>
      <c r="BR94" s="196"/>
      <c r="BS94" s="196"/>
      <c r="BT94" s="520"/>
      <c r="BU94" s="376"/>
      <c r="BV94" s="160"/>
      <c r="BW94" s="160"/>
      <c r="BX94" s="160"/>
      <c r="BY94" s="160"/>
      <c r="BZ94" s="376"/>
      <c r="CA94" s="160"/>
      <c r="CB94" s="302"/>
      <c r="CC94" s="374"/>
      <c r="CD94" s="302"/>
      <c r="CE94" s="302"/>
      <c r="CF94" s="161"/>
      <c r="CG94" s="336">
        <f>DATE(YEAR(CF94),MONTH(CF94)+24,DAY(CF94))</f>
        <v>731</v>
      </c>
      <c r="CH94" s="336">
        <f>DATE(YEAR(CF94),MONTH(CF94)+36,DAY(CF94))</f>
        <v>1096</v>
      </c>
      <c r="CI94" s="336"/>
      <c r="CJ94" s="302"/>
      <c r="CK94" s="302"/>
      <c r="CL94" s="161"/>
      <c r="CM94" s="371"/>
      <c r="CN94" s="166"/>
      <c r="CO94" s="166"/>
      <c r="CP94" s="162"/>
      <c r="CQ94" s="367"/>
      <c r="CR94" s="166"/>
      <c r="CS94" s="166"/>
      <c r="CT94" s="166"/>
      <c r="CU94" s="368"/>
      <c r="CV94" s="166"/>
      <c r="CW94" s="166"/>
      <c r="CX94" s="166"/>
      <c r="CY94" s="368"/>
      <c r="CZ94" s="166"/>
      <c r="DA94" s="166"/>
      <c r="DB94" s="299"/>
      <c r="DC94" s="313"/>
      <c r="DD94" s="299"/>
      <c r="DE94" s="299"/>
      <c r="DF94" s="299"/>
      <c r="DG94" s="299"/>
      <c r="DH94" s="299"/>
      <c r="DI94" s="299"/>
      <c r="DJ94" s="299"/>
      <c r="DK94" s="298"/>
      <c r="DL94" s="298"/>
      <c r="DM94" s="298"/>
      <c r="DN94" s="298"/>
      <c r="DO94" s="293"/>
      <c r="DP94" s="293"/>
      <c r="DQ94" s="443"/>
      <c r="DR94" s="443"/>
      <c r="DS94" s="443"/>
      <c r="DT94" s="298"/>
      <c r="DU94" s="443"/>
      <c r="DV94" s="443"/>
      <c r="DW94" s="443"/>
      <c r="DX94" s="415"/>
      <c r="DY94" s="423"/>
      <c r="DZ94" s="423"/>
      <c r="EA94" s="434"/>
      <c r="EB94" s="423"/>
      <c r="EC94" s="430"/>
      <c r="ED94" s="430"/>
      <c r="EE94" s="422"/>
      <c r="EF94" s="422"/>
      <c r="EG94" s="422"/>
      <c r="EH94" s="422"/>
      <c r="EI94" s="431"/>
      <c r="EJ94" s="431"/>
      <c r="EK94" s="423"/>
      <c r="EL94" s="423"/>
      <c r="EM94" s="423"/>
      <c r="EN94" s="210"/>
      <c r="EO94" s="210"/>
      <c r="EP94" s="432"/>
      <c r="EQ94" s="433"/>
      <c r="ER94" s="433"/>
      <c r="ES94" s="423"/>
      <c r="ET94" s="423"/>
      <c r="EU94" s="334"/>
      <c r="EV94" s="206"/>
      <c r="EW94" s="206"/>
      <c r="EX94" s="206"/>
      <c r="EY94" s="434"/>
      <c r="EZ94" s="218"/>
      <c r="FA94" s="218"/>
      <c r="FB94" s="218"/>
      <c r="FC94" s="218"/>
      <c r="FD94" s="111"/>
      <c r="FE94" s="111"/>
      <c r="FF94" s="111"/>
      <c r="FG94" s="111"/>
      <c r="FH94" s="111"/>
      <c r="FI94" s="111"/>
      <c r="FJ94" s="111"/>
      <c r="FK94" s="111"/>
      <c r="FL94" s="111"/>
      <c r="FM94" s="111"/>
      <c r="FN94" s="111"/>
      <c r="FO94" s="111"/>
      <c r="FP94" s="199"/>
      <c r="FQ94" s="153"/>
      <c r="FR94" s="124"/>
      <c r="FS94" s="154"/>
      <c r="FT94" s="98"/>
      <c r="FU94" s="98"/>
      <c r="FV94" s="523"/>
      <c r="FW94" s="129"/>
      <c r="FX94" s="154"/>
      <c r="FY94" s="232"/>
      <c r="FZ94" s="234"/>
      <c r="GA94" s="523"/>
      <c r="GB94" s="129"/>
      <c r="GC94" s="98"/>
      <c r="GD94" s="155"/>
      <c r="GE94" s="523"/>
      <c r="GF94" s="124"/>
      <c r="GG94" s="550"/>
      <c r="GH94" s="550"/>
      <c r="GI94" s="155"/>
      <c r="GJ94" s="98"/>
      <c r="GK94" s="129"/>
      <c r="GL94" s="523"/>
      <c r="GM94" s="129"/>
      <c r="GN94" s="129"/>
      <c r="GO94" s="148"/>
      <c r="GP94" s="590"/>
      <c r="GQ94" s="129"/>
      <c r="GR94" s="149"/>
      <c r="GS94" s="98"/>
      <c r="GT94" s="138"/>
      <c r="GU94" s="149"/>
      <c r="GV94" s="150"/>
      <c r="GW94" s="150"/>
      <c r="GX94" s="551"/>
      <c r="GY94" s="551"/>
      <c r="GZ94" s="98"/>
      <c r="HA94" s="551"/>
      <c r="HB94" s="98"/>
      <c r="HC94" s="99"/>
      <c r="HD94" s="551"/>
      <c r="HE94" s="551"/>
      <c r="HF94" s="129"/>
      <c r="HG94" s="156"/>
      <c r="HH94" s="491"/>
      <c r="HI94" s="491"/>
      <c r="HJ94" s="494"/>
      <c r="HK94" s="505">
        <f>$HK$1*HH94</f>
        <v>0</v>
      </c>
      <c r="HL94" s="450">
        <f ca="1">TODAY()</f>
        <v>42789</v>
      </c>
      <c r="HM94" s="464">
        <f ca="1">DATE(YEAR(HL94),MONTH(HL94),DAY(HL94)+21)</f>
        <v>42810</v>
      </c>
      <c r="HN94" s="464">
        <f ca="1">IF(HM94&lt;TODAY(),TODAY(),HM94)</f>
        <v>42810</v>
      </c>
      <c r="HO94" s="497">
        <f ca="1">IF(AND(HM94&gt;0,HN94&gt;0),HN94-HM94,"0")</f>
        <v>0</v>
      </c>
      <c r="HP94" s="464">
        <f ca="1">DATE(YEAR(HL94),MONTH(HL94),DAY(HL94)+21)</f>
        <v>42810</v>
      </c>
      <c r="HQ94" s="481">
        <f ca="1">IF(AND(HN94&gt;0,HP94&gt;0),HP94-HN94,"0")</f>
        <v>0</v>
      </c>
      <c r="HR94" s="497">
        <f ca="1">+HQ94-30</f>
        <v>-30</v>
      </c>
      <c r="HS94" s="506">
        <f ca="1">IF(AND(HL94&gt;0,HP94&gt;0),HP94-HL94,"0")</f>
        <v>21</v>
      </c>
      <c r="HT94" s="450">
        <f ca="1">DATE(YEAR(HP94),MONTH(HP94),DAY(HP94)+30)</f>
        <v>42840</v>
      </c>
      <c r="HU94" s="497">
        <f ca="1">IF(AND(HP94&gt;0,HT94&gt;0),HT94-HP94,"0")</f>
        <v>30</v>
      </c>
      <c r="HV94" s="450">
        <f ca="1">DATE(YEAR(HT94),MONTH(HT94),DAY(HT94)+30)</f>
        <v>42870</v>
      </c>
      <c r="HW94" s="450">
        <f ca="1">IF(HV94&lt;TODAY(),TODAY(),HV94)</f>
        <v>42870</v>
      </c>
      <c r="HX94" s="497">
        <f ca="1">IF(AND(HV94&gt;0,HW94&gt;0),HW94-HV94,"0")</f>
        <v>0</v>
      </c>
      <c r="HY94" s="206">
        <f ca="1">DATE(YEAR(HV94),MONTH(HV94),DAY(HV94)+30)</f>
        <v>42900</v>
      </c>
      <c r="HZ94" s="481">
        <f ca="1">IF(AND(HW94&gt;0,HY94&gt;0),HY94-HW94,"0")</f>
        <v>30</v>
      </c>
      <c r="IA94" s="497">
        <f ca="1">+HZ94-30</f>
        <v>0</v>
      </c>
      <c r="IB94" s="506">
        <f ca="1">IF(AND(HT94&gt;0,HY94&gt;0),HY94-HT94,"0")</f>
        <v>60</v>
      </c>
      <c r="IC94" s="490"/>
      <c r="ID94" s="505">
        <f>$ID$1*HH94</f>
        <v>0</v>
      </c>
      <c r="IE94" s="450">
        <f ca="1">DATE(YEAR(HY94),MONTH(HY94),DAY(HY94)+15)</f>
        <v>42915</v>
      </c>
      <c r="IF94" s="450">
        <f ca="1">DATE(YEAR(IE94),MONTH(IE94),DAY(IE94)+7)</f>
        <v>42922</v>
      </c>
      <c r="IG94" s="494"/>
      <c r="IH94" s="505">
        <f>$IH$1*HH94</f>
        <v>0</v>
      </c>
      <c r="II94" s="206">
        <f ca="1">DATE(YEAR(IF94),MONTH(IF94),DAY(IF94)+21)</f>
        <v>42943</v>
      </c>
      <c r="IJ94" s="497">
        <f ca="1">IF(AND(HY94&gt;0,II94&gt;0),II94-HY94,"0")</f>
        <v>43</v>
      </c>
      <c r="IK94" s="206">
        <f ca="1">DATE(YEAR(II94),MONTH(II94),DAY(II94)+30)</f>
        <v>42973</v>
      </c>
      <c r="IL94" s="478">
        <f ca="1">IF(IK94&lt;TODAY(),TODAY(),IK94)</f>
        <v>42973</v>
      </c>
      <c r="IM94" s="497"/>
      <c r="IN94" s="478"/>
      <c r="IO94" s="481"/>
      <c r="IP94" s="497"/>
      <c r="IQ94" s="506"/>
      <c r="IR94" s="490"/>
      <c r="IS94" s="491"/>
      <c r="IT94" s="206">
        <f>IN94</f>
        <v>0</v>
      </c>
      <c r="IU94" s="498" t="str">
        <f>IF(AND(IN94&gt;0,IT94&gt;0),IT94-IN94,"0")</f>
        <v>0</v>
      </c>
      <c r="IV94" s="206">
        <f>DATE(YEAR(IT94),MONTH(IT94),DAY(IT94)+30)</f>
        <v>30</v>
      </c>
      <c r="IW94" s="206">
        <f ca="1">IF(IV94&lt;TODAY(),TODAY(),IV94)</f>
        <v>42789</v>
      </c>
      <c r="IX94" s="498">
        <f ca="1">IF(AND(IV94&gt;0,IW94&gt;0),IW94-IV94,"0")</f>
        <v>42759</v>
      </c>
      <c r="IY94" s="206">
        <f>DATE(YEAR(IV94),MONTH(IV94),DAY(IV94)+30)</f>
        <v>60</v>
      </c>
      <c r="IZ94" s="482">
        <f ca="1">IF(AND(IW94&gt;0,IY94&gt;0),IY94-IW94,"0")</f>
        <v>-42729</v>
      </c>
      <c r="JA94" s="498">
        <f ca="1">IZ94-30</f>
        <v>-42759</v>
      </c>
      <c r="JB94" s="508" t="str">
        <f>IF(AND(IT94&gt;0,IY94&gt;0),IY94-IT94,"0")</f>
        <v>0</v>
      </c>
      <c r="JC94" s="490"/>
      <c r="JD94" s="491"/>
      <c r="JE94" s="502">
        <f>IY94</f>
        <v>60</v>
      </c>
      <c r="JF94" s="487">
        <f>IF(AND(IY94&gt;0,JE94&gt;0),JE94-IY94,"0")</f>
        <v>0</v>
      </c>
      <c r="JG94" s="502">
        <f>DATE(YEAR(JE94),MONTH(JE94),DAY(JE94)+15)</f>
        <v>75</v>
      </c>
      <c r="JH94" s="502">
        <f ca="1">IF(JG94&lt;TODAY(),TODAY(),JG94)</f>
        <v>42789</v>
      </c>
      <c r="JI94" s="487">
        <f ca="1">IF(AND(JG94&gt;0,JH94&gt;0),JH94-JG94,"0")</f>
        <v>42714</v>
      </c>
      <c r="JJ94" s="502">
        <f ca="1">DATE(YEAR(JH94),MONTH(JH94),DAY(JH94)+45)</f>
        <v>42834</v>
      </c>
      <c r="JK94" s="502">
        <f ca="1">JJ94</f>
        <v>42834</v>
      </c>
      <c r="JL94" s="487">
        <f ca="1">IF(AND(JJ94&gt;0,JK94&gt;0),JK94-JJ94,"0")</f>
        <v>0</v>
      </c>
      <c r="JM94" s="509">
        <f ca="1">IF(AND(JE94&gt;0,JK94&gt;0),JK94-JE94,"0")</f>
        <v>42774</v>
      </c>
      <c r="JN94" s="502">
        <f ca="1">DATE(YEAR(JK94),MONTH(JK94),DAY(JK94)+60)</f>
        <v>42894</v>
      </c>
      <c r="JO94" s="501">
        <f ca="1">IF(AND(JK94&gt;0,JN94&gt;0),JN94-JK94,"0")</f>
        <v>60</v>
      </c>
      <c r="JP94" s="498">
        <f ca="1">JO94-60</f>
        <v>0</v>
      </c>
      <c r="JQ94" s="482">
        <f>291/30</f>
        <v>9.6999999999999993</v>
      </c>
      <c r="JR94" s="504">
        <f ca="1">((+HS94+HU94+IB94+IJ94+IQ94+IU94+JB94+JM94+JF94)/30)-JQ94</f>
        <v>1421.2333333333333</v>
      </c>
      <c r="JS94" s="490"/>
      <c r="JT94" s="491"/>
      <c r="JU94" s="490"/>
      <c r="JV94" s="491"/>
      <c r="JW94" s="586"/>
      <c r="JX94" s="586"/>
      <c r="JY94" s="586"/>
      <c r="JZ94" s="586"/>
    </row>
    <row r="95" spans="1:286" ht="63" hidden="1" customHeight="1" x14ac:dyDescent="0.25">
      <c r="A95" s="552" t="s">
        <v>851</v>
      </c>
      <c r="B95" s="110" t="s">
        <v>46</v>
      </c>
      <c r="C95" s="110" t="s">
        <v>157</v>
      </c>
      <c r="D95" s="110">
        <v>2018</v>
      </c>
      <c r="E95" s="110"/>
      <c r="F95" s="110" t="s">
        <v>834</v>
      </c>
      <c r="G95" s="110"/>
      <c r="H95" s="110"/>
      <c r="I95" s="110"/>
      <c r="J95" s="110" t="s">
        <v>856</v>
      </c>
      <c r="K95" s="453" t="s">
        <v>916</v>
      </c>
      <c r="L95" s="309" t="s">
        <v>80</v>
      </c>
      <c r="M95" s="310" t="s">
        <v>915</v>
      </c>
      <c r="N95" s="311">
        <v>34912</v>
      </c>
      <c r="O95" s="379"/>
      <c r="P95" s="379"/>
      <c r="Q95" s="379"/>
      <c r="R95" s="379"/>
      <c r="S95" s="379"/>
      <c r="T95" s="387"/>
      <c r="U95" s="387"/>
      <c r="V95" s="387"/>
      <c r="W95" s="379"/>
      <c r="X95" s="380"/>
      <c r="Y95" s="381"/>
      <c r="Z95" s="380"/>
      <c r="AA95" s="380"/>
      <c r="AB95" s="381"/>
      <c r="AC95" s="110" t="s">
        <v>833</v>
      </c>
      <c r="AD95" s="342">
        <v>128</v>
      </c>
      <c r="AE95" s="121"/>
      <c r="AF95" s="110"/>
      <c r="AG95" s="114"/>
      <c r="AH95" s="152"/>
      <c r="AI95" s="114"/>
      <c r="AJ95" s="135"/>
      <c r="AK95" s="135"/>
      <c r="AL95" s="135"/>
      <c r="AM95" s="135"/>
      <c r="AN95" s="135"/>
      <c r="AO95" s="114"/>
      <c r="AP95" s="133"/>
      <c r="AQ95" s="135"/>
      <c r="AR95" s="114"/>
      <c r="AS95" s="110"/>
      <c r="AT95" s="110"/>
      <c r="AU95" s="110"/>
      <c r="AV95" s="110"/>
      <c r="AW95" s="415"/>
      <c r="AX95" s="110"/>
      <c r="AY95" s="110"/>
      <c r="AZ95" s="464"/>
      <c r="BA95" s="110"/>
      <c r="BB95" s="540"/>
      <c r="BC95" s="540"/>
      <c r="BD95" s="110"/>
      <c r="BE95" s="110"/>
      <c r="BF95" s="110"/>
      <c r="BG95" s="110"/>
      <c r="BH95" s="110"/>
      <c r="BI95" s="110"/>
      <c r="BJ95" s="110"/>
      <c r="BK95" s="110"/>
      <c r="BL95" s="110"/>
      <c r="BM95" s="110"/>
      <c r="BN95" s="196"/>
      <c r="BO95" s="196"/>
      <c r="BP95" s="196"/>
      <c r="BQ95" s="196"/>
      <c r="BR95" s="196"/>
      <c r="BS95" s="196"/>
      <c r="BT95" s="158"/>
      <c r="BU95" s="376"/>
      <c r="BV95" s="160"/>
      <c r="BW95" s="160"/>
      <c r="BX95" s="160"/>
      <c r="BY95" s="160"/>
      <c r="BZ95" s="376"/>
      <c r="CA95" s="160"/>
      <c r="CB95" s="302"/>
      <c r="CC95" s="374"/>
      <c r="CD95" s="302"/>
      <c r="CE95" s="302"/>
      <c r="CF95" s="161"/>
      <c r="CG95" s="336">
        <f>DATE(YEAR(CF95),MONTH(CF95)+24,DAY(CF95))</f>
        <v>731</v>
      </c>
      <c r="CH95" s="336">
        <f>DATE(YEAR(CF95),MONTH(CF95)+36,DAY(CF95))</f>
        <v>1096</v>
      </c>
      <c r="CI95" s="336"/>
      <c r="CJ95" s="302"/>
      <c r="CK95" s="308"/>
      <c r="CL95" s="161"/>
      <c r="CM95" s="371"/>
      <c r="CN95" s="161"/>
      <c r="CO95" s="161"/>
      <c r="CP95" s="162"/>
      <c r="CQ95" s="367"/>
      <c r="CR95" s="162"/>
      <c r="CS95" s="162"/>
      <c r="CT95" s="162"/>
      <c r="CU95" s="367"/>
      <c r="CV95" s="162"/>
      <c r="CW95" s="162"/>
      <c r="CX95" s="162"/>
      <c r="CY95" s="367"/>
      <c r="CZ95" s="162"/>
      <c r="DA95" s="162"/>
      <c r="DB95" s="299"/>
      <c r="DC95" s="299"/>
      <c r="DD95" s="299"/>
      <c r="DE95" s="312"/>
      <c r="DF95" s="312"/>
      <c r="DG95" s="312"/>
      <c r="DH95" s="312"/>
      <c r="DI95" s="312"/>
      <c r="DJ95" s="312"/>
      <c r="DK95" s="293"/>
      <c r="DL95" s="293"/>
      <c r="DM95" s="293"/>
      <c r="DN95" s="293"/>
      <c r="DO95" s="293"/>
      <c r="DP95" s="293"/>
      <c r="DQ95" s="443"/>
      <c r="DR95" s="443"/>
      <c r="DS95" s="443"/>
      <c r="DT95" s="298"/>
      <c r="DU95" s="443"/>
      <c r="DV95" s="443"/>
      <c r="DW95" s="443"/>
      <c r="DX95" s="423"/>
      <c r="DY95" s="423"/>
      <c r="DZ95" s="423"/>
      <c r="EA95" s="434"/>
      <c r="EB95" s="423"/>
      <c r="EC95" s="430"/>
      <c r="ED95" s="430"/>
      <c r="EE95" s="422"/>
      <c r="EF95" s="422"/>
      <c r="EG95" s="423"/>
      <c r="EH95" s="423"/>
      <c r="EI95" s="431"/>
      <c r="EJ95" s="431"/>
      <c r="EK95" s="423"/>
      <c r="EL95" s="423"/>
      <c r="EM95" s="423"/>
      <c r="EN95" s="210"/>
      <c r="EO95" s="210"/>
      <c r="EP95" s="423"/>
      <c r="EQ95" s="423"/>
      <c r="ER95" s="423"/>
      <c r="ES95" s="423"/>
      <c r="ET95" s="423"/>
      <c r="EU95" s="334"/>
      <c r="EV95" s="206"/>
      <c r="EW95" s="206"/>
      <c r="EX95" s="209"/>
      <c r="EY95" s="434"/>
      <c r="EZ95" s="212"/>
      <c r="FA95" s="212"/>
      <c r="FB95" s="212"/>
      <c r="FC95" s="212"/>
      <c r="FD95" s="110"/>
      <c r="FE95" s="110"/>
      <c r="FF95" s="110"/>
      <c r="FG95" s="110"/>
      <c r="FH95" s="110"/>
      <c r="FI95" s="110"/>
      <c r="FJ95" s="110"/>
      <c r="FK95" s="110"/>
      <c r="FL95" s="110"/>
      <c r="FM95" s="110"/>
      <c r="FN95" s="110"/>
      <c r="FO95" s="110"/>
      <c r="FP95" s="199"/>
      <c r="FQ95" s="153">
        <v>1724880</v>
      </c>
      <c r="FR95" s="124"/>
      <c r="FS95" s="154"/>
      <c r="FT95" s="98"/>
      <c r="FU95" s="98"/>
      <c r="FV95" s="153"/>
      <c r="FW95" s="124"/>
      <c r="FX95" s="154"/>
      <c r="FY95" s="232"/>
      <c r="FZ95" s="232"/>
      <c r="GA95" s="153"/>
      <c r="GB95" s="124"/>
      <c r="GC95" s="98"/>
      <c r="GD95" s="155"/>
      <c r="GE95" s="153"/>
      <c r="GF95" s="124"/>
      <c r="GG95" s="147"/>
      <c r="GH95" s="147"/>
      <c r="GI95" s="155"/>
      <c r="GJ95" s="98"/>
      <c r="GK95" s="124"/>
      <c r="GL95" s="153"/>
      <c r="GM95" s="124"/>
      <c r="GN95" s="124"/>
      <c r="GO95" s="148"/>
      <c r="GP95" s="590"/>
      <c r="GQ95" s="124"/>
      <c r="GR95" s="149"/>
      <c r="GS95" s="98"/>
      <c r="GT95" s="138"/>
      <c r="GU95" s="149"/>
      <c r="GV95" s="150"/>
      <c r="GW95" s="150"/>
      <c r="GX95" s="151"/>
      <c r="GY95" s="151"/>
      <c r="GZ95" s="98">
        <f>(GA95+GL95+GY95)/AD95</f>
        <v>0</v>
      </c>
      <c r="HA95" s="151"/>
      <c r="HB95" s="98">
        <f>(GB95+GM95+GY95+HA95)/AD95</f>
        <v>0</v>
      </c>
      <c r="HC95" s="99">
        <f>(GA95+GL95+GY95+HA95)/(GX95+FQ95-HD95)</f>
        <v>0</v>
      </c>
      <c r="HD95" s="151"/>
      <c r="HE95" s="151"/>
      <c r="HF95" s="124"/>
      <c r="HG95" s="156">
        <f>FQ95+GX95</f>
        <v>1724880</v>
      </c>
      <c r="HH95" s="491"/>
      <c r="HI95" s="491"/>
      <c r="HJ95" s="494"/>
      <c r="HK95" s="505">
        <f>$HK$1*HH95</f>
        <v>0</v>
      </c>
      <c r="HL95" s="450">
        <f ca="1">TODAY()</f>
        <v>42789</v>
      </c>
      <c r="HM95" s="464">
        <f ca="1">DATE(YEAR(HL95),MONTH(HL95),DAY(HL95)+21)</f>
        <v>42810</v>
      </c>
      <c r="HN95" s="464">
        <f ca="1">IF(HM95&lt;TODAY(),TODAY(),HM95)</f>
        <v>42810</v>
      </c>
      <c r="HO95" s="497">
        <f ca="1">IF(AND(HM95&gt;0,HN95&gt;0),HN95-HM95,"0")</f>
        <v>0</v>
      </c>
      <c r="HP95" s="464">
        <f ca="1">DATE(YEAR(HL95),MONTH(HL95),DAY(HL95)+21)</f>
        <v>42810</v>
      </c>
      <c r="HQ95" s="481">
        <f ca="1">IF(AND(HN95&gt;0,HP95&gt;0),HP95-HN95,"0")</f>
        <v>0</v>
      </c>
      <c r="HR95" s="497">
        <f ca="1">+HQ95-30</f>
        <v>-30</v>
      </c>
      <c r="HS95" s="506">
        <f ca="1">IF(AND(HL95&gt;0,HP95&gt;0),HP95-HL95,"0")</f>
        <v>21</v>
      </c>
      <c r="HT95" s="450">
        <f ca="1">DATE(YEAR(HP95),MONTH(HP95),DAY(HP95)+30)</f>
        <v>42840</v>
      </c>
      <c r="HU95" s="497">
        <f ca="1">IF(AND(HP95&gt;0,HT95&gt;0),HT95-HP95,"0")</f>
        <v>30</v>
      </c>
      <c r="HV95" s="450">
        <f ca="1">DATE(YEAR(HT95),MONTH(HT95),DAY(HT95)+30)</f>
        <v>42870</v>
      </c>
      <c r="HW95" s="450">
        <f ca="1">IF(HV95&lt;TODAY(),TODAY(),HV95)</f>
        <v>42870</v>
      </c>
      <c r="HX95" s="497">
        <f ca="1">IF(AND(HV95&gt;0,HW95&gt;0),HW95-HV95,"0")</f>
        <v>0</v>
      </c>
      <c r="HY95" s="206">
        <f ca="1">DATE(YEAR(HV95),MONTH(HV95),DAY(HV95)+30)</f>
        <v>42900</v>
      </c>
      <c r="HZ95" s="481">
        <f ca="1">IF(AND(HW95&gt;0,HY95&gt;0),HY95-HW95,"0")</f>
        <v>30</v>
      </c>
      <c r="IA95" s="497">
        <f ca="1">+HZ95-30</f>
        <v>0</v>
      </c>
      <c r="IB95" s="506">
        <f ca="1">IF(AND(HT95&gt;0,HY95&gt;0),HY95-HT95,"0")</f>
        <v>60</v>
      </c>
      <c r="IC95" s="490"/>
      <c r="ID95" s="505">
        <f>$ID$1*HH95</f>
        <v>0</v>
      </c>
      <c r="IE95" s="450">
        <f ca="1">DATE(YEAR(HY95),MONTH(HY95),DAY(HY95)+15)</f>
        <v>42915</v>
      </c>
      <c r="IF95" s="450">
        <f ca="1">DATE(YEAR(IE95),MONTH(IE95),DAY(IE95)+7)</f>
        <v>42922</v>
      </c>
      <c r="IG95" s="494"/>
      <c r="IH95" s="505">
        <f>$IH$1*HH95</f>
        <v>0</v>
      </c>
      <c r="II95" s="206">
        <f ca="1">DATE(YEAR(IF95),MONTH(IF95),DAY(IF95)+21)</f>
        <v>42943</v>
      </c>
      <c r="IJ95" s="497">
        <f ca="1">IF(AND(HY95&gt;0,II95&gt;0),II95-HY95,"0")</f>
        <v>43</v>
      </c>
      <c r="IK95" s="206">
        <f ca="1">DATE(YEAR(II95),MONTH(II95),DAY(II95)+30)</f>
        <v>42973</v>
      </c>
      <c r="IL95" s="206">
        <f ca="1">IF(IK95&lt;TODAY(),TODAY(),IK95)</f>
        <v>42973</v>
      </c>
      <c r="IM95" s="497"/>
      <c r="IN95" s="206"/>
      <c r="IO95" s="481"/>
      <c r="IP95" s="497"/>
      <c r="IQ95" s="506"/>
      <c r="IR95" s="490"/>
      <c r="IS95" s="491"/>
      <c r="IT95" s="206">
        <f>IN95</f>
        <v>0</v>
      </c>
      <c r="IU95" s="498" t="str">
        <f>IF(AND(IN95&gt;0,IT95&gt;0),IT95-IN95,"0")</f>
        <v>0</v>
      </c>
      <c r="IV95" s="206">
        <f>DATE(YEAR(IT95),MONTH(IT95),DAY(IT95)+30)</f>
        <v>30</v>
      </c>
      <c r="IW95" s="206">
        <f ca="1">IF(IV95&lt;TODAY(),TODAY(),IV95)</f>
        <v>42789</v>
      </c>
      <c r="IX95" s="498">
        <f ca="1">IF(AND(IV95&gt;0,IW95&gt;0),IW95-IV95,"0")</f>
        <v>42759</v>
      </c>
      <c r="IY95" s="206">
        <f>DATE(YEAR(IV95),MONTH(IV95),DAY(IV95)+30)</f>
        <v>60</v>
      </c>
      <c r="IZ95" s="482">
        <f ca="1">IF(AND(IW95&gt;0,IY95&gt;0),IY95-IW95,"0")</f>
        <v>-42729</v>
      </c>
      <c r="JA95" s="498">
        <f ca="1">IZ95-30</f>
        <v>-42759</v>
      </c>
      <c r="JB95" s="508" t="str">
        <f>IF(AND(IT95&gt;0,IY95&gt;0),IY95-IT95,"0")</f>
        <v>0</v>
      </c>
      <c r="JC95" s="490"/>
      <c r="JD95" s="505"/>
      <c r="JE95" s="502">
        <f>IY95</f>
        <v>60</v>
      </c>
      <c r="JF95" s="487">
        <f>IF(AND(IY95&gt;0,JE95&gt;0),JE95-IY95,"0")</f>
        <v>0</v>
      </c>
      <c r="JG95" s="502">
        <f>DATE(YEAR(JE95),MONTH(JE95),DAY(JE95)+15)</f>
        <v>75</v>
      </c>
      <c r="JH95" s="502">
        <f ca="1">IF(JG95&lt;TODAY(),TODAY(),JG95)</f>
        <v>42789</v>
      </c>
      <c r="JI95" s="487">
        <f ca="1">IF(AND(JG95&gt;0,JH95&gt;0),JH95-JG95,"0")</f>
        <v>42714</v>
      </c>
      <c r="JJ95" s="502">
        <f ca="1">DATE(YEAR(JH95),MONTH(JH95),DAY(JH95)+45)</f>
        <v>42834</v>
      </c>
      <c r="JK95" s="502">
        <f ca="1">JJ95</f>
        <v>42834</v>
      </c>
      <c r="JL95" s="487">
        <f ca="1">IF(AND(JJ95&gt;0,JK95&gt;0),JK95-JJ95,"0")</f>
        <v>0</v>
      </c>
      <c r="JM95" s="509">
        <f ca="1">IF(AND(JE95&gt;0,JK95&gt;0),JK95-JE95,"0")</f>
        <v>42774</v>
      </c>
      <c r="JN95" s="502">
        <f ca="1">DATE(YEAR(JK95),MONTH(JK95),DAY(JK95)+60)</f>
        <v>42894</v>
      </c>
      <c r="JO95" s="501">
        <f ca="1">IF(AND(JK95&gt;0,JN95&gt;0),JN95-JK95,"0")</f>
        <v>60</v>
      </c>
      <c r="JP95" s="498">
        <f ca="1">JO95-60</f>
        <v>0</v>
      </c>
      <c r="JQ95" s="482">
        <f>291/30</f>
        <v>9.6999999999999993</v>
      </c>
      <c r="JR95" s="504">
        <f ca="1">((+HS95+HU95+IB95+IJ95+IQ95+IU95+JB95+JM95+JF95)/30)-JQ95</f>
        <v>1421.2333333333333</v>
      </c>
      <c r="JS95" s="490"/>
      <c r="JT95" s="491"/>
      <c r="JU95" s="490"/>
      <c r="JV95" s="491"/>
      <c r="JW95" s="586"/>
      <c r="JX95" s="586"/>
      <c r="JY95" s="586"/>
      <c r="JZ95" s="586"/>
    </row>
    <row r="96" spans="1:286" ht="63" hidden="1" customHeight="1" x14ac:dyDescent="0.25">
      <c r="A96" s="159" t="s">
        <v>876</v>
      </c>
      <c r="B96" s="110" t="s">
        <v>46</v>
      </c>
      <c r="C96" s="110" t="s">
        <v>157</v>
      </c>
      <c r="D96" s="110">
        <v>2018</v>
      </c>
      <c r="E96" s="110"/>
      <c r="F96" s="110"/>
      <c r="G96" s="110"/>
      <c r="H96" s="110"/>
      <c r="I96" s="110"/>
      <c r="J96" s="110" t="s">
        <v>876</v>
      </c>
      <c r="K96" s="453"/>
      <c r="L96" s="309"/>
      <c r="M96" s="310"/>
      <c r="N96" s="311"/>
      <c r="O96" s="387"/>
      <c r="P96" s="387"/>
      <c r="Q96" s="387"/>
      <c r="R96" s="379"/>
      <c r="S96" s="387"/>
      <c r="T96" s="387"/>
      <c r="U96" s="387"/>
      <c r="V96" s="387"/>
      <c r="W96" s="379"/>
      <c r="X96" s="391"/>
      <c r="Y96" s="392"/>
      <c r="Z96" s="391"/>
      <c r="AA96" s="380"/>
      <c r="AB96" s="381"/>
      <c r="AC96" s="110" t="s">
        <v>26</v>
      </c>
      <c r="AD96" s="342">
        <f>(AE96+AF96)</f>
        <v>70</v>
      </c>
      <c r="AE96" s="121"/>
      <c r="AF96" s="110">
        <v>70</v>
      </c>
      <c r="AG96" s="114"/>
      <c r="AH96" s="163"/>
      <c r="AI96" s="114"/>
      <c r="AJ96" s="116"/>
      <c r="AK96" s="116"/>
      <c r="AL96" s="116"/>
      <c r="AM96" s="116"/>
      <c r="AN96" s="116"/>
      <c r="AO96" s="114"/>
      <c r="AP96" s="133"/>
      <c r="AQ96" s="135"/>
      <c r="AR96" s="114"/>
      <c r="AS96" s="110"/>
      <c r="AT96" s="110"/>
      <c r="AU96" s="110"/>
      <c r="AV96" s="110"/>
      <c r="AW96" s="332"/>
      <c r="AX96" s="338"/>
      <c r="AY96" s="110"/>
      <c r="AZ96" s="110"/>
      <c r="BA96" s="540"/>
      <c r="BB96" s="540"/>
      <c r="BC96" s="540"/>
      <c r="BD96" s="540"/>
      <c r="BE96" s="110"/>
      <c r="BF96" s="110"/>
      <c r="BG96" s="110"/>
      <c r="BH96" s="110"/>
      <c r="BI96" s="110"/>
      <c r="BJ96" s="110"/>
      <c r="BK96" s="110"/>
      <c r="BL96" s="110"/>
      <c r="BM96" s="110"/>
      <c r="BN96" s="196"/>
      <c r="BO96" s="196"/>
      <c r="BP96" s="196"/>
      <c r="BQ96" s="196"/>
      <c r="BR96" s="196"/>
      <c r="BS96" s="196"/>
      <c r="BT96" s="461"/>
      <c r="BU96" s="376"/>
      <c r="BV96" s="160"/>
      <c r="BW96" s="160"/>
      <c r="BX96" s="160"/>
      <c r="BY96" s="160"/>
      <c r="BZ96" s="376"/>
      <c r="CA96" s="160"/>
      <c r="CB96" s="302"/>
      <c r="CC96" s="374"/>
      <c r="CD96" s="302"/>
      <c r="CE96" s="302"/>
      <c r="CF96" s="161"/>
      <c r="CG96" s="336">
        <f>DATE(YEAR(CF96),MONTH(CF96)+24,DAY(CF96))</f>
        <v>731</v>
      </c>
      <c r="CH96" s="336">
        <f>DATE(YEAR(CF96),MONTH(CF96)+36,DAY(CF96))</f>
        <v>1096</v>
      </c>
      <c r="CI96" s="336"/>
      <c r="CJ96" s="302"/>
      <c r="CK96" s="197"/>
      <c r="CL96" s="161"/>
      <c r="CM96" s="371"/>
      <c r="CN96" s="336"/>
      <c r="CO96" s="161"/>
      <c r="CP96" s="162"/>
      <c r="CQ96" s="367"/>
      <c r="CR96" s="162"/>
      <c r="CS96" s="162"/>
      <c r="CT96" s="162"/>
      <c r="CU96" s="367"/>
      <c r="CV96" s="162"/>
      <c r="CW96" s="162"/>
      <c r="CX96" s="161"/>
      <c r="CY96" s="367"/>
      <c r="CZ96" s="162"/>
      <c r="DA96" s="162"/>
      <c r="DB96" s="299"/>
      <c r="DC96" s="313"/>
      <c r="DD96" s="299"/>
      <c r="DE96" s="299"/>
      <c r="DF96" s="299"/>
      <c r="DG96" s="299"/>
      <c r="DH96" s="299"/>
      <c r="DI96" s="299"/>
      <c r="DJ96" s="299"/>
      <c r="DK96" s="293"/>
      <c r="DL96" s="293"/>
      <c r="DM96" s="293"/>
      <c r="DN96" s="293"/>
      <c r="DO96" s="293"/>
      <c r="DP96" s="293"/>
      <c r="DQ96" s="443"/>
      <c r="DR96" s="443"/>
      <c r="DS96" s="443"/>
      <c r="DT96" s="298"/>
      <c r="DU96" s="443"/>
      <c r="DV96" s="443"/>
      <c r="DW96" s="443"/>
      <c r="DX96" s="110"/>
      <c r="DY96" s="110"/>
      <c r="DZ96" s="110"/>
      <c r="EA96" s="413"/>
      <c r="EB96" s="228"/>
      <c r="EC96" s="428"/>
      <c r="ED96" s="428"/>
      <c r="EE96" s="422"/>
      <c r="EF96" s="422"/>
      <c r="EG96" s="422"/>
      <c r="EH96" s="422"/>
      <c r="EI96" s="411"/>
      <c r="EJ96" s="411"/>
      <c r="EK96" s="224"/>
      <c r="EL96" s="223"/>
      <c r="EM96" s="223"/>
      <c r="EN96" s="210"/>
      <c r="EO96" s="210"/>
      <c r="EP96" s="223"/>
      <c r="EQ96" s="340"/>
      <c r="ER96" s="340"/>
      <c r="ES96" s="226"/>
      <c r="ET96" s="226"/>
      <c r="EU96" s="210"/>
      <c r="EV96" s="206"/>
      <c r="EW96" s="484"/>
      <c r="EX96" s="207"/>
      <c r="EY96" s="212"/>
      <c r="EZ96" s="212"/>
      <c r="FA96" s="212"/>
      <c r="FB96" s="212"/>
      <c r="FC96" s="212"/>
      <c r="FD96" s="110"/>
      <c r="FE96" s="110"/>
      <c r="FF96" s="110"/>
      <c r="FG96" s="110"/>
      <c r="FH96" s="110"/>
      <c r="FI96" s="110"/>
      <c r="FJ96" s="110"/>
      <c r="FK96" s="110"/>
      <c r="FL96" s="110"/>
      <c r="FM96" s="110"/>
      <c r="FN96" s="110"/>
      <c r="FO96" s="110"/>
      <c r="FP96" s="199"/>
      <c r="FQ96" s="153"/>
      <c r="FR96" s="124"/>
      <c r="FS96" s="154"/>
      <c r="FT96" s="98"/>
      <c r="FU96" s="98"/>
      <c r="FV96" s="153"/>
      <c r="FW96" s="124"/>
      <c r="FX96" s="154"/>
      <c r="FY96" s="232"/>
      <c r="FZ96" s="232"/>
      <c r="GA96" s="153"/>
      <c r="GB96" s="124"/>
      <c r="GC96" s="98"/>
      <c r="GD96" s="155"/>
      <c r="GE96" s="153"/>
      <c r="GF96" s="124"/>
      <c r="GG96" s="147"/>
      <c r="GH96" s="147"/>
      <c r="GI96" s="155"/>
      <c r="GJ96" s="98"/>
      <c r="GK96" s="124"/>
      <c r="GL96" s="153"/>
      <c r="GM96" s="124"/>
      <c r="GN96" s="124"/>
      <c r="GO96" s="148"/>
      <c r="GP96" s="590"/>
      <c r="GQ96" s="124"/>
      <c r="GR96" s="149"/>
      <c r="GS96" s="138"/>
      <c r="GT96" s="138"/>
      <c r="GU96" s="149"/>
      <c r="GV96" s="462"/>
      <c r="GW96" s="462"/>
      <c r="GX96" s="151"/>
      <c r="GY96" s="151"/>
      <c r="GZ96" s="98"/>
      <c r="HA96" s="151"/>
      <c r="HB96" s="98"/>
      <c r="HC96" s="99"/>
      <c r="HD96" s="151"/>
      <c r="HE96" s="151"/>
      <c r="HF96" s="124"/>
      <c r="HG96" s="156"/>
      <c r="HH96" s="491"/>
      <c r="HI96" s="491"/>
      <c r="HJ96" s="494"/>
      <c r="HK96" s="505">
        <f>$HK$1*HH96</f>
        <v>0</v>
      </c>
      <c r="HL96" s="450">
        <f ca="1">TODAY()</f>
        <v>42789</v>
      </c>
      <c r="HM96" s="464">
        <f ca="1">DATE(YEAR(HL96),MONTH(HL96),DAY(HL96)+21)</f>
        <v>42810</v>
      </c>
      <c r="HN96" s="464">
        <f ca="1">IF(HM96&lt;TODAY(),TODAY(),HM96)</f>
        <v>42810</v>
      </c>
      <c r="HO96" s="497">
        <f ca="1">IF(AND(HM96&gt;0,HN96&gt;0),HN96-HM96,"0")</f>
        <v>0</v>
      </c>
      <c r="HP96" s="464">
        <f ca="1">DATE(YEAR(HL96),MONTH(HL96),DAY(HL96)+21)</f>
        <v>42810</v>
      </c>
      <c r="HQ96" s="481">
        <f ca="1">IF(AND(HN96&gt;0,HP96&gt;0),HP96-HN96,"0")</f>
        <v>0</v>
      </c>
      <c r="HR96" s="497">
        <f ca="1">+HQ96-30</f>
        <v>-30</v>
      </c>
      <c r="HS96" s="506">
        <f ca="1">IF(AND(HL96&gt;0,HP96&gt;0),HP96-HL96,"0")</f>
        <v>21</v>
      </c>
      <c r="HT96" s="450">
        <f ca="1">DATE(YEAR(HP96),MONTH(HP96),DAY(HP96)+30)</f>
        <v>42840</v>
      </c>
      <c r="HU96" s="497">
        <f ca="1">IF(AND(HP96&gt;0,HT96&gt;0),HT96-HP96,"0")</f>
        <v>30</v>
      </c>
      <c r="HV96" s="450">
        <f ca="1">DATE(YEAR(HT96),MONTH(HT96),DAY(HT96)+30)</f>
        <v>42870</v>
      </c>
      <c r="HW96" s="450">
        <f ca="1">IF(HV96&lt;TODAY(),TODAY(),HV96)</f>
        <v>42870</v>
      </c>
      <c r="HX96" s="497">
        <f ca="1">IF(AND(HV96&gt;0,HW96&gt;0),HW96-HV96,"0")</f>
        <v>0</v>
      </c>
      <c r="HY96" s="206">
        <f ca="1">DATE(YEAR(HV96),MONTH(HV96),DAY(HV96)+30)</f>
        <v>42900</v>
      </c>
      <c r="HZ96" s="481">
        <f ca="1">IF(AND(HW96&gt;0,HY96&gt;0),HY96-HW96,"0")</f>
        <v>30</v>
      </c>
      <c r="IA96" s="497">
        <f ca="1">+HZ96-30</f>
        <v>0</v>
      </c>
      <c r="IB96" s="506">
        <f ca="1">IF(AND(HT96&gt;0,HY96&gt;0),HY96-HT96,"0")</f>
        <v>60</v>
      </c>
      <c r="IC96" s="490"/>
      <c r="ID96" s="505">
        <f>$ID$1*HH96</f>
        <v>0</v>
      </c>
      <c r="IE96" s="450">
        <f ca="1">DATE(YEAR(HY96),MONTH(HY96),DAY(HY96)+15)</f>
        <v>42915</v>
      </c>
      <c r="IF96" s="450">
        <f ca="1">DATE(YEAR(IE96),MONTH(IE96),DAY(IE96)+7)</f>
        <v>42922</v>
      </c>
      <c r="IG96" s="494"/>
      <c r="IH96" s="505">
        <f>$IH$1*HH96</f>
        <v>0</v>
      </c>
      <c r="II96" s="206">
        <f ca="1">DATE(YEAR(IF96),MONTH(IF96),DAY(IF96)+21)</f>
        <v>42943</v>
      </c>
      <c r="IJ96" s="497">
        <f ca="1">IF(AND(HY96&gt;0,II96&gt;0),II96-HY96,"0")</f>
        <v>43</v>
      </c>
      <c r="IK96" s="206">
        <f ca="1">DATE(YEAR(II96),MONTH(II96),DAY(II96)+30)</f>
        <v>42973</v>
      </c>
      <c r="IL96" s="212">
        <f ca="1">IF(IK96&lt;TODAY(),TODAY(),IK96)</f>
        <v>42973</v>
      </c>
      <c r="IM96" s="497"/>
      <c r="IN96" s="212"/>
      <c r="IO96" s="481"/>
      <c r="IP96" s="497"/>
      <c r="IQ96" s="506"/>
      <c r="IR96" s="490"/>
      <c r="IS96" s="491"/>
      <c r="IT96" s="206">
        <f>IN96</f>
        <v>0</v>
      </c>
      <c r="IU96" s="498" t="str">
        <f>IF(AND(IN96&gt;0,IT96&gt;0),IT96-IN96,"0")</f>
        <v>0</v>
      </c>
      <c r="IV96" s="206">
        <f>DATE(YEAR(IT96),MONTH(IT96),DAY(IT96)+30)</f>
        <v>30</v>
      </c>
      <c r="IW96" s="206">
        <f ca="1">IF(IV96&lt;TODAY(),TODAY(),IV96)</f>
        <v>42789</v>
      </c>
      <c r="IX96" s="498">
        <f ca="1">IF(AND(IV96&gt;0,IW96&gt;0),IW96-IV96,"0")</f>
        <v>42759</v>
      </c>
      <c r="IY96" s="206">
        <f>DATE(YEAR(IV96),MONTH(IV96),DAY(IV96)+30)</f>
        <v>60</v>
      </c>
      <c r="IZ96" s="482">
        <f ca="1">IF(AND(IW96&gt;0,IY96&gt;0),IY96-IW96,"0")</f>
        <v>-42729</v>
      </c>
      <c r="JA96" s="498">
        <f ca="1">IZ96-30</f>
        <v>-42759</v>
      </c>
      <c r="JB96" s="508" t="str">
        <f>IF(AND(IT96&gt;0,IY96&gt;0),IY96-IT96,"0")</f>
        <v>0</v>
      </c>
      <c r="JC96" s="490"/>
      <c r="JD96" s="491"/>
      <c r="JE96" s="502">
        <f>IY96</f>
        <v>60</v>
      </c>
      <c r="JF96" s="487">
        <f>IF(AND(IY96&gt;0,JE96&gt;0),JE96-IY96,"0")</f>
        <v>0</v>
      </c>
      <c r="JG96" s="502">
        <f>DATE(YEAR(JE96),MONTH(JE96),DAY(JE96)+15)</f>
        <v>75</v>
      </c>
      <c r="JH96" s="502">
        <f ca="1">IF(JG96&lt;TODAY(),TODAY(),JG96)</f>
        <v>42789</v>
      </c>
      <c r="JI96" s="487">
        <f ca="1">IF(AND(JG96&gt;0,JH96&gt;0),JH96-JG96,"0")</f>
        <v>42714</v>
      </c>
      <c r="JJ96" s="502">
        <f ca="1">DATE(YEAR(JH96),MONTH(JH96),DAY(JH96)+45)</f>
        <v>42834</v>
      </c>
      <c r="JK96" s="502">
        <f ca="1">JJ96</f>
        <v>42834</v>
      </c>
      <c r="JL96" s="487">
        <f ca="1">IF(AND(JJ96&gt;0,JK96&gt;0),JK96-JJ96,"0")</f>
        <v>0</v>
      </c>
      <c r="JM96" s="509">
        <f ca="1">IF(AND(JE96&gt;0,JK96&gt;0),JK96-JE96,"0")</f>
        <v>42774</v>
      </c>
      <c r="JN96" s="502">
        <f ca="1">DATE(YEAR(JK96),MONTH(JK96),DAY(JK96)+60)</f>
        <v>42894</v>
      </c>
      <c r="JO96" s="501">
        <f ca="1">IF(AND(JK96&gt;0,JN96&gt;0),JN96-JK96,"0")</f>
        <v>60</v>
      </c>
      <c r="JP96" s="498">
        <f ca="1">JO96-60</f>
        <v>0</v>
      </c>
      <c r="JQ96" s="482">
        <f>291/30</f>
        <v>9.6999999999999993</v>
      </c>
      <c r="JR96" s="504">
        <f ca="1">((+HS96+HU96+IB96+IJ96+IQ96+IU96+JB96+JM96+JF96)/30)-JQ96</f>
        <v>1421.2333333333333</v>
      </c>
      <c r="JS96" s="490"/>
      <c r="JT96" s="491"/>
      <c r="JU96" s="490"/>
      <c r="JV96" s="491"/>
      <c r="JW96" s="586"/>
      <c r="JX96" s="586"/>
      <c r="JY96" s="586"/>
      <c r="JZ96" s="586"/>
    </row>
    <row r="97" spans="1:286" ht="63" hidden="1" customHeight="1" x14ac:dyDescent="0.25">
      <c r="A97" s="552" t="s">
        <v>849</v>
      </c>
      <c r="B97" s="110" t="s">
        <v>38</v>
      </c>
      <c r="C97" s="110" t="s">
        <v>157</v>
      </c>
      <c r="D97" s="110">
        <v>2018</v>
      </c>
      <c r="E97" s="110"/>
      <c r="F97" s="110" t="s">
        <v>834</v>
      </c>
      <c r="G97" s="110"/>
      <c r="H97" s="110"/>
      <c r="I97" s="110"/>
      <c r="J97" s="110" t="s">
        <v>854</v>
      </c>
      <c r="K97" s="453" t="s">
        <v>920</v>
      </c>
      <c r="L97" s="309" t="s">
        <v>80</v>
      </c>
      <c r="M97" s="310" t="s">
        <v>914</v>
      </c>
      <c r="N97" s="601" t="s">
        <v>919</v>
      </c>
      <c r="O97" s="379"/>
      <c r="P97" s="379"/>
      <c r="Q97" s="379"/>
      <c r="R97" s="379"/>
      <c r="S97" s="379"/>
      <c r="T97" s="387"/>
      <c r="U97" s="387"/>
      <c r="V97" s="387"/>
      <c r="W97" s="379"/>
      <c r="X97" s="380"/>
      <c r="Y97" s="381"/>
      <c r="Z97" s="380"/>
      <c r="AA97" s="380"/>
      <c r="AB97" s="381"/>
      <c r="AC97" s="110" t="s">
        <v>833</v>
      </c>
      <c r="AD97" s="640">
        <v>23</v>
      </c>
      <c r="AE97" s="121"/>
      <c r="AF97" s="110"/>
      <c r="AG97" s="114"/>
      <c r="AH97" s="152"/>
      <c r="AI97" s="114"/>
      <c r="AJ97" s="135"/>
      <c r="AK97" s="135"/>
      <c r="AL97" s="135"/>
      <c r="AM97" s="135"/>
      <c r="AN97" s="135"/>
      <c r="AO97" s="114"/>
      <c r="AP97" s="133"/>
      <c r="AQ97" s="135"/>
      <c r="AR97" s="114"/>
      <c r="AS97" s="110"/>
      <c r="AT97" s="110"/>
      <c r="AU97" s="110"/>
      <c r="AV97" s="110"/>
      <c r="AW97" s="415"/>
      <c r="AX97" s="110"/>
      <c r="AY97" s="110"/>
      <c r="AZ97" s="464"/>
      <c r="BA97" s="110"/>
      <c r="BB97" s="540"/>
      <c r="BC97" s="540"/>
      <c r="BD97" s="110"/>
      <c r="BE97" s="110"/>
      <c r="BF97" s="110"/>
      <c r="BG97" s="110"/>
      <c r="BH97" s="110"/>
      <c r="BI97" s="110"/>
      <c r="BJ97" s="110"/>
      <c r="BK97" s="110"/>
      <c r="BL97" s="110"/>
      <c r="BM97" s="110"/>
      <c r="BN97" s="196"/>
      <c r="BO97" s="196"/>
      <c r="BP97" s="196"/>
      <c r="BQ97" s="196"/>
      <c r="BR97" s="196"/>
      <c r="BS97" s="196"/>
      <c r="BT97" s="158"/>
      <c r="BU97" s="376"/>
      <c r="BV97" s="160"/>
      <c r="BW97" s="160"/>
      <c r="BX97" s="160"/>
      <c r="BY97" s="160"/>
      <c r="BZ97" s="376"/>
      <c r="CA97" s="160"/>
      <c r="CB97" s="302"/>
      <c r="CC97" s="374"/>
      <c r="CD97" s="302"/>
      <c r="CE97" s="302"/>
      <c r="CF97" s="161"/>
      <c r="CG97" s="336">
        <f>DATE(YEAR(CF97),MONTH(CF97)+24,DAY(CF97))</f>
        <v>731</v>
      </c>
      <c r="CH97" s="336">
        <f>DATE(YEAR(CF97),MONTH(CF97)+36,DAY(CF97))</f>
        <v>1096</v>
      </c>
      <c r="CI97" s="336"/>
      <c r="CJ97" s="302"/>
      <c r="CK97" s="308"/>
      <c r="CL97" s="161"/>
      <c r="CM97" s="371"/>
      <c r="CN97" s="161"/>
      <c r="CO97" s="161"/>
      <c r="CP97" s="162"/>
      <c r="CQ97" s="367"/>
      <c r="CR97" s="162"/>
      <c r="CS97" s="162"/>
      <c r="CT97" s="162"/>
      <c r="CU97" s="367"/>
      <c r="CV97" s="162"/>
      <c r="CW97" s="162"/>
      <c r="CX97" s="162"/>
      <c r="CY97" s="367"/>
      <c r="CZ97" s="162"/>
      <c r="DA97" s="162"/>
      <c r="DB97" s="299"/>
      <c r="DC97" s="299"/>
      <c r="DD97" s="299"/>
      <c r="DE97" s="312"/>
      <c r="DF97" s="312"/>
      <c r="DG97" s="312"/>
      <c r="DH97" s="312"/>
      <c r="DI97" s="312"/>
      <c r="DJ97" s="312"/>
      <c r="DK97" s="293"/>
      <c r="DL97" s="293"/>
      <c r="DM97" s="293"/>
      <c r="DN97" s="293"/>
      <c r="DO97" s="293"/>
      <c r="DP97" s="293"/>
      <c r="DQ97" s="443"/>
      <c r="DR97" s="443"/>
      <c r="DS97" s="443"/>
      <c r="DT97" s="298"/>
      <c r="DU97" s="443"/>
      <c r="DV97" s="443"/>
      <c r="DW97" s="443"/>
      <c r="DX97" s="423"/>
      <c r="DY97" s="423"/>
      <c r="DZ97" s="423"/>
      <c r="EA97" s="434"/>
      <c r="EB97" s="423"/>
      <c r="EC97" s="430"/>
      <c r="ED97" s="430"/>
      <c r="EE97" s="422"/>
      <c r="EF97" s="422"/>
      <c r="EG97" s="423"/>
      <c r="EH97" s="423"/>
      <c r="EI97" s="431"/>
      <c r="EJ97" s="431"/>
      <c r="EK97" s="423"/>
      <c r="EL97" s="423"/>
      <c r="EM97" s="423"/>
      <c r="EN97" s="210"/>
      <c r="EO97" s="210"/>
      <c r="EP97" s="423"/>
      <c r="EQ97" s="423"/>
      <c r="ER97" s="423"/>
      <c r="ES97" s="423"/>
      <c r="ET97" s="423"/>
      <c r="EU97" s="334"/>
      <c r="EV97" s="206"/>
      <c r="EW97" s="206"/>
      <c r="EX97" s="209"/>
      <c r="EY97" s="434"/>
      <c r="EZ97" s="212"/>
      <c r="FA97" s="212"/>
      <c r="FB97" s="212"/>
      <c r="FC97" s="212"/>
      <c r="FD97" s="110"/>
      <c r="FE97" s="110"/>
      <c r="FF97" s="110"/>
      <c r="FG97" s="110"/>
      <c r="FH97" s="110"/>
      <c r="FI97" s="110"/>
      <c r="FJ97" s="110"/>
      <c r="FK97" s="110"/>
      <c r="FL97" s="110"/>
      <c r="FM97" s="110"/>
      <c r="FN97" s="110"/>
      <c r="FO97" s="110"/>
      <c r="FP97" s="199"/>
      <c r="FQ97" s="153">
        <v>426835</v>
      </c>
      <c r="FR97" s="124"/>
      <c r="FS97" s="154"/>
      <c r="FT97" s="98"/>
      <c r="FU97" s="98"/>
      <c r="FV97" s="153"/>
      <c r="FW97" s="124"/>
      <c r="FX97" s="154"/>
      <c r="FY97" s="232"/>
      <c r="FZ97" s="232"/>
      <c r="GA97" s="153"/>
      <c r="GB97" s="124"/>
      <c r="GC97" s="98"/>
      <c r="GD97" s="155"/>
      <c r="GE97" s="153"/>
      <c r="GF97" s="124"/>
      <c r="GG97" s="147"/>
      <c r="GH97" s="147"/>
      <c r="GI97" s="155"/>
      <c r="GJ97" s="98"/>
      <c r="GK97" s="124"/>
      <c r="GL97" s="153"/>
      <c r="GM97" s="124"/>
      <c r="GN97" s="124"/>
      <c r="GO97" s="148" t="e">
        <f>GM97/FR97</f>
        <v>#DIV/0!</v>
      </c>
      <c r="GP97" s="590"/>
      <c r="GQ97" s="124"/>
      <c r="GR97" s="149"/>
      <c r="GS97" s="50"/>
      <c r="GT97" s="138"/>
      <c r="GU97" s="149"/>
      <c r="GV97" s="150"/>
      <c r="GW97" s="150"/>
      <c r="GX97" s="151"/>
      <c r="GY97" s="151"/>
      <c r="GZ97" s="98">
        <f>(GA97+GL97+GY97)/AD97</f>
        <v>0</v>
      </c>
      <c r="HA97" s="151"/>
      <c r="HB97" s="98">
        <f>(GB97+GM97+GY97+HA97)/AD97</f>
        <v>0</v>
      </c>
      <c r="HC97" s="99">
        <f>(GA97+GL97+GY97+HA97)/(GX97+FQ97-HD97)</f>
        <v>0</v>
      </c>
      <c r="HD97" s="151"/>
      <c r="HE97" s="151"/>
      <c r="HF97" s="124"/>
      <c r="HG97" s="77">
        <f>FQ97+GX97</f>
        <v>426835</v>
      </c>
      <c r="HH97" s="491"/>
      <c r="HI97" s="491"/>
      <c r="HJ97" s="494"/>
      <c r="HK97" s="505">
        <f>$HK$1*HH97</f>
        <v>0</v>
      </c>
      <c r="HL97" s="450">
        <f ca="1">TODAY()</f>
        <v>42789</v>
      </c>
      <c r="HM97" s="464">
        <f ca="1">DATE(YEAR(HL97),MONTH(HL97),DAY(HL97)+21)</f>
        <v>42810</v>
      </c>
      <c r="HN97" s="464">
        <f ca="1">IF(HM97&lt;TODAY(),TODAY(),HM97)</f>
        <v>42810</v>
      </c>
      <c r="HO97" s="497">
        <f ca="1">IF(AND(HM97&gt;0,HN97&gt;0),HN97-HM97,"0")</f>
        <v>0</v>
      </c>
      <c r="HP97" s="464">
        <f ca="1">DATE(YEAR(HL97),MONTH(HL97),DAY(HL97)+21)</f>
        <v>42810</v>
      </c>
      <c r="HQ97" s="481">
        <f ca="1">IF(AND(HN97&gt;0,HP97&gt;0),HP97-HN97,"0")</f>
        <v>0</v>
      </c>
      <c r="HR97" s="497">
        <f ca="1">+HQ97-30</f>
        <v>-30</v>
      </c>
      <c r="HS97" s="506">
        <f ca="1">IF(AND(HL97&gt;0,HP97&gt;0),HP97-HL97,"0")</f>
        <v>21</v>
      </c>
      <c r="HT97" s="450">
        <f ca="1">DATE(YEAR(HP97),MONTH(HP97),DAY(HP97)+30)</f>
        <v>42840</v>
      </c>
      <c r="HU97" s="497">
        <f ca="1">IF(AND(HP97&gt;0,HT97&gt;0),HT97-HP97,"0")</f>
        <v>30</v>
      </c>
      <c r="HV97" s="450">
        <f ca="1">DATE(YEAR(HT97),MONTH(HT97),DAY(HT97)+30)</f>
        <v>42870</v>
      </c>
      <c r="HW97" s="450">
        <f ca="1">IF(HV97&lt;TODAY(),TODAY(),HV97)</f>
        <v>42870</v>
      </c>
      <c r="HX97" s="497">
        <f ca="1">IF(AND(HV97&gt;0,HW97&gt;0),HW97-HV97,"0")</f>
        <v>0</v>
      </c>
      <c r="HY97" s="206">
        <f ca="1">DATE(YEAR(HV97),MONTH(HV97),DAY(HV97)+30)</f>
        <v>42900</v>
      </c>
      <c r="HZ97" s="481">
        <f ca="1">IF(AND(HW97&gt;0,HY97&gt;0),HY97-HW97,"0")</f>
        <v>30</v>
      </c>
      <c r="IA97" s="497">
        <f ca="1">+HZ97-30</f>
        <v>0</v>
      </c>
      <c r="IB97" s="506">
        <f ca="1">IF(AND(HT97&gt;0,HY97&gt;0),HY97-HT97,"0")</f>
        <v>60</v>
      </c>
      <c r="IC97" s="490"/>
      <c r="ID97" s="505">
        <f>$ID$1*HH97</f>
        <v>0</v>
      </c>
      <c r="IE97" s="450">
        <f ca="1">DATE(YEAR(HY97),MONTH(HY97),DAY(HY97)+15)</f>
        <v>42915</v>
      </c>
      <c r="IF97" s="450">
        <f ca="1">DATE(YEAR(IE97),MONTH(IE97),DAY(IE97)+7)</f>
        <v>42922</v>
      </c>
      <c r="IG97" s="494"/>
      <c r="IH97" s="505">
        <f>$IH$1*HH97</f>
        <v>0</v>
      </c>
      <c r="II97" s="206">
        <f ca="1">DATE(YEAR(IF97),MONTH(IF97),DAY(IF97)+21)</f>
        <v>42943</v>
      </c>
      <c r="IJ97" s="497">
        <f ca="1">IF(AND(HY97&gt;0,II97&gt;0),II97-HY97,"0")</f>
        <v>43</v>
      </c>
      <c r="IK97" s="206">
        <f ca="1">DATE(YEAR(II97),MONTH(II97),DAY(II97)+30)</f>
        <v>42973</v>
      </c>
      <c r="IL97" s="206">
        <f ca="1">IF(IK97&lt;TODAY(),TODAY(),IK97)</f>
        <v>42973</v>
      </c>
      <c r="IM97" s="497"/>
      <c r="IN97" s="206"/>
      <c r="IO97" s="481"/>
      <c r="IP97" s="497"/>
      <c r="IQ97" s="506"/>
      <c r="IR97" s="490"/>
      <c r="IS97" s="491"/>
      <c r="IT97" s="206">
        <f>IN97</f>
        <v>0</v>
      </c>
      <c r="IU97" s="498" t="str">
        <f>IF(AND(IN97&gt;0,IT97&gt;0),IT97-IN97,"0")</f>
        <v>0</v>
      </c>
      <c r="IV97" s="206">
        <f>DATE(YEAR(IT97),MONTH(IT97),DAY(IT97)+30)</f>
        <v>30</v>
      </c>
      <c r="IW97" s="206">
        <f ca="1">IF(IV97&lt;TODAY(),TODAY(),IV97)</f>
        <v>42789</v>
      </c>
      <c r="IX97" s="498">
        <f ca="1">IF(AND(IV97&gt;0,IW97&gt;0),IW97-IV97,"0")</f>
        <v>42759</v>
      </c>
      <c r="IY97" s="206">
        <f>DATE(YEAR(IV97),MONTH(IV97),DAY(IV97)+30)</f>
        <v>60</v>
      </c>
      <c r="IZ97" s="482">
        <f ca="1">IF(AND(IW97&gt;0,IY97&gt;0),IY97-IW97,"0")</f>
        <v>-42729</v>
      </c>
      <c r="JA97" s="498">
        <f ca="1">IZ97-30</f>
        <v>-42759</v>
      </c>
      <c r="JB97" s="508" t="str">
        <f>IF(AND(IT97&gt;0,IY97&gt;0),IY97-IT97,"0")</f>
        <v>0</v>
      </c>
      <c r="JC97" s="490"/>
      <c r="JD97" s="505"/>
      <c r="JE97" s="502">
        <f>IY97</f>
        <v>60</v>
      </c>
      <c r="JF97" s="487">
        <f>IF(AND(IY97&gt;0,JE97&gt;0),JE97-IY97,"0")</f>
        <v>0</v>
      </c>
      <c r="JG97" s="502">
        <f>DATE(YEAR(JE97),MONTH(JE97),DAY(JE97)+15)</f>
        <v>75</v>
      </c>
      <c r="JH97" s="502">
        <f ca="1">IF(JG97&lt;TODAY(),TODAY(),JG97)</f>
        <v>42789</v>
      </c>
      <c r="JI97" s="487">
        <f ca="1">IF(AND(JG97&gt;0,JH97&gt;0),JH97-JG97,"0")</f>
        <v>42714</v>
      </c>
      <c r="JJ97" s="502">
        <f ca="1">DATE(YEAR(JH97),MONTH(JH97),DAY(JH97)+45)</f>
        <v>42834</v>
      </c>
      <c r="JK97" s="502">
        <f ca="1">JJ97</f>
        <v>42834</v>
      </c>
      <c r="JL97" s="487">
        <f ca="1">IF(AND(JJ97&gt;0,JK97&gt;0),JK97-JJ97,"0")</f>
        <v>0</v>
      </c>
      <c r="JM97" s="509">
        <f ca="1">IF(AND(JE97&gt;0,JK97&gt;0),JK97-JE97,"0")</f>
        <v>42774</v>
      </c>
      <c r="JN97" s="502">
        <f ca="1">DATE(YEAR(JK97),MONTH(JK97),DAY(JK97)+60)</f>
        <v>42894</v>
      </c>
      <c r="JO97" s="501">
        <f ca="1">IF(AND(JK97&gt;0,JN97&gt;0),JN97-JK97,"0")</f>
        <v>60</v>
      </c>
      <c r="JP97" s="498">
        <f ca="1">JO97-60</f>
        <v>0</v>
      </c>
      <c r="JQ97" s="482">
        <f>291/30</f>
        <v>9.6999999999999993</v>
      </c>
      <c r="JR97" s="504">
        <f ca="1">((+HS97+HU97+IB97+IJ97+IQ97+IU97+JB97+JM97+JF97)/30)-JQ97</f>
        <v>1421.2333333333333</v>
      </c>
      <c r="JS97" s="490"/>
      <c r="JT97" s="505"/>
      <c r="JU97" s="490"/>
      <c r="JV97" s="505"/>
      <c r="JW97" s="586"/>
      <c r="JX97" s="586"/>
      <c r="JY97" s="586"/>
      <c r="JZ97" s="586"/>
    </row>
    <row r="98" spans="1:286" ht="63" hidden="1" customHeight="1" x14ac:dyDescent="0.25">
      <c r="A98" s="552" t="s">
        <v>847</v>
      </c>
      <c r="B98" s="110" t="s">
        <v>38</v>
      </c>
      <c r="C98" s="110" t="s">
        <v>157</v>
      </c>
      <c r="D98" s="110">
        <v>2018</v>
      </c>
      <c r="E98" s="110"/>
      <c r="F98" s="110" t="s">
        <v>834</v>
      </c>
      <c r="G98" s="110"/>
      <c r="H98" s="110"/>
      <c r="I98" s="110"/>
      <c r="J98" s="110" t="s">
        <v>848</v>
      </c>
      <c r="K98" s="453" t="s">
        <v>936</v>
      </c>
      <c r="L98" s="309" t="s">
        <v>80</v>
      </c>
      <c r="M98" s="310" t="s">
        <v>935</v>
      </c>
      <c r="N98" s="311">
        <v>33994</v>
      </c>
      <c r="O98" s="379"/>
      <c r="P98" s="379"/>
      <c r="Q98" s="379"/>
      <c r="R98" s="379"/>
      <c r="S98" s="379"/>
      <c r="T98" s="387"/>
      <c r="U98" s="387"/>
      <c r="V98" s="387"/>
      <c r="W98" s="379"/>
      <c r="X98" s="380"/>
      <c r="Y98" s="381"/>
      <c r="Z98" s="380"/>
      <c r="AA98" s="380"/>
      <c r="AB98" s="381"/>
      <c r="AC98" s="110" t="s">
        <v>833</v>
      </c>
      <c r="AD98" s="640">
        <v>30</v>
      </c>
      <c r="AE98" s="121"/>
      <c r="AF98" s="110"/>
      <c r="AG98" s="114"/>
      <c r="AH98" s="152"/>
      <c r="AI98" s="114"/>
      <c r="AJ98" s="135"/>
      <c r="AK98" s="135"/>
      <c r="AL98" s="135"/>
      <c r="AM98" s="135"/>
      <c r="AN98" s="135"/>
      <c r="AO98" s="114"/>
      <c r="AP98" s="133"/>
      <c r="AQ98" s="135"/>
      <c r="AR98" s="114"/>
      <c r="AS98" s="110"/>
      <c r="AT98" s="110"/>
      <c r="AU98" s="110"/>
      <c r="AV98" s="110"/>
      <c r="AW98" s="415"/>
      <c r="AX98" s="110"/>
      <c r="AY98" s="110"/>
      <c r="AZ98" s="464"/>
      <c r="BA98" s="110"/>
      <c r="BB98" s="540"/>
      <c r="BC98" s="540"/>
      <c r="BD98" s="110"/>
      <c r="BE98" s="110"/>
      <c r="BF98" s="110"/>
      <c r="BG98" s="110"/>
      <c r="BH98" s="110"/>
      <c r="BI98" s="110"/>
      <c r="BJ98" s="110"/>
      <c r="BK98" s="110"/>
      <c r="BL98" s="110"/>
      <c r="BM98" s="110"/>
      <c r="BN98" s="196"/>
      <c r="BO98" s="196"/>
      <c r="BP98" s="196"/>
      <c r="BQ98" s="196"/>
      <c r="BR98" s="196"/>
      <c r="BS98" s="196"/>
      <c r="BT98" s="158"/>
      <c r="BU98" s="376"/>
      <c r="BV98" s="160"/>
      <c r="BW98" s="160"/>
      <c r="BX98" s="160"/>
      <c r="BY98" s="160"/>
      <c r="BZ98" s="376"/>
      <c r="CA98" s="160"/>
      <c r="CB98" s="302"/>
      <c r="CC98" s="374"/>
      <c r="CD98" s="302"/>
      <c r="CE98" s="302"/>
      <c r="CF98" s="161"/>
      <c r="CG98" s="336">
        <f>DATE(YEAR(CF98),MONTH(CF98)+24,DAY(CF98))</f>
        <v>731</v>
      </c>
      <c r="CH98" s="336">
        <f>DATE(YEAR(CF98),MONTH(CF98)+36,DAY(CF98))</f>
        <v>1096</v>
      </c>
      <c r="CI98" s="336"/>
      <c r="CJ98" s="302"/>
      <c r="CK98" s="308"/>
      <c r="CL98" s="161"/>
      <c r="CM98" s="371"/>
      <c r="CN98" s="161"/>
      <c r="CO98" s="161"/>
      <c r="CP98" s="162"/>
      <c r="CQ98" s="367"/>
      <c r="CR98" s="162"/>
      <c r="CS98" s="162"/>
      <c r="CT98" s="162"/>
      <c r="CU98" s="367"/>
      <c r="CV98" s="162"/>
      <c r="CW98" s="162"/>
      <c r="CX98" s="162"/>
      <c r="CY98" s="367"/>
      <c r="CZ98" s="162"/>
      <c r="DA98" s="162"/>
      <c r="DB98" s="299"/>
      <c r="DC98" s="299"/>
      <c r="DD98" s="299"/>
      <c r="DE98" s="312"/>
      <c r="DF98" s="312"/>
      <c r="DG98" s="312"/>
      <c r="DH98" s="312"/>
      <c r="DI98" s="312"/>
      <c r="DJ98" s="312"/>
      <c r="DK98" s="293"/>
      <c r="DL98" s="293"/>
      <c r="DM98" s="293"/>
      <c r="DN98" s="293"/>
      <c r="DO98" s="293"/>
      <c r="DP98" s="293"/>
      <c r="DQ98" s="443"/>
      <c r="DR98" s="443"/>
      <c r="DS98" s="443"/>
      <c r="DT98" s="298"/>
      <c r="DU98" s="443"/>
      <c r="DV98" s="443"/>
      <c r="DW98" s="443"/>
      <c r="DX98" s="423"/>
      <c r="DY98" s="423"/>
      <c r="DZ98" s="423"/>
      <c r="EA98" s="434"/>
      <c r="EB98" s="423"/>
      <c r="EC98" s="430"/>
      <c r="ED98" s="430"/>
      <c r="EE98" s="422"/>
      <c r="EF98" s="422"/>
      <c r="EG98" s="423"/>
      <c r="EH98" s="423"/>
      <c r="EI98" s="431"/>
      <c r="EJ98" s="431"/>
      <c r="EK98" s="423"/>
      <c r="EL98" s="423"/>
      <c r="EM98" s="423"/>
      <c r="EN98" s="210"/>
      <c r="EO98" s="210"/>
      <c r="EP98" s="423"/>
      <c r="EQ98" s="423"/>
      <c r="ER98" s="423"/>
      <c r="ES98" s="423"/>
      <c r="ET98" s="423"/>
      <c r="EU98" s="334"/>
      <c r="EV98" s="206"/>
      <c r="EW98" s="206"/>
      <c r="EX98" s="209"/>
      <c r="EY98" s="434"/>
      <c r="EZ98" s="212"/>
      <c r="FA98" s="212"/>
      <c r="FB98" s="212"/>
      <c r="FC98" s="212"/>
      <c r="FD98" s="110"/>
      <c r="FE98" s="110"/>
      <c r="FF98" s="110"/>
      <c r="FG98" s="110"/>
      <c r="FH98" s="110"/>
      <c r="FI98" s="110"/>
      <c r="FJ98" s="110"/>
      <c r="FK98" s="110"/>
      <c r="FL98" s="110"/>
      <c r="FM98" s="110"/>
      <c r="FN98" s="110"/>
      <c r="FO98" s="110"/>
      <c r="FP98" s="199"/>
      <c r="FQ98" s="153">
        <v>648812.5</v>
      </c>
      <c r="FR98" s="124"/>
      <c r="FS98" s="154"/>
      <c r="FT98" s="98"/>
      <c r="FU98" s="98"/>
      <c r="FV98" s="153"/>
      <c r="FW98" s="124"/>
      <c r="FX98" s="154"/>
      <c r="FY98" s="232"/>
      <c r="FZ98" s="232"/>
      <c r="GA98" s="153"/>
      <c r="GB98" s="124"/>
      <c r="GC98" s="98"/>
      <c r="GD98" s="155"/>
      <c r="GE98" s="153"/>
      <c r="GF98" s="124"/>
      <c r="GG98" s="147"/>
      <c r="GH98" s="147"/>
      <c r="GI98" s="155"/>
      <c r="GJ98" s="98"/>
      <c r="GK98" s="124"/>
      <c r="GL98" s="153"/>
      <c r="GM98" s="124"/>
      <c r="GN98" s="124"/>
      <c r="GO98" s="148" t="e">
        <f>GM98/FR98</f>
        <v>#DIV/0!</v>
      </c>
      <c r="GP98" s="590"/>
      <c r="GQ98" s="124"/>
      <c r="GR98" s="149"/>
      <c r="GS98" s="50"/>
      <c r="GT98" s="138"/>
      <c r="GU98" s="149"/>
      <c r="GV98" s="150"/>
      <c r="GW98" s="150"/>
      <c r="GX98" s="151"/>
      <c r="GY98" s="151"/>
      <c r="GZ98" s="98">
        <f>(GA98+GL98+GY98)/AD98</f>
        <v>0</v>
      </c>
      <c r="HA98" s="151"/>
      <c r="HB98" s="98">
        <f>(GB98+GM98+GY98+HA98)/AD98</f>
        <v>0</v>
      </c>
      <c r="HC98" s="99">
        <f>(GA98+GL98+GY98+HA98)/(GX98+FQ98-HD98)</f>
        <v>0</v>
      </c>
      <c r="HD98" s="151"/>
      <c r="HE98" s="151"/>
      <c r="HF98" s="124"/>
      <c r="HG98" s="77">
        <f>FQ98+GX98</f>
        <v>648812.5</v>
      </c>
      <c r="HH98" s="491"/>
      <c r="HI98" s="491"/>
      <c r="HJ98" s="494"/>
      <c r="HK98" s="505">
        <f>$HK$1*HH98</f>
        <v>0</v>
      </c>
      <c r="HL98" s="450">
        <f ca="1">TODAY()</f>
        <v>42789</v>
      </c>
      <c r="HM98" s="464">
        <f ca="1">DATE(YEAR(HL98),MONTH(HL98),DAY(HL98)+21)</f>
        <v>42810</v>
      </c>
      <c r="HN98" s="464">
        <f ca="1">IF(HM98&lt;TODAY(),TODAY(),HM98)</f>
        <v>42810</v>
      </c>
      <c r="HO98" s="497">
        <f ca="1">IF(AND(HM98&gt;0,HN98&gt;0),HN98-HM98,"0")</f>
        <v>0</v>
      </c>
      <c r="HP98" s="464">
        <f ca="1">DATE(YEAR(HL98),MONTH(HL98),DAY(HL98)+21)</f>
        <v>42810</v>
      </c>
      <c r="HQ98" s="481">
        <f ca="1">IF(AND(HN98&gt;0,HP98&gt;0),HP98-HN98,"0")</f>
        <v>0</v>
      </c>
      <c r="HR98" s="497">
        <f ca="1">+HQ98-30</f>
        <v>-30</v>
      </c>
      <c r="HS98" s="506">
        <f ca="1">IF(AND(HL98&gt;0,HP98&gt;0),HP98-HL98,"0")</f>
        <v>21</v>
      </c>
      <c r="HT98" s="450">
        <f ca="1">DATE(YEAR(HP98),MONTH(HP98),DAY(HP98)+30)</f>
        <v>42840</v>
      </c>
      <c r="HU98" s="497">
        <f ca="1">IF(AND(HP98&gt;0,HT98&gt;0),HT98-HP98,"0")</f>
        <v>30</v>
      </c>
      <c r="HV98" s="450">
        <f ca="1">DATE(YEAR(HT98),MONTH(HT98),DAY(HT98)+30)</f>
        <v>42870</v>
      </c>
      <c r="HW98" s="450">
        <f ca="1">IF(HV98&lt;TODAY(),TODAY(),HV98)</f>
        <v>42870</v>
      </c>
      <c r="HX98" s="497">
        <f ca="1">IF(AND(HV98&gt;0,HW98&gt;0),HW98-HV98,"0")</f>
        <v>0</v>
      </c>
      <c r="HY98" s="206">
        <f ca="1">DATE(YEAR(HV98),MONTH(HV98),DAY(HV98)+30)</f>
        <v>42900</v>
      </c>
      <c r="HZ98" s="481">
        <f ca="1">IF(AND(HW98&gt;0,HY98&gt;0),HY98-HW98,"0")</f>
        <v>30</v>
      </c>
      <c r="IA98" s="497">
        <f ca="1">+HZ98-30</f>
        <v>0</v>
      </c>
      <c r="IB98" s="506">
        <f ca="1">IF(AND(HT98&gt;0,HY98&gt;0),HY98-HT98,"0")</f>
        <v>60</v>
      </c>
      <c r="IC98" s="490"/>
      <c r="ID98" s="505">
        <f>$ID$1*HH98</f>
        <v>0</v>
      </c>
      <c r="IE98" s="450">
        <f ca="1">DATE(YEAR(HY98),MONTH(HY98),DAY(HY98)+15)</f>
        <v>42915</v>
      </c>
      <c r="IF98" s="450">
        <f ca="1">DATE(YEAR(IE98),MONTH(IE98),DAY(IE98)+7)</f>
        <v>42922</v>
      </c>
      <c r="IG98" s="494"/>
      <c r="IH98" s="505">
        <f>$IH$1*HH98</f>
        <v>0</v>
      </c>
      <c r="II98" s="206">
        <f ca="1">DATE(YEAR(IF98),MONTH(IF98),DAY(IF98)+21)</f>
        <v>42943</v>
      </c>
      <c r="IJ98" s="497">
        <f ca="1">IF(AND(HY98&gt;0,II98&gt;0),II98-HY98,"0")</f>
        <v>43</v>
      </c>
      <c r="IK98" s="206">
        <f ca="1">DATE(YEAR(II98),MONTH(II98),DAY(II98)+30)</f>
        <v>42973</v>
      </c>
      <c r="IL98" s="206">
        <f ca="1">IF(IK98&lt;TODAY(),TODAY(),IK98)</f>
        <v>42973</v>
      </c>
      <c r="IM98" s="497"/>
      <c r="IN98" s="206"/>
      <c r="IO98" s="481"/>
      <c r="IP98" s="497"/>
      <c r="IQ98" s="506"/>
      <c r="IR98" s="490"/>
      <c r="IS98" s="491"/>
      <c r="IT98" s="206">
        <f>IN98</f>
        <v>0</v>
      </c>
      <c r="IU98" s="498" t="str">
        <f>IF(AND(IN98&gt;0,IT98&gt;0),IT98-IN98,"0")</f>
        <v>0</v>
      </c>
      <c r="IV98" s="206">
        <f>DATE(YEAR(IT98),MONTH(IT98),DAY(IT98)+30)</f>
        <v>30</v>
      </c>
      <c r="IW98" s="206">
        <f ca="1">IF(IV98&lt;TODAY(),TODAY(),IV98)</f>
        <v>42789</v>
      </c>
      <c r="IX98" s="498">
        <f ca="1">IF(AND(IV98&gt;0,IW98&gt;0),IW98-IV98,"0")</f>
        <v>42759</v>
      </c>
      <c r="IY98" s="206">
        <f>DATE(YEAR(IV98),MONTH(IV98),DAY(IV98)+30)</f>
        <v>60</v>
      </c>
      <c r="IZ98" s="482">
        <f ca="1">IF(AND(IW98&gt;0,IY98&gt;0),IY98-IW98,"0")</f>
        <v>-42729</v>
      </c>
      <c r="JA98" s="498">
        <f ca="1">IZ98-30</f>
        <v>-42759</v>
      </c>
      <c r="JB98" s="508" t="str">
        <f>IF(AND(IT98&gt;0,IY98&gt;0),IY98-IT98,"0")</f>
        <v>0</v>
      </c>
      <c r="JC98" s="490"/>
      <c r="JD98" s="505"/>
      <c r="JE98" s="502">
        <f>IY98</f>
        <v>60</v>
      </c>
      <c r="JF98" s="487">
        <f>IF(AND(IY98&gt;0,JE98&gt;0),JE98-IY98,"0")</f>
        <v>0</v>
      </c>
      <c r="JG98" s="502">
        <f>DATE(YEAR(JE98),MONTH(JE98),DAY(JE98)+15)</f>
        <v>75</v>
      </c>
      <c r="JH98" s="502">
        <f ca="1">IF(JG98&lt;TODAY(),TODAY(),JG98)</f>
        <v>42789</v>
      </c>
      <c r="JI98" s="487">
        <f ca="1">IF(AND(JG98&gt;0,JH98&gt;0),JH98-JG98,"0")</f>
        <v>42714</v>
      </c>
      <c r="JJ98" s="502">
        <f ca="1">DATE(YEAR(JH98),MONTH(JH98),DAY(JH98)+45)</f>
        <v>42834</v>
      </c>
      <c r="JK98" s="502">
        <f ca="1">JJ98</f>
        <v>42834</v>
      </c>
      <c r="JL98" s="487">
        <f ca="1">IF(AND(JJ98&gt;0,JK98&gt;0),JK98-JJ98,"0")</f>
        <v>0</v>
      </c>
      <c r="JM98" s="509">
        <f ca="1">IF(AND(JE98&gt;0,JK98&gt;0),JK98-JE98,"0")</f>
        <v>42774</v>
      </c>
      <c r="JN98" s="502">
        <f ca="1">DATE(YEAR(JK98),MONTH(JK98),DAY(JK98)+60)</f>
        <v>42894</v>
      </c>
      <c r="JO98" s="501">
        <f ca="1">IF(AND(JK98&gt;0,JN98&gt;0),JN98-JK98,"0")</f>
        <v>60</v>
      </c>
      <c r="JP98" s="498">
        <f ca="1">JO98-60</f>
        <v>0</v>
      </c>
      <c r="JQ98" s="482">
        <f>291/30</f>
        <v>9.6999999999999993</v>
      </c>
      <c r="JR98" s="504">
        <f ca="1">((+HS98+HU98+IB98+IJ98+IQ98+IU98+JB98+JM98+JF98)/30)-JQ98</f>
        <v>1421.2333333333333</v>
      </c>
      <c r="JS98" s="490"/>
      <c r="JT98" s="505"/>
      <c r="JU98" s="490"/>
      <c r="JV98" s="505"/>
      <c r="JW98" s="586"/>
      <c r="JX98" s="586"/>
      <c r="JY98" s="586"/>
      <c r="JZ98" s="586"/>
    </row>
    <row r="99" spans="1:286" ht="63" hidden="1" customHeight="1" x14ac:dyDescent="0.25">
      <c r="A99" s="552" t="s">
        <v>850</v>
      </c>
      <c r="B99" s="110" t="s">
        <v>59</v>
      </c>
      <c r="C99" s="110" t="s">
        <v>157</v>
      </c>
      <c r="D99" s="110">
        <v>2018</v>
      </c>
      <c r="E99" s="110"/>
      <c r="F99" s="110" t="s">
        <v>834</v>
      </c>
      <c r="G99" s="110"/>
      <c r="H99" s="110"/>
      <c r="I99" s="110"/>
      <c r="J99" s="110" t="s">
        <v>855</v>
      </c>
      <c r="K99" s="453" t="s">
        <v>939</v>
      </c>
      <c r="L99" s="309" t="s">
        <v>80</v>
      </c>
      <c r="M99" s="310" t="s">
        <v>918</v>
      </c>
      <c r="N99" s="311">
        <v>34319</v>
      </c>
      <c r="O99" s="379"/>
      <c r="P99" s="379"/>
      <c r="Q99" s="379"/>
      <c r="R99" s="379"/>
      <c r="S99" s="379"/>
      <c r="T99" s="387"/>
      <c r="U99" s="387"/>
      <c r="V99" s="387"/>
      <c r="W99" s="379"/>
      <c r="X99" s="380"/>
      <c r="Y99" s="381"/>
      <c r="Z99" s="380"/>
      <c r="AA99" s="380"/>
      <c r="AB99" s="381"/>
      <c r="AC99" s="110" t="s">
        <v>833</v>
      </c>
      <c r="AD99" s="640">
        <v>34</v>
      </c>
      <c r="AE99" s="121"/>
      <c r="AF99" s="110"/>
      <c r="AG99" s="114"/>
      <c r="AH99" s="152"/>
      <c r="AI99" s="114"/>
      <c r="AJ99" s="135"/>
      <c r="AK99" s="135"/>
      <c r="AL99" s="135"/>
      <c r="AM99" s="135"/>
      <c r="AN99" s="135"/>
      <c r="AO99" s="114"/>
      <c r="AP99" s="133"/>
      <c r="AQ99" s="135"/>
      <c r="AR99" s="114"/>
      <c r="AS99" s="110"/>
      <c r="AT99" s="110"/>
      <c r="AU99" s="110"/>
      <c r="AV99" s="110"/>
      <c r="AW99" s="415"/>
      <c r="AX99" s="110"/>
      <c r="AY99" s="110"/>
      <c r="AZ99" s="464"/>
      <c r="BA99" s="110"/>
      <c r="BB99" s="540"/>
      <c r="BC99" s="540"/>
      <c r="BD99" s="110"/>
      <c r="BE99" s="110"/>
      <c r="BF99" s="110"/>
      <c r="BG99" s="110"/>
      <c r="BH99" s="110"/>
      <c r="BI99" s="110"/>
      <c r="BJ99" s="110"/>
      <c r="BK99" s="110"/>
      <c r="BL99" s="110"/>
      <c r="BM99" s="110"/>
      <c r="BN99" s="196"/>
      <c r="BO99" s="196"/>
      <c r="BP99" s="196"/>
      <c r="BQ99" s="196"/>
      <c r="BR99" s="196"/>
      <c r="BS99" s="196"/>
      <c r="BT99" s="158"/>
      <c r="BU99" s="376"/>
      <c r="BV99" s="160"/>
      <c r="BW99" s="160"/>
      <c r="BX99" s="160"/>
      <c r="BY99" s="160"/>
      <c r="BZ99" s="376"/>
      <c r="CA99" s="160"/>
      <c r="CB99" s="302"/>
      <c r="CC99" s="374"/>
      <c r="CD99" s="302"/>
      <c r="CE99" s="302"/>
      <c r="CF99" s="161"/>
      <c r="CG99" s="336">
        <f>DATE(YEAR(CF99),MONTH(CF99)+24,DAY(CF99))</f>
        <v>731</v>
      </c>
      <c r="CH99" s="336">
        <f>DATE(YEAR(CF99),MONTH(CF99)+36,DAY(CF99))</f>
        <v>1096</v>
      </c>
      <c r="CI99" s="336"/>
      <c r="CJ99" s="302"/>
      <c r="CK99" s="308"/>
      <c r="CL99" s="161"/>
      <c r="CM99" s="371"/>
      <c r="CN99" s="161"/>
      <c r="CO99" s="161"/>
      <c r="CP99" s="162"/>
      <c r="CQ99" s="367"/>
      <c r="CR99" s="162"/>
      <c r="CS99" s="162"/>
      <c r="CT99" s="162"/>
      <c r="CU99" s="367"/>
      <c r="CV99" s="162"/>
      <c r="CW99" s="162"/>
      <c r="CX99" s="162"/>
      <c r="CY99" s="367"/>
      <c r="CZ99" s="162"/>
      <c r="DA99" s="162"/>
      <c r="DB99" s="299"/>
      <c r="DC99" s="299"/>
      <c r="DD99" s="299"/>
      <c r="DE99" s="312"/>
      <c r="DF99" s="312"/>
      <c r="DG99" s="312"/>
      <c r="DH99" s="312"/>
      <c r="DI99" s="312"/>
      <c r="DJ99" s="312"/>
      <c r="DK99" s="293"/>
      <c r="DL99" s="293"/>
      <c r="DM99" s="293"/>
      <c r="DN99" s="293"/>
      <c r="DO99" s="293"/>
      <c r="DP99" s="293"/>
      <c r="DQ99" s="443"/>
      <c r="DR99" s="443"/>
      <c r="DS99" s="443"/>
      <c r="DT99" s="298"/>
      <c r="DU99" s="443"/>
      <c r="DV99" s="443"/>
      <c r="DW99" s="443"/>
      <c r="DX99" s="423"/>
      <c r="DY99" s="423"/>
      <c r="DZ99" s="423"/>
      <c r="EA99" s="434"/>
      <c r="EB99" s="423"/>
      <c r="EC99" s="430"/>
      <c r="ED99" s="430"/>
      <c r="EE99" s="422"/>
      <c r="EF99" s="422"/>
      <c r="EG99" s="423"/>
      <c r="EH99" s="423"/>
      <c r="EI99" s="431"/>
      <c r="EJ99" s="431"/>
      <c r="EK99" s="423"/>
      <c r="EL99" s="423"/>
      <c r="EM99" s="423"/>
      <c r="EN99" s="210"/>
      <c r="EO99" s="210"/>
      <c r="EP99" s="423"/>
      <c r="EQ99" s="423"/>
      <c r="ER99" s="423"/>
      <c r="ES99" s="423"/>
      <c r="ET99" s="423"/>
      <c r="EU99" s="334"/>
      <c r="EV99" s="206"/>
      <c r="EW99" s="206"/>
      <c r="EX99" s="209"/>
      <c r="EY99" s="434"/>
      <c r="EZ99" s="212"/>
      <c r="FA99" s="212"/>
      <c r="FB99" s="212"/>
      <c r="FC99" s="212"/>
      <c r="FD99" s="110"/>
      <c r="FE99" s="110"/>
      <c r="FF99" s="110"/>
      <c r="FG99" s="110"/>
      <c r="FH99" s="110"/>
      <c r="FI99" s="110"/>
      <c r="FJ99" s="110"/>
      <c r="FK99" s="110"/>
      <c r="FL99" s="110"/>
      <c r="FM99" s="110"/>
      <c r="FN99" s="110"/>
      <c r="FO99" s="110"/>
      <c r="FP99" s="199"/>
      <c r="FQ99" s="153">
        <v>420538.46</v>
      </c>
      <c r="FR99" s="124"/>
      <c r="FS99" s="154"/>
      <c r="FT99" s="98"/>
      <c r="FU99" s="98"/>
      <c r="FV99" s="153"/>
      <c r="FW99" s="124"/>
      <c r="FX99" s="154"/>
      <c r="FY99" s="232"/>
      <c r="FZ99" s="232"/>
      <c r="GA99" s="153"/>
      <c r="GB99" s="124"/>
      <c r="GC99" s="98"/>
      <c r="GD99" s="155"/>
      <c r="GE99" s="153"/>
      <c r="GF99" s="124"/>
      <c r="GG99" s="147"/>
      <c r="GH99" s="147"/>
      <c r="GI99" s="155"/>
      <c r="GJ99" s="98"/>
      <c r="GK99" s="124"/>
      <c r="GL99" s="153"/>
      <c r="GM99" s="124"/>
      <c r="GN99" s="124"/>
      <c r="GO99" s="148"/>
      <c r="GP99" s="590"/>
      <c r="GQ99" s="124"/>
      <c r="GR99" s="149"/>
      <c r="GS99" s="98"/>
      <c r="GT99" s="138"/>
      <c r="GU99" s="149"/>
      <c r="GV99" s="150"/>
      <c r="GW99" s="150"/>
      <c r="GX99" s="151"/>
      <c r="GY99" s="151"/>
      <c r="GZ99" s="98">
        <f>(GA99+GL99+GY99)/AD99</f>
        <v>0</v>
      </c>
      <c r="HA99" s="151"/>
      <c r="HB99" s="98">
        <f>(GB99+GM99+GY99+HA99)/AD99</f>
        <v>0</v>
      </c>
      <c r="HC99" s="99">
        <f>(GA99+GL99+GY99+HA99)/(GX99+FQ99-HD99)</f>
        <v>0</v>
      </c>
      <c r="HD99" s="151"/>
      <c r="HE99" s="151"/>
      <c r="HF99" s="124"/>
      <c r="HG99" s="156">
        <f>FQ99+GX99</f>
        <v>420538.46</v>
      </c>
      <c r="HH99" s="491"/>
      <c r="HI99" s="491"/>
      <c r="HJ99" s="494"/>
      <c r="HK99" s="505">
        <f>$HK$1*HH99</f>
        <v>0</v>
      </c>
      <c r="HL99" s="450">
        <f ca="1">TODAY()</f>
        <v>42789</v>
      </c>
      <c r="HM99" s="464">
        <f ca="1">DATE(YEAR(HL99),MONTH(HL99),DAY(HL99)+21)</f>
        <v>42810</v>
      </c>
      <c r="HN99" s="464">
        <f ca="1">IF(HM99&lt;TODAY(),TODAY(),HM99)</f>
        <v>42810</v>
      </c>
      <c r="HO99" s="497">
        <f ca="1">IF(AND(HM99&gt;0,HN99&gt;0),HN99-HM99,"0")</f>
        <v>0</v>
      </c>
      <c r="HP99" s="464">
        <f ca="1">DATE(YEAR(HL99),MONTH(HL99),DAY(HL99)+21)</f>
        <v>42810</v>
      </c>
      <c r="HQ99" s="481">
        <f ca="1">IF(AND(HN99&gt;0,HP99&gt;0),HP99-HN99,"0")</f>
        <v>0</v>
      </c>
      <c r="HR99" s="497">
        <f ca="1">+HQ99-30</f>
        <v>-30</v>
      </c>
      <c r="HS99" s="506">
        <f ca="1">IF(AND(HL99&gt;0,HP99&gt;0),HP99-HL99,"0")</f>
        <v>21</v>
      </c>
      <c r="HT99" s="450">
        <f ca="1">DATE(YEAR(HP99),MONTH(HP99),DAY(HP99)+30)</f>
        <v>42840</v>
      </c>
      <c r="HU99" s="497">
        <f ca="1">IF(AND(HP99&gt;0,HT99&gt;0),HT99-HP99,"0")</f>
        <v>30</v>
      </c>
      <c r="HV99" s="450">
        <f ca="1">DATE(YEAR(HT99),MONTH(HT99),DAY(HT99)+30)</f>
        <v>42870</v>
      </c>
      <c r="HW99" s="450">
        <f ca="1">IF(HV99&lt;TODAY(),TODAY(),HV99)</f>
        <v>42870</v>
      </c>
      <c r="HX99" s="497">
        <f ca="1">IF(AND(HV99&gt;0,HW99&gt;0),HW99-HV99,"0")</f>
        <v>0</v>
      </c>
      <c r="HY99" s="206">
        <f ca="1">DATE(YEAR(HV99),MONTH(HV99),DAY(HV99)+30)</f>
        <v>42900</v>
      </c>
      <c r="HZ99" s="481">
        <f ca="1">IF(AND(HW99&gt;0,HY99&gt;0),HY99-HW99,"0")</f>
        <v>30</v>
      </c>
      <c r="IA99" s="497">
        <f ca="1">+HZ99-30</f>
        <v>0</v>
      </c>
      <c r="IB99" s="506">
        <f ca="1">IF(AND(HT99&gt;0,HY99&gt;0),HY99-HT99,"0")</f>
        <v>60</v>
      </c>
      <c r="IC99" s="490"/>
      <c r="ID99" s="505">
        <f>$ID$1*HH99</f>
        <v>0</v>
      </c>
      <c r="IE99" s="450">
        <f ca="1">DATE(YEAR(HY99),MONTH(HY99),DAY(HY99)+15)</f>
        <v>42915</v>
      </c>
      <c r="IF99" s="450">
        <f ca="1">DATE(YEAR(IE99),MONTH(IE99),DAY(IE99)+7)</f>
        <v>42922</v>
      </c>
      <c r="IG99" s="494"/>
      <c r="IH99" s="505">
        <f>$IH$1*HH99</f>
        <v>0</v>
      </c>
      <c r="II99" s="206">
        <f ca="1">DATE(YEAR(IF99),MONTH(IF99),DAY(IF99)+21)</f>
        <v>42943</v>
      </c>
      <c r="IJ99" s="497">
        <f ca="1">IF(AND(HY99&gt;0,II99&gt;0),II99-HY99,"0")</f>
        <v>43</v>
      </c>
      <c r="IK99" s="206">
        <f ca="1">DATE(YEAR(II99),MONTH(II99),DAY(II99)+30)</f>
        <v>42973</v>
      </c>
      <c r="IL99" s="206">
        <f ca="1">IF(IK99&lt;TODAY(),TODAY(),IK99)</f>
        <v>42973</v>
      </c>
      <c r="IM99" s="497"/>
      <c r="IN99" s="206"/>
      <c r="IO99" s="481"/>
      <c r="IP99" s="497"/>
      <c r="IQ99" s="506"/>
      <c r="IR99" s="490"/>
      <c r="IS99" s="491"/>
      <c r="IT99" s="206">
        <f>IN99</f>
        <v>0</v>
      </c>
      <c r="IU99" s="498" t="str">
        <f>IF(AND(IN99&gt;0,IT99&gt;0),IT99-IN99,"0")</f>
        <v>0</v>
      </c>
      <c r="IV99" s="206">
        <f>DATE(YEAR(IT99),MONTH(IT99),DAY(IT99)+30)</f>
        <v>30</v>
      </c>
      <c r="IW99" s="206">
        <f ca="1">IF(IV99&lt;TODAY(),TODAY(),IV99)</f>
        <v>42789</v>
      </c>
      <c r="IX99" s="498">
        <f ca="1">IF(AND(IV99&gt;0,IW99&gt;0),IW99-IV99,"0")</f>
        <v>42759</v>
      </c>
      <c r="IY99" s="206">
        <f>DATE(YEAR(IV99),MONTH(IV99),DAY(IV99)+30)</f>
        <v>60</v>
      </c>
      <c r="IZ99" s="482">
        <f ca="1">IF(AND(IW99&gt;0,IY99&gt;0),IY99-IW99,"0")</f>
        <v>-42729</v>
      </c>
      <c r="JA99" s="498">
        <f ca="1">IZ99-30</f>
        <v>-42759</v>
      </c>
      <c r="JB99" s="508" t="str">
        <f>IF(AND(IT99&gt;0,IY99&gt;0),IY99-IT99,"0")</f>
        <v>0</v>
      </c>
      <c r="JC99" s="490"/>
      <c r="JD99" s="505"/>
      <c r="JE99" s="502">
        <f>IY99</f>
        <v>60</v>
      </c>
      <c r="JF99" s="487">
        <f>IF(AND(IY99&gt;0,JE99&gt;0),JE99-IY99,"0")</f>
        <v>0</v>
      </c>
      <c r="JG99" s="502">
        <f>DATE(YEAR(JE99),MONTH(JE99),DAY(JE99)+15)</f>
        <v>75</v>
      </c>
      <c r="JH99" s="502">
        <f ca="1">IF(JG99&lt;TODAY(),TODAY(),JG99)</f>
        <v>42789</v>
      </c>
      <c r="JI99" s="487">
        <f ca="1">IF(AND(JG99&gt;0,JH99&gt;0),JH99-JG99,"0")</f>
        <v>42714</v>
      </c>
      <c r="JJ99" s="502">
        <f ca="1">DATE(YEAR(JH99),MONTH(JH99),DAY(JH99)+45)</f>
        <v>42834</v>
      </c>
      <c r="JK99" s="502">
        <f ca="1">JJ99</f>
        <v>42834</v>
      </c>
      <c r="JL99" s="487">
        <f ca="1">IF(AND(JJ99&gt;0,JK99&gt;0),JK99-JJ99,"0")</f>
        <v>0</v>
      </c>
      <c r="JM99" s="509">
        <f ca="1">IF(AND(JE99&gt;0,JK99&gt;0),JK99-JE99,"0")</f>
        <v>42774</v>
      </c>
      <c r="JN99" s="502">
        <f ca="1">DATE(YEAR(JK99),MONTH(JK99),DAY(JK99)+60)</f>
        <v>42894</v>
      </c>
      <c r="JO99" s="501">
        <f ca="1">IF(AND(JK99&gt;0,JN99&gt;0),JN99-JK99,"0")</f>
        <v>60</v>
      </c>
      <c r="JP99" s="498">
        <f ca="1">JO99-60</f>
        <v>0</v>
      </c>
      <c r="JQ99" s="482">
        <f>291/30</f>
        <v>9.6999999999999993</v>
      </c>
      <c r="JR99" s="504">
        <f ca="1">((+HS99+HU99+IB99+IJ99+IQ99+IU99+JB99+JM99+JF99)/30)-JQ99</f>
        <v>1421.2333333333333</v>
      </c>
      <c r="JS99" s="490"/>
      <c r="JT99" s="505"/>
      <c r="JU99" s="490"/>
      <c r="JV99" s="505"/>
      <c r="JW99" s="586"/>
      <c r="JX99" s="586"/>
      <c r="JY99" s="586"/>
      <c r="JZ99" s="586"/>
    </row>
    <row r="100" spans="1:286" ht="63" hidden="1" customHeight="1" x14ac:dyDescent="0.25">
      <c r="A100" s="146" t="s">
        <v>882</v>
      </c>
      <c r="B100" s="110" t="s">
        <v>46</v>
      </c>
      <c r="C100" s="110" t="s">
        <v>157</v>
      </c>
      <c r="D100" s="110">
        <v>2018</v>
      </c>
      <c r="E100" s="110"/>
      <c r="F100" s="110"/>
      <c r="G100" s="110"/>
      <c r="H100" s="112"/>
      <c r="I100" s="110"/>
      <c r="J100" s="110"/>
      <c r="K100" s="453"/>
      <c r="L100" s="309"/>
      <c r="M100" s="310"/>
      <c r="N100" s="311"/>
      <c r="O100" s="379"/>
      <c r="P100" s="379"/>
      <c r="Q100" s="379"/>
      <c r="R100" s="379"/>
      <c r="S100" s="379"/>
      <c r="T100" s="387"/>
      <c r="U100" s="387"/>
      <c r="V100" s="387"/>
      <c r="W100" s="379"/>
      <c r="X100" s="380"/>
      <c r="Y100" s="390"/>
      <c r="Z100" s="380"/>
      <c r="AA100" s="380"/>
      <c r="AB100" s="381"/>
      <c r="AC100" s="110" t="s">
        <v>26</v>
      </c>
      <c r="AD100" s="640">
        <f>(AE100+AF100)</f>
        <v>43</v>
      </c>
      <c r="AE100" s="121"/>
      <c r="AF100" s="110">
        <v>43</v>
      </c>
      <c r="AG100" s="114"/>
      <c r="AH100" s="152"/>
      <c r="AI100" s="114"/>
      <c r="AJ100" s="135"/>
      <c r="AK100" s="135"/>
      <c r="AL100" s="135"/>
      <c r="AM100" s="135"/>
      <c r="AN100" s="135"/>
      <c r="AO100" s="114"/>
      <c r="AP100" s="133"/>
      <c r="AQ100" s="135"/>
      <c r="AR100" s="114"/>
      <c r="AS100" s="110"/>
      <c r="AT100" s="110"/>
      <c r="AU100" s="110"/>
      <c r="AV100" s="110"/>
      <c r="AW100" s="415"/>
      <c r="AX100" s="415"/>
      <c r="AY100" s="415"/>
      <c r="AZ100" s="332"/>
      <c r="BA100" s="332"/>
      <c r="BB100" s="332"/>
      <c r="BC100" s="332"/>
      <c r="BD100" s="332"/>
      <c r="BE100" s="540"/>
      <c r="BF100" s="110"/>
      <c r="BG100" s="110"/>
      <c r="BH100" s="110"/>
      <c r="BI100" s="110"/>
      <c r="BJ100" s="110"/>
      <c r="BK100" s="110"/>
      <c r="BL100" s="110"/>
      <c r="BM100" s="110"/>
      <c r="BN100" s="196"/>
      <c r="BO100" s="196"/>
      <c r="BP100" s="196"/>
      <c r="BQ100" s="196"/>
      <c r="BR100" s="196"/>
      <c r="BS100" s="196"/>
      <c r="BT100" s="158"/>
      <c r="BU100" s="376"/>
      <c r="BV100" s="160"/>
      <c r="BW100" s="160"/>
      <c r="BX100" s="160"/>
      <c r="BY100" s="160"/>
      <c r="BZ100" s="376"/>
      <c r="CA100" s="160"/>
      <c r="CB100" s="302"/>
      <c r="CC100" s="374"/>
      <c r="CD100" s="302"/>
      <c r="CE100" s="302"/>
      <c r="CF100" s="161"/>
      <c r="CG100" s="336">
        <f>DATE(YEAR(CF100),MONTH(CF100)+24,DAY(CF100))</f>
        <v>731</v>
      </c>
      <c r="CH100" s="336">
        <f>DATE(YEAR(CF100),MONTH(CF100)+36,DAY(CF100))</f>
        <v>1096</v>
      </c>
      <c r="CI100" s="336"/>
      <c r="CJ100" s="302"/>
      <c r="CK100" s="308"/>
      <c r="CL100" s="161"/>
      <c r="CM100" s="371"/>
      <c r="CN100" s="161"/>
      <c r="CO100" s="161"/>
      <c r="CP100" s="162"/>
      <c r="CQ100" s="367"/>
      <c r="CR100" s="162"/>
      <c r="CS100" s="162"/>
      <c r="CT100" s="162"/>
      <c r="CU100" s="367"/>
      <c r="CV100" s="162"/>
      <c r="CW100" s="162"/>
      <c r="CX100" s="162"/>
      <c r="CY100" s="367"/>
      <c r="CZ100" s="162"/>
      <c r="DA100" s="162"/>
      <c r="DB100" s="299"/>
      <c r="DC100" s="299"/>
      <c r="DD100" s="299"/>
      <c r="DE100" s="312"/>
      <c r="DF100" s="312"/>
      <c r="DG100" s="312"/>
      <c r="DH100" s="312"/>
      <c r="DI100" s="312"/>
      <c r="DJ100" s="312"/>
      <c r="DK100" s="293"/>
      <c r="DL100" s="293"/>
      <c r="DM100" s="293"/>
      <c r="DN100" s="293"/>
      <c r="DO100" s="293"/>
      <c r="DP100" s="293"/>
      <c r="DQ100" s="443"/>
      <c r="DR100" s="443"/>
      <c r="DS100" s="443"/>
      <c r="DT100" s="298"/>
      <c r="DU100" s="443"/>
      <c r="DV100" s="443"/>
      <c r="DW100" s="443"/>
      <c r="DX100" s="423"/>
      <c r="DY100" s="423"/>
      <c r="DZ100" s="423"/>
      <c r="EA100" s="434"/>
      <c r="EB100" s="423"/>
      <c r="EC100" s="430"/>
      <c r="ED100" s="430"/>
      <c r="EE100" s="422"/>
      <c r="EF100" s="422"/>
      <c r="EG100" s="422"/>
      <c r="EH100" s="422"/>
      <c r="EI100" s="431"/>
      <c r="EJ100" s="431"/>
      <c r="EK100" s="423"/>
      <c r="EL100" s="423"/>
      <c r="EM100" s="423"/>
      <c r="EN100" s="210"/>
      <c r="EO100" s="210"/>
      <c r="EP100" s="423"/>
      <c r="EQ100" s="423"/>
      <c r="ER100" s="423"/>
      <c r="ES100" s="423"/>
      <c r="ET100" s="423"/>
      <c r="EU100" s="334"/>
      <c r="EV100" s="206"/>
      <c r="EW100" s="206"/>
      <c r="EX100" s="209"/>
      <c r="EY100" s="434"/>
      <c r="EZ100" s="212"/>
      <c r="FA100" s="212"/>
      <c r="FB100" s="212"/>
      <c r="FC100" s="212"/>
      <c r="FD100" s="110"/>
      <c r="FE100" s="110"/>
      <c r="FF100" s="110"/>
      <c r="FG100" s="110"/>
      <c r="FH100" s="110"/>
      <c r="FI100" s="110"/>
      <c r="FJ100" s="110"/>
      <c r="FK100" s="110"/>
      <c r="FL100" s="110"/>
      <c r="FM100" s="110"/>
      <c r="FN100" s="110"/>
      <c r="FO100" s="110"/>
      <c r="FP100" s="199"/>
      <c r="FQ100" s="153">
        <f>170000*AF100</f>
        <v>7310000</v>
      </c>
      <c r="FR100" s="124"/>
      <c r="FS100" s="154"/>
      <c r="FT100" s="98" t="e">
        <f>FQ100/AG100</f>
        <v>#DIV/0!</v>
      </c>
      <c r="FU100" s="98">
        <f>FQ100/AD100</f>
        <v>170000</v>
      </c>
      <c r="FV100" s="153"/>
      <c r="FW100" s="124"/>
      <c r="FX100" s="154"/>
      <c r="FY100" s="232"/>
      <c r="FZ100" s="234"/>
      <c r="GA100" s="153"/>
      <c r="GB100" s="124"/>
      <c r="GC100" s="98">
        <f>GA100/AD100</f>
        <v>0</v>
      </c>
      <c r="GD100" s="155"/>
      <c r="GE100" s="153"/>
      <c r="GF100" s="124"/>
      <c r="GG100" s="147"/>
      <c r="GH100" s="147"/>
      <c r="GI100" s="155"/>
      <c r="GJ100" s="98">
        <f>GE100/AD100</f>
        <v>0</v>
      </c>
      <c r="GK100" s="124"/>
      <c r="GL100" s="153">
        <f>20000*AF100</f>
        <v>860000</v>
      </c>
      <c r="GM100" s="124"/>
      <c r="GN100" s="124"/>
      <c r="GO100" s="148">
        <f>GL100/FQ100</f>
        <v>0.11764705882352941</v>
      </c>
      <c r="GP100" s="590"/>
      <c r="GQ100" s="124"/>
      <c r="GR100" s="149"/>
      <c r="GS100" s="98">
        <f>GL100/AD100</f>
        <v>20000</v>
      </c>
      <c r="GT100" s="138">
        <f>(GA100+GL100)/AD100</f>
        <v>20000</v>
      </c>
      <c r="GU100" s="149"/>
      <c r="GV100" s="150"/>
      <c r="GW100" s="150"/>
      <c r="GX100" s="151"/>
      <c r="GY100" s="151"/>
      <c r="GZ100" s="98"/>
      <c r="HA100" s="151"/>
      <c r="HB100" s="98"/>
      <c r="HC100" s="99"/>
      <c r="HD100" s="151"/>
      <c r="HE100" s="151"/>
      <c r="HF100" s="124"/>
      <c r="HG100" s="156">
        <f>FQ100+GX100</f>
        <v>7310000</v>
      </c>
      <c r="HH100" s="491"/>
      <c r="HI100" s="491"/>
      <c r="HJ100" s="494"/>
      <c r="HK100" s="491"/>
      <c r="HL100" s="477"/>
      <c r="HM100" s="477"/>
      <c r="HN100" s="477"/>
      <c r="HO100" s="497"/>
      <c r="HP100" s="477"/>
      <c r="HQ100" s="481"/>
      <c r="HR100" s="497"/>
      <c r="HS100" s="506"/>
      <c r="HT100" s="477"/>
      <c r="HU100" s="497"/>
      <c r="HV100" s="477"/>
      <c r="HW100" s="477"/>
      <c r="HX100" s="497"/>
      <c r="HY100" s="476"/>
      <c r="HZ100" s="481"/>
      <c r="IA100" s="497"/>
      <c r="IB100" s="506"/>
      <c r="IC100" s="490"/>
      <c r="ID100" s="491"/>
      <c r="IE100" s="477"/>
      <c r="IF100" s="477"/>
      <c r="IG100" s="494"/>
      <c r="IH100" s="491"/>
      <c r="II100" s="478"/>
      <c r="IJ100" s="497"/>
      <c r="IK100" s="478"/>
      <c r="IL100" s="478"/>
      <c r="IM100" s="497"/>
      <c r="IN100" s="478"/>
      <c r="IO100" s="481"/>
      <c r="IP100" s="497"/>
      <c r="IQ100" s="506"/>
      <c r="IR100" s="490"/>
      <c r="IS100" s="491"/>
      <c r="IT100" s="478"/>
      <c r="IU100" s="498"/>
      <c r="IV100" s="478"/>
      <c r="IW100" s="478"/>
      <c r="IX100" s="498"/>
      <c r="IY100" s="478"/>
      <c r="IZ100" s="482"/>
      <c r="JA100" s="498"/>
      <c r="JB100" s="508"/>
      <c r="JC100" s="490"/>
      <c r="JD100" s="491"/>
      <c r="JE100" s="212"/>
      <c r="JF100" s="487"/>
      <c r="JG100" s="212"/>
      <c r="JH100" s="212">
        <f ca="1">TODAY()</f>
        <v>42789</v>
      </c>
      <c r="JI100" s="487"/>
      <c r="JJ100" s="212"/>
      <c r="JK100" s="212"/>
      <c r="JL100" s="487"/>
      <c r="JM100" s="509"/>
      <c r="JN100" s="212"/>
      <c r="JO100" s="501"/>
      <c r="JP100" s="498"/>
      <c r="JQ100" s="482"/>
      <c r="JR100" s="504"/>
      <c r="JS100" s="490"/>
      <c r="JT100" s="505"/>
      <c r="JU100" s="490"/>
      <c r="JV100" s="505"/>
      <c r="JW100" s="586"/>
      <c r="JX100" s="586"/>
      <c r="JY100" s="586"/>
      <c r="JZ100" s="586"/>
    </row>
    <row r="101" spans="1:286" ht="63" hidden="1" customHeight="1" x14ac:dyDescent="0.25">
      <c r="A101" s="146" t="s">
        <v>873</v>
      </c>
      <c r="B101" s="110" t="s">
        <v>62</v>
      </c>
      <c r="C101" s="110" t="s">
        <v>158</v>
      </c>
      <c r="D101" s="110">
        <v>2018</v>
      </c>
      <c r="E101" s="110"/>
      <c r="F101" s="110"/>
      <c r="G101" s="110"/>
      <c r="H101" s="110"/>
      <c r="I101" s="110"/>
      <c r="J101" s="112"/>
      <c r="K101" s="453"/>
      <c r="L101" s="309"/>
      <c r="M101" s="310"/>
      <c r="N101" s="311"/>
      <c r="O101" s="379"/>
      <c r="P101" s="379"/>
      <c r="Q101" s="379"/>
      <c r="R101" s="379"/>
      <c r="S101" s="379"/>
      <c r="T101" s="387"/>
      <c r="U101" s="387"/>
      <c r="V101" s="387"/>
      <c r="W101" s="379"/>
      <c r="X101" s="380"/>
      <c r="Y101" s="381"/>
      <c r="Z101" s="380"/>
      <c r="AA101" s="380"/>
      <c r="AB101" s="381"/>
      <c r="AC101" s="111" t="s">
        <v>25</v>
      </c>
      <c r="AD101" s="640">
        <f>(AE101+AF101)</f>
        <v>23</v>
      </c>
      <c r="AE101" s="121"/>
      <c r="AF101" s="110">
        <v>23</v>
      </c>
      <c r="AG101" s="114"/>
      <c r="AH101" s="152"/>
      <c r="AI101" s="114"/>
      <c r="AJ101" s="135"/>
      <c r="AK101" s="135"/>
      <c r="AL101" s="135"/>
      <c r="AM101" s="135"/>
      <c r="AN101" s="135"/>
      <c r="AO101" s="114"/>
      <c r="AP101" s="133"/>
      <c r="AQ101" s="135"/>
      <c r="AR101" s="114"/>
      <c r="AS101" s="110"/>
      <c r="AT101" s="110"/>
      <c r="AU101" s="110"/>
      <c r="AV101" s="110"/>
      <c r="AW101" s="332"/>
      <c r="AX101" s="332"/>
      <c r="AY101" s="110"/>
      <c r="AZ101" s="110"/>
      <c r="BA101" s="110"/>
      <c r="BB101" s="110"/>
      <c r="BC101" s="110"/>
      <c r="BD101" s="110"/>
      <c r="BE101" s="110"/>
      <c r="BF101" s="110"/>
      <c r="BG101" s="110"/>
      <c r="BH101" s="110"/>
      <c r="BI101" s="110"/>
      <c r="BJ101" s="110"/>
      <c r="BK101" s="110"/>
      <c r="BL101" s="110"/>
      <c r="BM101" s="110"/>
      <c r="BN101" s="196"/>
      <c r="BO101" s="196"/>
      <c r="BP101" s="196"/>
      <c r="BQ101" s="196"/>
      <c r="BR101" s="196"/>
      <c r="BS101" s="196"/>
      <c r="BT101" s="158"/>
      <c r="BU101" s="376"/>
      <c r="BV101" s="160"/>
      <c r="BW101" s="160"/>
      <c r="BX101" s="160"/>
      <c r="BY101" s="160"/>
      <c r="BZ101" s="376"/>
      <c r="CA101" s="160"/>
      <c r="CB101" s="302"/>
      <c r="CC101" s="374"/>
      <c r="CD101" s="302"/>
      <c r="CE101" s="302"/>
      <c r="CF101" s="161"/>
      <c r="CG101" s="336">
        <f>DATE(YEAR(CF101),MONTH(CF101)+24,DAY(CF101))</f>
        <v>731</v>
      </c>
      <c r="CH101" s="336">
        <f>DATE(YEAR(CF101),MONTH(CF101)+36,DAY(CF101))</f>
        <v>1096</v>
      </c>
      <c r="CI101" s="336"/>
      <c r="CJ101" s="302"/>
      <c r="CK101" s="308"/>
      <c r="CL101" s="161"/>
      <c r="CM101" s="371"/>
      <c r="CN101" s="161"/>
      <c r="CO101" s="161"/>
      <c r="CP101" s="162"/>
      <c r="CQ101" s="367"/>
      <c r="CR101" s="162"/>
      <c r="CS101" s="162"/>
      <c r="CT101" s="162"/>
      <c r="CU101" s="367"/>
      <c r="CV101" s="162"/>
      <c r="CW101" s="162"/>
      <c r="CX101" s="162"/>
      <c r="CY101" s="367"/>
      <c r="CZ101" s="162"/>
      <c r="DA101" s="162"/>
      <c r="DB101" s="299"/>
      <c r="DC101" s="299"/>
      <c r="DD101" s="299"/>
      <c r="DE101" s="312"/>
      <c r="DF101" s="312"/>
      <c r="DG101" s="312"/>
      <c r="DH101" s="312"/>
      <c r="DI101" s="312"/>
      <c r="DJ101" s="312"/>
      <c r="DK101" s="293"/>
      <c r="DL101" s="293"/>
      <c r="DM101" s="293"/>
      <c r="DN101" s="293"/>
      <c r="DO101" s="293"/>
      <c r="DP101" s="293"/>
      <c r="DQ101" s="443"/>
      <c r="DR101" s="443"/>
      <c r="DS101" s="443"/>
      <c r="DT101" s="298"/>
      <c r="DU101" s="443"/>
      <c r="DV101" s="443"/>
      <c r="DW101" s="443"/>
      <c r="DX101" s="423"/>
      <c r="DY101" s="423"/>
      <c r="DZ101" s="423"/>
      <c r="EA101" s="434"/>
      <c r="EB101" s="423"/>
      <c r="EC101" s="430"/>
      <c r="ED101" s="430"/>
      <c r="EE101" s="422"/>
      <c r="EF101" s="422"/>
      <c r="EG101" s="422"/>
      <c r="EH101" s="422"/>
      <c r="EI101" s="431"/>
      <c r="EJ101" s="431"/>
      <c r="EK101" s="423"/>
      <c r="EL101" s="423"/>
      <c r="EM101" s="423"/>
      <c r="EN101" s="210"/>
      <c r="EO101" s="210"/>
      <c r="EP101" s="423"/>
      <c r="EQ101" s="423"/>
      <c r="ER101" s="423"/>
      <c r="ES101" s="423"/>
      <c r="ET101" s="423"/>
      <c r="EU101" s="210"/>
      <c r="EV101" s="206"/>
      <c r="EW101" s="206"/>
      <c r="EX101" s="206"/>
      <c r="EY101" s="434"/>
      <c r="EZ101" s="212"/>
      <c r="FA101" s="212"/>
      <c r="FB101" s="212"/>
      <c r="FC101" s="212"/>
      <c r="FD101" s="110"/>
      <c r="FE101" s="110"/>
      <c r="FF101" s="110"/>
      <c r="FG101" s="110"/>
      <c r="FH101" s="110"/>
      <c r="FI101" s="110"/>
      <c r="FJ101" s="110"/>
      <c r="FK101" s="110"/>
      <c r="FL101" s="110"/>
      <c r="FM101" s="110"/>
      <c r="FN101" s="110"/>
      <c r="FO101" s="110"/>
      <c r="FP101" s="199"/>
      <c r="FQ101" s="153"/>
      <c r="FR101" s="124"/>
      <c r="FS101" s="154"/>
      <c r="FT101" s="98"/>
      <c r="FU101" s="98"/>
      <c r="FV101" s="153"/>
      <c r="FW101" s="124"/>
      <c r="FX101" s="154"/>
      <c r="FY101" s="232"/>
      <c r="FZ101" s="234"/>
      <c r="GA101" s="153"/>
      <c r="GB101" s="124"/>
      <c r="GC101" s="98"/>
      <c r="GD101" s="155"/>
      <c r="GE101" s="153"/>
      <c r="GF101" s="124"/>
      <c r="GG101" s="147"/>
      <c r="GH101" s="147"/>
      <c r="GI101" s="155"/>
      <c r="GJ101" s="98"/>
      <c r="GK101" s="124"/>
      <c r="GL101" s="153"/>
      <c r="GM101" s="124"/>
      <c r="GN101" s="124"/>
      <c r="GO101" s="148"/>
      <c r="GP101" s="590"/>
      <c r="GQ101" s="124"/>
      <c r="GR101" s="149"/>
      <c r="GS101" s="98"/>
      <c r="GT101" s="138"/>
      <c r="GU101" s="149"/>
      <c r="GV101" s="150"/>
      <c r="GW101" s="150"/>
      <c r="GX101" s="151"/>
      <c r="GY101" s="151"/>
      <c r="GZ101" s="98"/>
      <c r="HA101" s="151"/>
      <c r="HB101" s="98"/>
      <c r="HC101" s="99"/>
      <c r="HD101" s="151"/>
      <c r="HE101" s="151"/>
      <c r="HF101" s="124"/>
      <c r="HG101" s="156"/>
      <c r="HH101" s="491"/>
      <c r="HI101" s="491"/>
      <c r="HJ101" s="494"/>
      <c r="HK101" s="491"/>
      <c r="HL101" s="477"/>
      <c r="HM101" s="477">
        <f>DATE(YEAR(HL101),MONTH(HL101),DAY(HL101)+21)</f>
        <v>21</v>
      </c>
      <c r="HN101" s="477"/>
      <c r="HO101" s="497"/>
      <c r="HP101" s="477"/>
      <c r="HQ101" s="481"/>
      <c r="HR101" s="497"/>
      <c r="HS101" s="506"/>
      <c r="HT101" s="477"/>
      <c r="HU101" s="497"/>
      <c r="HV101" s="477"/>
      <c r="HW101" s="477"/>
      <c r="HX101" s="497"/>
      <c r="HY101" s="476"/>
      <c r="HZ101" s="481"/>
      <c r="IA101" s="497"/>
      <c r="IB101" s="506"/>
      <c r="IC101" s="490"/>
      <c r="ID101" s="491"/>
      <c r="IE101" s="477"/>
      <c r="IF101" s="477"/>
      <c r="IG101" s="494"/>
      <c r="IH101" s="491"/>
      <c r="II101" s="478"/>
      <c r="IJ101" s="497"/>
      <c r="IK101" s="478"/>
      <c r="IL101" s="478">
        <f ca="1">IF(IK101&lt;TODAY(),TODAY(),IK101)</f>
        <v>42789</v>
      </c>
      <c r="IM101" s="497"/>
      <c r="IN101" s="478"/>
      <c r="IO101" s="481"/>
      <c r="IP101" s="497"/>
      <c r="IQ101" s="506"/>
      <c r="IR101" s="490"/>
      <c r="IS101" s="491"/>
      <c r="IT101" s="478"/>
      <c r="IU101" s="498"/>
      <c r="IV101" s="478"/>
      <c r="IW101" s="206"/>
      <c r="IX101" s="498"/>
      <c r="IY101" s="478"/>
      <c r="IZ101" s="482"/>
      <c r="JA101" s="498"/>
      <c r="JB101" s="508"/>
      <c r="JC101" s="490"/>
      <c r="JD101" s="491"/>
      <c r="JE101" s="212"/>
      <c r="JF101" s="487"/>
      <c r="JG101" s="212"/>
      <c r="JH101" s="212">
        <f ca="1">TODAY()</f>
        <v>42789</v>
      </c>
      <c r="JI101" s="487"/>
      <c r="JJ101" s="212"/>
      <c r="JK101" s="212"/>
      <c r="JL101" s="487"/>
      <c r="JM101" s="509"/>
      <c r="JN101" s="212"/>
      <c r="JO101" s="501"/>
      <c r="JP101" s="498"/>
      <c r="JQ101" s="482"/>
      <c r="JR101" s="504"/>
      <c r="JS101" s="490"/>
      <c r="JT101" s="491"/>
      <c r="JU101" s="490"/>
      <c r="JV101" s="491"/>
      <c r="JW101" s="586"/>
      <c r="JX101" s="586"/>
      <c r="JY101" s="586"/>
      <c r="JZ101" s="586"/>
    </row>
    <row r="102" spans="1:286" ht="48.2" hidden="1" customHeight="1" x14ac:dyDescent="0.25">
      <c r="A102" s="146" t="s">
        <v>870</v>
      </c>
      <c r="B102" s="110" t="s">
        <v>46</v>
      </c>
      <c r="C102" s="110" t="s">
        <v>157</v>
      </c>
      <c r="D102" s="110">
        <v>2018</v>
      </c>
      <c r="E102" s="110"/>
      <c r="F102" s="110"/>
      <c r="G102" s="110"/>
      <c r="H102" s="110"/>
      <c r="I102" s="110"/>
      <c r="J102" s="112" t="s">
        <v>871</v>
      </c>
      <c r="K102" s="453"/>
      <c r="L102" s="309"/>
      <c r="M102" s="310"/>
      <c r="N102" s="311"/>
      <c r="O102" s="379"/>
      <c r="P102" s="379"/>
      <c r="Q102" s="379"/>
      <c r="R102" s="379"/>
      <c r="S102" s="379"/>
      <c r="T102" s="387"/>
      <c r="U102" s="387"/>
      <c r="V102" s="387"/>
      <c r="W102" s="379"/>
      <c r="X102" s="380"/>
      <c r="Y102" s="381"/>
      <c r="Z102" s="380"/>
      <c r="AA102" s="380"/>
      <c r="AB102" s="381"/>
      <c r="AC102" s="111" t="s">
        <v>26</v>
      </c>
      <c r="AD102" s="640">
        <f>(AE102+AF102)</f>
        <v>40</v>
      </c>
      <c r="AE102" s="121"/>
      <c r="AF102" s="110">
        <v>40</v>
      </c>
      <c r="AG102" s="114"/>
      <c r="AH102" s="401"/>
      <c r="AI102" s="114"/>
      <c r="AJ102" s="135"/>
      <c r="AK102" s="135"/>
      <c r="AL102" s="135"/>
      <c r="AM102" s="135"/>
      <c r="AN102" s="135"/>
      <c r="AO102" s="114"/>
      <c r="AP102" s="133"/>
      <c r="AQ102" s="135"/>
      <c r="AR102" s="114"/>
      <c r="AS102" s="110"/>
      <c r="AT102" s="110"/>
      <c r="AU102" s="110"/>
      <c r="AV102" s="110"/>
      <c r="AW102" s="332"/>
      <c r="AX102" s="332"/>
      <c r="AY102" s="110"/>
      <c r="AZ102" s="110"/>
      <c r="BA102" s="110"/>
      <c r="BB102" s="110"/>
      <c r="BC102" s="110"/>
      <c r="BD102" s="110"/>
      <c r="BE102" s="110"/>
      <c r="BF102" s="110"/>
      <c r="BG102" s="110"/>
      <c r="BH102" s="110"/>
      <c r="BI102" s="110"/>
      <c r="BJ102" s="110"/>
      <c r="BK102" s="110"/>
      <c r="BL102" s="110"/>
      <c r="BM102" s="110"/>
      <c r="BN102" s="196"/>
      <c r="BO102" s="196"/>
      <c r="BP102" s="196"/>
      <c r="BQ102" s="196"/>
      <c r="BR102" s="196"/>
      <c r="BS102" s="196"/>
      <c r="BT102" s="158"/>
      <c r="BU102" s="376"/>
      <c r="BV102" s="160"/>
      <c r="BW102" s="160"/>
      <c r="BX102" s="160"/>
      <c r="BY102" s="160"/>
      <c r="BZ102" s="376"/>
      <c r="CA102" s="160"/>
      <c r="CB102" s="302"/>
      <c r="CC102" s="374"/>
      <c r="CD102" s="302"/>
      <c r="CE102" s="302"/>
      <c r="CF102" s="161"/>
      <c r="CG102" s="336">
        <f>DATE(YEAR(CF102),MONTH(CF102)+24,DAY(CF102))</f>
        <v>731</v>
      </c>
      <c r="CH102" s="336">
        <f>DATE(YEAR(CF102),MONTH(CF102)+36,DAY(CF102))</f>
        <v>1096</v>
      </c>
      <c r="CI102" s="336"/>
      <c r="CJ102" s="302"/>
      <c r="CK102" s="308"/>
      <c r="CL102" s="161"/>
      <c r="CM102" s="371"/>
      <c r="CN102" s="161"/>
      <c r="CO102" s="161"/>
      <c r="CP102" s="162"/>
      <c r="CQ102" s="367"/>
      <c r="CR102" s="162"/>
      <c r="CS102" s="162"/>
      <c r="CT102" s="162"/>
      <c r="CU102" s="367"/>
      <c r="CV102" s="162"/>
      <c r="CW102" s="162"/>
      <c r="CX102" s="162"/>
      <c r="CY102" s="367"/>
      <c r="CZ102" s="162"/>
      <c r="DA102" s="162"/>
      <c r="DB102" s="299"/>
      <c r="DC102" s="299"/>
      <c r="DD102" s="299"/>
      <c r="DE102" s="312"/>
      <c r="DF102" s="312"/>
      <c r="DG102" s="312"/>
      <c r="DH102" s="312"/>
      <c r="DI102" s="312"/>
      <c r="DJ102" s="312"/>
      <c r="DK102" s="293"/>
      <c r="DL102" s="293"/>
      <c r="DM102" s="293"/>
      <c r="DN102" s="293"/>
      <c r="DO102" s="293"/>
      <c r="DP102" s="293"/>
      <c r="DQ102" s="304"/>
      <c r="DR102" s="443"/>
      <c r="DS102" s="443"/>
      <c r="DT102" s="298"/>
      <c r="DU102" s="304"/>
      <c r="DV102" s="443"/>
      <c r="DW102" s="443"/>
      <c r="DX102" s="423"/>
      <c r="DY102" s="423"/>
      <c r="DZ102" s="423"/>
      <c r="EA102" s="434"/>
      <c r="EB102" s="423"/>
      <c r="EC102" s="430"/>
      <c r="ED102" s="430"/>
      <c r="EE102" s="422"/>
      <c r="EF102" s="422"/>
      <c r="EG102" s="422"/>
      <c r="EH102" s="422"/>
      <c r="EI102" s="431"/>
      <c r="EJ102" s="431"/>
      <c r="EK102" s="423"/>
      <c r="EL102" s="423"/>
      <c r="EM102" s="423"/>
      <c r="EN102" s="210"/>
      <c r="EO102" s="210"/>
      <c r="EP102" s="423"/>
      <c r="EQ102" s="423"/>
      <c r="ER102" s="423"/>
      <c r="ES102" s="423"/>
      <c r="ET102" s="423"/>
      <c r="EU102" s="210"/>
      <c r="EV102" s="206"/>
      <c r="EW102" s="206"/>
      <c r="EX102" s="206"/>
      <c r="EY102" s="434"/>
      <c r="EZ102" s="212"/>
      <c r="FA102" s="212"/>
      <c r="FB102" s="212"/>
      <c r="FC102" s="212"/>
      <c r="FD102" s="110"/>
      <c r="FE102" s="110"/>
      <c r="FF102" s="110"/>
      <c r="FG102" s="110"/>
      <c r="FH102" s="110"/>
      <c r="FI102" s="110"/>
      <c r="FJ102" s="110"/>
      <c r="FK102" s="110"/>
      <c r="FL102" s="110"/>
      <c r="FM102" s="110"/>
      <c r="FN102" s="110"/>
      <c r="FO102" s="110"/>
      <c r="FP102" s="199"/>
      <c r="FQ102" s="153"/>
      <c r="FR102" s="124"/>
      <c r="FS102" s="25"/>
      <c r="FT102" s="50"/>
      <c r="FU102" s="50"/>
      <c r="FV102" s="153"/>
      <c r="FW102" s="124"/>
      <c r="FX102" s="154"/>
      <c r="FY102" s="232"/>
      <c r="FZ102" s="234"/>
      <c r="GA102" s="153"/>
      <c r="GB102" s="24"/>
      <c r="GC102" s="98"/>
      <c r="GD102" s="155"/>
      <c r="GE102" s="153"/>
      <c r="GF102" s="24"/>
      <c r="GG102" s="147"/>
      <c r="GH102" s="147"/>
      <c r="GI102" s="155"/>
      <c r="GJ102" s="98"/>
      <c r="GK102" s="124"/>
      <c r="GL102" s="153"/>
      <c r="GM102" s="24"/>
      <c r="GN102" s="124"/>
      <c r="GO102" s="148"/>
      <c r="GP102" s="590"/>
      <c r="GQ102" s="124"/>
      <c r="GR102" s="149"/>
      <c r="GS102" s="50"/>
      <c r="GT102" s="138"/>
      <c r="GU102" s="149"/>
      <c r="GV102" s="150"/>
      <c r="GW102" s="150"/>
      <c r="GX102" s="151"/>
      <c r="GY102" s="151"/>
      <c r="GZ102" s="98"/>
      <c r="HA102" s="151"/>
      <c r="HB102" s="98"/>
      <c r="HC102" s="99"/>
      <c r="HD102" s="151"/>
      <c r="HE102" s="151"/>
      <c r="HF102" s="124"/>
      <c r="HG102" s="77"/>
      <c r="HH102" s="491"/>
      <c r="HI102" s="491"/>
      <c r="HJ102" s="494"/>
      <c r="HK102" s="491"/>
      <c r="HL102" s="477"/>
      <c r="HM102" s="477">
        <f>DATE(YEAR(HL102),MONTH(HL102),DAY(HL102)+21)</f>
        <v>21</v>
      </c>
      <c r="HN102" s="477"/>
      <c r="HO102" s="497"/>
      <c r="HP102" s="477"/>
      <c r="HQ102" s="481"/>
      <c r="HR102" s="497"/>
      <c r="HS102" s="506"/>
      <c r="HT102" s="477"/>
      <c r="HU102" s="497"/>
      <c r="HV102" s="477"/>
      <c r="HW102" s="477"/>
      <c r="HX102" s="497"/>
      <c r="HY102" s="476"/>
      <c r="HZ102" s="481"/>
      <c r="IA102" s="497"/>
      <c r="IB102" s="506"/>
      <c r="IC102" s="490"/>
      <c r="ID102" s="491"/>
      <c r="IE102" s="477"/>
      <c r="IF102" s="477"/>
      <c r="IG102" s="494"/>
      <c r="IH102" s="491"/>
      <c r="II102" s="478"/>
      <c r="IJ102" s="497"/>
      <c r="IK102" s="478"/>
      <c r="IL102" s="478">
        <f ca="1">IF(IK102&lt;TODAY(),TODAY(),IK102)</f>
        <v>42789</v>
      </c>
      <c r="IM102" s="497"/>
      <c r="IN102" s="478"/>
      <c r="IO102" s="481"/>
      <c r="IP102" s="497"/>
      <c r="IQ102" s="506"/>
      <c r="IR102" s="490"/>
      <c r="IS102" s="491"/>
      <c r="IT102" s="478"/>
      <c r="IU102" s="498"/>
      <c r="IV102" s="478"/>
      <c r="IW102" s="206"/>
      <c r="IX102" s="498"/>
      <c r="IY102" s="478"/>
      <c r="IZ102" s="482"/>
      <c r="JA102" s="498"/>
      <c r="JB102" s="508"/>
      <c r="JC102" s="490"/>
      <c r="JD102" s="491"/>
      <c r="JE102" s="212"/>
      <c r="JF102" s="487"/>
      <c r="JG102" s="212"/>
      <c r="JH102" s="212">
        <f ca="1">TODAY()</f>
        <v>42789</v>
      </c>
      <c r="JI102" s="487"/>
      <c r="JJ102" s="212"/>
      <c r="JK102" s="212"/>
      <c r="JL102" s="487"/>
      <c r="JM102" s="509"/>
      <c r="JN102" s="212"/>
      <c r="JO102" s="501"/>
      <c r="JP102" s="498"/>
      <c r="JQ102" s="482"/>
      <c r="JR102" s="504"/>
      <c r="JS102" s="490"/>
      <c r="JT102" s="491"/>
      <c r="JU102" s="490"/>
      <c r="JV102" s="491"/>
      <c r="JW102" s="586"/>
      <c r="JX102" s="586"/>
      <c r="JY102" s="586"/>
      <c r="JZ102" s="586"/>
    </row>
    <row r="103" spans="1:286" ht="39.950000000000003" hidden="1" customHeight="1" x14ac:dyDescent="0.25">
      <c r="A103" s="159" t="s">
        <v>867</v>
      </c>
      <c r="B103" s="110" t="s">
        <v>62</v>
      </c>
      <c r="C103" s="110" t="s">
        <v>159</v>
      </c>
      <c r="D103" s="110">
        <v>2018</v>
      </c>
      <c r="E103" s="110"/>
      <c r="F103" s="110"/>
      <c r="G103" s="110"/>
      <c r="H103" s="110"/>
      <c r="I103" s="110"/>
      <c r="J103" s="110" t="s">
        <v>868</v>
      </c>
      <c r="K103" s="453"/>
      <c r="L103" s="309"/>
      <c r="M103" s="310"/>
      <c r="N103" s="311"/>
      <c r="O103" s="379"/>
      <c r="P103" s="379"/>
      <c r="Q103" s="379"/>
      <c r="R103" s="379"/>
      <c r="S103" s="379"/>
      <c r="T103" s="387"/>
      <c r="U103" s="387"/>
      <c r="V103" s="387"/>
      <c r="W103" s="379"/>
      <c r="X103" s="380"/>
      <c r="Y103" s="381"/>
      <c r="Z103" s="380"/>
      <c r="AA103" s="380"/>
      <c r="AB103" s="381"/>
      <c r="AC103" s="110" t="s">
        <v>26</v>
      </c>
      <c r="AD103" s="640">
        <f>(AE103+AF103)</f>
        <v>38</v>
      </c>
      <c r="AE103" s="121"/>
      <c r="AF103" s="110">
        <v>38</v>
      </c>
      <c r="AG103" s="114"/>
      <c r="AH103" s="152"/>
      <c r="AI103" s="114"/>
      <c r="AJ103" s="135"/>
      <c r="AK103" s="135"/>
      <c r="AL103" s="135"/>
      <c r="AM103" s="135"/>
      <c r="AN103" s="135"/>
      <c r="AO103" s="114"/>
      <c r="AP103" s="133"/>
      <c r="AQ103" s="135"/>
      <c r="AR103" s="114"/>
      <c r="AS103" s="110"/>
      <c r="AT103" s="110"/>
      <c r="AU103" s="110"/>
      <c r="AV103" s="110"/>
      <c r="AW103" s="415"/>
      <c r="AX103" s="415">
        <v>42691</v>
      </c>
      <c r="AY103" s="110"/>
      <c r="AZ103" s="464"/>
      <c r="BA103" s="110"/>
      <c r="BB103" s="540"/>
      <c r="BC103" s="540"/>
      <c r="BD103" s="110"/>
      <c r="BE103" s="110"/>
      <c r="BF103" s="110"/>
      <c r="BG103" s="110"/>
      <c r="BH103" s="110"/>
      <c r="BI103" s="110"/>
      <c r="BJ103" s="110"/>
      <c r="BK103" s="110"/>
      <c r="BL103" s="110"/>
      <c r="BM103" s="110"/>
      <c r="BN103" s="196"/>
      <c r="BO103" s="196"/>
      <c r="BP103" s="196"/>
      <c r="BQ103" s="196"/>
      <c r="BR103" s="196"/>
      <c r="BS103" s="196"/>
      <c r="BT103" s="158"/>
      <c r="BU103" s="376"/>
      <c r="BV103" s="160"/>
      <c r="BW103" s="160"/>
      <c r="BX103" s="160"/>
      <c r="BY103" s="160"/>
      <c r="BZ103" s="376"/>
      <c r="CA103" s="160"/>
      <c r="CB103" s="302"/>
      <c r="CC103" s="374"/>
      <c r="CD103" s="302"/>
      <c r="CE103" s="302"/>
      <c r="CF103" s="161"/>
      <c r="CG103" s="336">
        <f>DATE(YEAR(CF103),MONTH(CF103)+24,DAY(CF103))</f>
        <v>731</v>
      </c>
      <c r="CH103" s="336">
        <f>DATE(YEAR(CF103),MONTH(CF103)+36,DAY(CF103))</f>
        <v>1096</v>
      </c>
      <c r="CI103" s="336"/>
      <c r="CJ103" s="302"/>
      <c r="CK103" s="308"/>
      <c r="CL103" s="161"/>
      <c r="CM103" s="371"/>
      <c r="CN103" s="161"/>
      <c r="CO103" s="161"/>
      <c r="CP103" s="162"/>
      <c r="CQ103" s="367"/>
      <c r="CR103" s="162"/>
      <c r="CS103" s="162"/>
      <c r="CT103" s="162"/>
      <c r="CU103" s="367"/>
      <c r="CV103" s="162"/>
      <c r="CW103" s="162"/>
      <c r="CX103" s="162"/>
      <c r="CY103" s="367"/>
      <c r="CZ103" s="162"/>
      <c r="DA103" s="162"/>
      <c r="DB103" s="299"/>
      <c r="DC103" s="299"/>
      <c r="DD103" s="299"/>
      <c r="DE103" s="312"/>
      <c r="DF103" s="312"/>
      <c r="DG103" s="312"/>
      <c r="DH103" s="312"/>
      <c r="DI103" s="312"/>
      <c r="DJ103" s="312"/>
      <c r="DK103" s="293"/>
      <c r="DL103" s="293"/>
      <c r="DM103" s="293"/>
      <c r="DN103" s="293"/>
      <c r="DO103" s="293"/>
      <c r="DP103" s="293"/>
      <c r="DQ103" s="304"/>
      <c r="DR103" s="443"/>
      <c r="DS103" s="443"/>
      <c r="DT103" s="298"/>
      <c r="DU103" s="304"/>
      <c r="DV103" s="443"/>
      <c r="DW103" s="443"/>
      <c r="DX103" s="423"/>
      <c r="DY103" s="423"/>
      <c r="DZ103" s="423"/>
      <c r="EA103" s="434"/>
      <c r="EB103" s="423"/>
      <c r="EC103" s="430"/>
      <c r="ED103" s="430"/>
      <c r="EE103" s="422"/>
      <c r="EF103" s="422"/>
      <c r="EG103" s="423"/>
      <c r="EH103" s="423"/>
      <c r="EI103" s="431"/>
      <c r="EJ103" s="431"/>
      <c r="EK103" s="423"/>
      <c r="EL103" s="423"/>
      <c r="EM103" s="423"/>
      <c r="EN103" s="210"/>
      <c r="EO103" s="210"/>
      <c r="EP103" s="423"/>
      <c r="EQ103" s="423"/>
      <c r="ER103" s="423"/>
      <c r="ES103" s="423"/>
      <c r="ET103" s="423"/>
      <c r="EU103" s="334"/>
      <c r="EV103" s="206"/>
      <c r="EW103" s="206"/>
      <c r="EX103" s="209"/>
      <c r="EY103" s="434"/>
      <c r="EZ103" s="212"/>
      <c r="FA103" s="212"/>
      <c r="FB103" s="212"/>
      <c r="FC103" s="212"/>
      <c r="FD103" s="110"/>
      <c r="FE103" s="110"/>
      <c r="FF103" s="110"/>
      <c r="FG103" s="110"/>
      <c r="FH103" s="110"/>
      <c r="FI103" s="110"/>
      <c r="FJ103" s="110"/>
      <c r="FK103" s="110"/>
      <c r="FL103" s="110"/>
      <c r="FM103" s="110"/>
      <c r="FN103" s="110"/>
      <c r="FO103" s="110"/>
      <c r="FP103" s="199"/>
      <c r="FQ103" s="153">
        <f>+GA103+GE103+GL103+HF103+GQ103</f>
        <v>6404946.6225286881</v>
      </c>
      <c r="FR103" s="124">
        <f>GB103+GF103+GK103+GM103+GQ103</f>
        <v>0</v>
      </c>
      <c r="FS103" s="154">
        <f>FR103-FQ103</f>
        <v>-6404946.6225286881</v>
      </c>
      <c r="FT103" s="98" t="e">
        <f>FQ103/AG103</f>
        <v>#DIV/0!</v>
      </c>
      <c r="FU103" s="98">
        <f>FQ103/AD103</f>
        <v>168551.2269086497</v>
      </c>
      <c r="FV103" s="153"/>
      <c r="FW103" s="124"/>
      <c r="FX103" s="154">
        <f>FW103-FV103</f>
        <v>0</v>
      </c>
      <c r="FY103" s="232" t="e">
        <f>FW103*1.021/FR103</f>
        <v>#DIV/0!</v>
      </c>
      <c r="FZ103" s="234">
        <v>0.4</v>
      </c>
      <c r="GA103" s="153">
        <v>1908737.2981168029</v>
      </c>
      <c r="GB103" s="124"/>
      <c r="GC103" s="98">
        <f>GA103/AD103</f>
        <v>50229.928897810605</v>
      </c>
      <c r="GD103" s="155">
        <f>GB103-GA103</f>
        <v>-1908737.2981168029</v>
      </c>
      <c r="GE103" s="153">
        <v>3855715.3244118853</v>
      </c>
      <c r="GF103" s="124"/>
      <c r="GG103" s="147"/>
      <c r="GH103" s="147"/>
      <c r="GI103" s="155">
        <f>GF103-GE103</f>
        <v>-3855715.3244118853</v>
      </c>
      <c r="GJ103" s="98">
        <f>GE103/AD103</f>
        <v>101466.1927476812</v>
      </c>
      <c r="GK103" s="124"/>
      <c r="GL103" s="153">
        <v>640494</v>
      </c>
      <c r="GM103" s="124"/>
      <c r="GN103" s="124"/>
      <c r="GO103" s="148">
        <f>GL103/FQ103</f>
        <v>9.9999896602905869E-2</v>
      </c>
      <c r="GP103" s="153"/>
      <c r="GQ103" s="124"/>
      <c r="GR103" s="149">
        <f>GM103-GL103</f>
        <v>-640494</v>
      </c>
      <c r="GS103" s="50">
        <f>GL103/AD103</f>
        <v>16855.105263157893</v>
      </c>
      <c r="GT103" s="138">
        <f>(GA103+GL103)/AD103</f>
        <v>67085.034160968498</v>
      </c>
      <c r="GU103" s="149">
        <f>GR103/AD103</f>
        <v>-16855.105263157893</v>
      </c>
      <c r="GV103" s="150"/>
      <c r="GW103" s="150"/>
      <c r="GX103" s="151"/>
      <c r="GY103" s="151"/>
      <c r="GZ103" s="98">
        <f>(GA103+GL103+GY103)/AD103</f>
        <v>67085.034160968498</v>
      </c>
      <c r="HA103" s="151"/>
      <c r="HB103" s="98">
        <f>(GB103+GM103+GY103+HA103)/AD103</f>
        <v>0</v>
      </c>
      <c r="HC103" s="99">
        <f>(GA103+GL103+GY103+HA103)/(GX103+FQ103-HD103)</f>
        <v>0.39800976469501953</v>
      </c>
      <c r="HD103" s="151"/>
      <c r="HE103" s="151"/>
      <c r="HF103" s="124"/>
      <c r="HG103" s="77">
        <f>FQ103+GX103</f>
        <v>6404946.6225286881</v>
      </c>
      <c r="HH103" s="491"/>
      <c r="HI103" s="491"/>
      <c r="HJ103" s="494"/>
      <c r="HK103" s="511"/>
      <c r="HL103" s="526"/>
      <c r="HM103" s="526"/>
      <c r="HN103" s="526"/>
      <c r="HO103" s="497"/>
      <c r="HP103" s="526"/>
      <c r="HQ103" s="481"/>
      <c r="HR103" s="497"/>
      <c r="HS103" s="506"/>
      <c r="HT103" s="526"/>
      <c r="HU103" s="497"/>
      <c r="HV103" s="450"/>
      <c r="HW103" s="450"/>
      <c r="HX103" s="497"/>
      <c r="HY103" s="206"/>
      <c r="HZ103" s="481"/>
      <c r="IA103" s="497"/>
      <c r="IB103" s="506"/>
      <c r="IC103" s="490"/>
      <c r="ID103" s="505"/>
      <c r="IE103" s="450"/>
      <c r="IF103" s="450"/>
      <c r="IG103" s="494"/>
      <c r="IH103" s="505"/>
      <c r="II103" s="206"/>
      <c r="IJ103" s="497"/>
      <c r="IK103" s="206"/>
      <c r="IL103" s="206">
        <f ca="1">IF(IK103&lt;TODAY(),TODAY(),IK103)</f>
        <v>42789</v>
      </c>
      <c r="IM103" s="497"/>
      <c r="IN103" s="206"/>
      <c r="IO103" s="481"/>
      <c r="IP103" s="497"/>
      <c r="IQ103" s="506"/>
      <c r="IR103" s="490"/>
      <c r="IS103" s="491"/>
      <c r="IT103" s="206"/>
      <c r="IU103" s="498"/>
      <c r="IV103" s="206"/>
      <c r="IW103" s="206"/>
      <c r="IX103" s="498"/>
      <c r="IY103" s="206"/>
      <c r="IZ103" s="482"/>
      <c r="JA103" s="498"/>
      <c r="JB103" s="508"/>
      <c r="JC103" s="490"/>
      <c r="JD103" s="505"/>
      <c r="JE103" s="502"/>
      <c r="JF103" s="487"/>
      <c r="JG103" s="502"/>
      <c r="JH103" s="502">
        <f ca="1">TODAY()</f>
        <v>42789</v>
      </c>
      <c r="JI103" s="487"/>
      <c r="JJ103" s="502"/>
      <c r="JK103" s="502"/>
      <c r="JL103" s="487"/>
      <c r="JM103" s="509"/>
      <c r="JN103" s="502"/>
      <c r="JO103" s="501"/>
      <c r="JP103" s="498"/>
      <c r="JQ103" s="482"/>
      <c r="JR103" s="504"/>
      <c r="JS103" s="490"/>
      <c r="JT103" s="505"/>
      <c r="JU103" s="490"/>
      <c r="JV103" s="505"/>
      <c r="JW103" s="586"/>
      <c r="JX103" s="586"/>
      <c r="JY103" s="586"/>
      <c r="JZ103" s="586"/>
    </row>
    <row r="104" spans="1:286" ht="27.95" hidden="1" customHeight="1" x14ac:dyDescent="0.25">
      <c r="A104" s="146" t="s">
        <v>880</v>
      </c>
      <c r="B104" s="110" t="s">
        <v>38</v>
      </c>
      <c r="C104" s="110" t="s">
        <v>157</v>
      </c>
      <c r="D104" s="111">
        <v>2018</v>
      </c>
      <c r="E104" s="110"/>
      <c r="F104" s="111"/>
      <c r="G104" s="111"/>
      <c r="H104" s="111"/>
      <c r="I104" s="111"/>
      <c r="J104" s="110"/>
      <c r="K104" s="453"/>
      <c r="L104" s="309"/>
      <c r="M104" s="310"/>
      <c r="N104" s="311"/>
      <c r="O104" s="387"/>
      <c r="P104" s="387"/>
      <c r="Q104" s="387"/>
      <c r="R104" s="379"/>
      <c r="S104" s="387"/>
      <c r="T104" s="387"/>
      <c r="U104" s="387"/>
      <c r="V104" s="387"/>
      <c r="W104" s="379"/>
      <c r="X104" s="391"/>
      <c r="Y104" s="392"/>
      <c r="Z104" s="391"/>
      <c r="AA104" s="394"/>
      <c r="AB104" s="390"/>
      <c r="AC104" s="111" t="s">
        <v>26</v>
      </c>
      <c r="AD104" s="342">
        <f>AE104+AF104</f>
        <v>15</v>
      </c>
      <c r="AE104" s="121"/>
      <c r="AF104" s="110">
        <v>15</v>
      </c>
      <c r="AG104" s="115"/>
      <c r="AH104" s="140"/>
      <c r="AI104" s="114"/>
      <c r="AJ104" s="117"/>
      <c r="AK104" s="117"/>
      <c r="AL104" s="117"/>
      <c r="AM104" s="117"/>
      <c r="AN104" s="117"/>
      <c r="AO104" s="115"/>
      <c r="AP104" s="134"/>
      <c r="AQ104" s="136"/>
      <c r="AR104" s="115"/>
      <c r="AS104" s="111"/>
      <c r="AT104" s="111"/>
      <c r="AU104" s="111"/>
      <c r="AV104" s="111"/>
      <c r="AW104" s="338"/>
      <c r="AX104" s="338"/>
      <c r="AY104" s="111"/>
      <c r="AZ104" s="111"/>
      <c r="BA104" s="111"/>
      <c r="BB104" s="111"/>
      <c r="BC104" s="111"/>
      <c r="BD104" s="111"/>
      <c r="BE104" s="111"/>
      <c r="BF104" s="111"/>
      <c r="BG104" s="111"/>
      <c r="BH104" s="111"/>
      <c r="BI104" s="111"/>
      <c r="BJ104" s="111"/>
      <c r="BK104" s="111"/>
      <c r="BL104" s="111"/>
      <c r="BM104" s="111"/>
      <c r="BN104" s="196"/>
      <c r="BO104" s="358"/>
      <c r="BP104" s="358"/>
      <c r="BQ104" s="196"/>
      <c r="BR104" s="196"/>
      <c r="BS104" s="196"/>
      <c r="BT104" s="520"/>
      <c r="BU104" s="376"/>
      <c r="BV104" s="160"/>
      <c r="BW104" s="160"/>
      <c r="BX104" s="160"/>
      <c r="BY104" s="160"/>
      <c r="BZ104" s="376"/>
      <c r="CA104" s="160"/>
      <c r="CB104" s="302"/>
      <c r="CC104" s="374"/>
      <c r="CD104" s="302"/>
      <c r="CE104" s="302"/>
      <c r="CF104" s="161"/>
      <c r="CG104" s="336">
        <f>DATE(YEAR(CF104),MONTH(CF104)+24,DAY(CF104))</f>
        <v>731</v>
      </c>
      <c r="CH104" s="336">
        <f>DATE(YEAR(CF104),MONTH(CF104)+36,DAY(CF104))</f>
        <v>1096</v>
      </c>
      <c r="CI104" s="336"/>
      <c r="CJ104" s="302"/>
      <c r="CK104" s="302"/>
      <c r="CL104" s="161"/>
      <c r="CM104" s="371"/>
      <c r="CN104" s="166"/>
      <c r="CO104" s="166"/>
      <c r="CP104" s="162"/>
      <c r="CQ104" s="367"/>
      <c r="CR104" s="166"/>
      <c r="CS104" s="166"/>
      <c r="CT104" s="166"/>
      <c r="CU104" s="368"/>
      <c r="CV104" s="166"/>
      <c r="CW104" s="166"/>
      <c r="CX104" s="166"/>
      <c r="CY104" s="368"/>
      <c r="CZ104" s="166"/>
      <c r="DA104" s="166"/>
      <c r="DB104" s="299"/>
      <c r="DC104" s="313"/>
      <c r="DD104" s="299"/>
      <c r="DE104" s="299"/>
      <c r="DF104" s="299"/>
      <c r="DG104" s="299"/>
      <c r="DH104" s="299"/>
      <c r="DI104" s="299"/>
      <c r="DJ104" s="299"/>
      <c r="DK104" s="298"/>
      <c r="DL104" s="298"/>
      <c r="DM104" s="298"/>
      <c r="DN104" s="298"/>
      <c r="DO104" s="293"/>
      <c r="DP104" s="293"/>
      <c r="DQ104" s="443"/>
      <c r="DR104" s="443"/>
      <c r="DS104" s="443"/>
      <c r="DT104" s="298"/>
      <c r="DU104" s="443"/>
      <c r="DV104" s="443"/>
      <c r="DW104" s="443"/>
      <c r="DX104" s="415"/>
      <c r="DY104" s="423"/>
      <c r="DZ104" s="423"/>
      <c r="EA104" s="434"/>
      <c r="EB104" s="423"/>
      <c r="EC104" s="430"/>
      <c r="ED104" s="430"/>
      <c r="EE104" s="422"/>
      <c r="EF104" s="422"/>
      <c r="EG104" s="422"/>
      <c r="EH104" s="422"/>
      <c r="EI104" s="431"/>
      <c r="EJ104" s="431"/>
      <c r="EK104" s="423"/>
      <c r="EL104" s="423"/>
      <c r="EM104" s="423"/>
      <c r="EN104" s="210"/>
      <c r="EO104" s="210"/>
      <c r="EP104" s="432"/>
      <c r="EQ104" s="433"/>
      <c r="ER104" s="433"/>
      <c r="ES104" s="423"/>
      <c r="ET104" s="423"/>
      <c r="EU104" s="334"/>
      <c r="EV104" s="206"/>
      <c r="EW104" s="206"/>
      <c r="EX104" s="206"/>
      <c r="EY104" s="434"/>
      <c r="EZ104" s="218"/>
      <c r="FA104" s="218"/>
      <c r="FB104" s="218"/>
      <c r="FC104" s="218"/>
      <c r="FD104" s="111"/>
      <c r="FE104" s="111"/>
      <c r="FF104" s="111"/>
      <c r="FG104" s="111"/>
      <c r="FH104" s="111"/>
      <c r="FI104" s="111"/>
      <c r="FJ104" s="111"/>
      <c r="FK104" s="111"/>
      <c r="FL104" s="111"/>
      <c r="FM104" s="111"/>
      <c r="FN104" s="111"/>
      <c r="FO104" s="111"/>
      <c r="FP104" s="199"/>
      <c r="FQ104" s="153"/>
      <c r="FR104" s="124"/>
      <c r="FS104" s="154"/>
      <c r="FT104" s="98"/>
      <c r="FU104" s="98"/>
      <c r="FV104" s="523"/>
      <c r="FW104" s="129"/>
      <c r="FX104" s="154"/>
      <c r="FY104" s="232"/>
      <c r="FZ104" s="234"/>
      <c r="GA104" s="523"/>
      <c r="GB104" s="129"/>
      <c r="GC104" s="98"/>
      <c r="GD104" s="155"/>
      <c r="GE104" s="523"/>
      <c r="GF104" s="124"/>
      <c r="GG104" s="550"/>
      <c r="GH104" s="550"/>
      <c r="GI104" s="155"/>
      <c r="GJ104" s="98"/>
      <c r="GK104" s="129"/>
      <c r="GL104" s="523"/>
      <c r="GM104" s="66"/>
      <c r="GN104" s="129"/>
      <c r="GO104" s="148"/>
      <c r="GP104" s="590"/>
      <c r="GQ104" s="129"/>
      <c r="GR104" s="149"/>
      <c r="GS104" s="50"/>
      <c r="GT104" s="138"/>
      <c r="GU104" s="149"/>
      <c r="GV104" s="150"/>
      <c r="GW104" s="150"/>
      <c r="GX104" s="551"/>
      <c r="GY104" s="551"/>
      <c r="GZ104" s="98"/>
      <c r="HA104" s="551"/>
      <c r="HB104" s="98"/>
      <c r="HC104" s="99"/>
      <c r="HD104" s="551"/>
      <c r="HE104" s="551"/>
      <c r="HF104" s="129"/>
      <c r="HG104" s="77"/>
      <c r="HH104" s="491"/>
      <c r="HI104" s="491"/>
      <c r="HJ104" s="494"/>
      <c r="HK104" s="491"/>
      <c r="HL104" s="477"/>
      <c r="HM104" s="477">
        <f>DATE(YEAR(HL104),MONTH(HL104),DAY(HL104)+21)</f>
        <v>21</v>
      </c>
      <c r="HN104" s="477"/>
      <c r="HO104" s="497"/>
      <c r="HP104" s="477"/>
      <c r="HQ104" s="481"/>
      <c r="HR104" s="497"/>
      <c r="HS104" s="506"/>
      <c r="HT104" s="477"/>
      <c r="HU104" s="497"/>
      <c r="HV104" s="477"/>
      <c r="HW104" s="477"/>
      <c r="HX104" s="497"/>
      <c r="HY104" s="476"/>
      <c r="HZ104" s="481"/>
      <c r="IA104" s="497"/>
      <c r="IB104" s="506"/>
      <c r="IC104" s="490"/>
      <c r="ID104" s="491"/>
      <c r="IE104" s="477"/>
      <c r="IF104" s="477"/>
      <c r="IG104" s="494"/>
      <c r="IH104" s="491"/>
      <c r="II104" s="478"/>
      <c r="IJ104" s="497"/>
      <c r="IK104" s="478"/>
      <c r="IL104" s="478">
        <f ca="1">IF(IK104&lt;TODAY(),TODAY(),IK104)</f>
        <v>42789</v>
      </c>
      <c r="IM104" s="497"/>
      <c r="IN104" s="478"/>
      <c r="IO104" s="481"/>
      <c r="IP104" s="497"/>
      <c r="IQ104" s="506"/>
      <c r="IR104" s="490"/>
      <c r="IS104" s="491"/>
      <c r="IT104" s="478"/>
      <c r="IU104" s="498"/>
      <c r="IV104" s="478"/>
      <c r="IW104" s="206"/>
      <c r="IX104" s="498"/>
      <c r="IY104" s="478"/>
      <c r="IZ104" s="482"/>
      <c r="JA104" s="498"/>
      <c r="JB104" s="508"/>
      <c r="JC104" s="490"/>
      <c r="JD104" s="491"/>
      <c r="JE104" s="212"/>
      <c r="JF104" s="487"/>
      <c r="JG104" s="212"/>
      <c r="JH104" s="212">
        <f ca="1">TODAY()</f>
        <v>42789</v>
      </c>
      <c r="JI104" s="487"/>
      <c r="JJ104" s="212"/>
      <c r="JK104" s="212"/>
      <c r="JL104" s="487"/>
      <c r="JM104" s="509"/>
      <c r="JN104" s="212"/>
      <c r="JO104" s="501"/>
      <c r="JP104" s="498"/>
      <c r="JQ104" s="482"/>
      <c r="JR104" s="504"/>
      <c r="JS104" s="490"/>
      <c r="JT104" s="491"/>
      <c r="JU104" s="490"/>
      <c r="JV104" s="491"/>
      <c r="JW104" s="586"/>
      <c r="JX104" s="586"/>
      <c r="JY104" s="586"/>
      <c r="JZ104" s="586"/>
    </row>
    <row r="105" spans="1:286" ht="39.950000000000003" hidden="1" customHeight="1" x14ac:dyDescent="0.25">
      <c r="A105" s="146" t="s">
        <v>709</v>
      </c>
      <c r="B105" s="110" t="s">
        <v>46</v>
      </c>
      <c r="C105" s="110" t="s">
        <v>157</v>
      </c>
      <c r="D105" s="110">
        <v>2019</v>
      </c>
      <c r="E105" s="110"/>
      <c r="F105" s="110"/>
      <c r="G105" s="110"/>
      <c r="H105" s="110" t="s">
        <v>712</v>
      </c>
      <c r="I105" s="110"/>
      <c r="J105" s="110" t="s">
        <v>710</v>
      </c>
      <c r="K105" s="453"/>
      <c r="L105" s="309"/>
      <c r="M105" s="310"/>
      <c r="N105" s="311"/>
      <c r="O105" s="379"/>
      <c r="P105" s="379"/>
      <c r="Q105" s="379"/>
      <c r="R105" s="379"/>
      <c r="S105" s="379"/>
      <c r="T105" s="387"/>
      <c r="U105" s="387"/>
      <c r="V105" s="387"/>
      <c r="W105" s="379"/>
      <c r="X105" s="380"/>
      <c r="Y105" s="381" t="e">
        <f>AH105/O105</f>
        <v>#DIV/0!</v>
      </c>
      <c r="Z105" s="380"/>
      <c r="AA105" s="380"/>
      <c r="AB105" s="381"/>
      <c r="AC105" s="110" t="s">
        <v>26</v>
      </c>
      <c r="AD105" s="342">
        <f>(AE105+AF105)</f>
        <v>0</v>
      </c>
      <c r="AE105" s="121"/>
      <c r="AF105" s="110"/>
      <c r="AG105" s="114"/>
      <c r="AH105" s="152"/>
      <c r="AI105" s="114"/>
      <c r="AJ105" s="135"/>
      <c r="AK105" s="135"/>
      <c r="AL105" s="135"/>
      <c r="AM105" s="135"/>
      <c r="AN105" s="135"/>
      <c r="AO105" s="114"/>
      <c r="AP105" s="133"/>
      <c r="AQ105" s="135"/>
      <c r="AR105" s="114"/>
      <c r="AS105" s="110"/>
      <c r="AT105" s="110"/>
      <c r="AU105" s="110"/>
      <c r="AV105" s="110"/>
      <c r="AW105" s="110"/>
      <c r="AX105" s="110"/>
      <c r="AY105" s="110"/>
      <c r="AZ105" s="110"/>
      <c r="BA105" s="110"/>
      <c r="BB105" s="110"/>
      <c r="BC105" s="110"/>
      <c r="BD105" s="110"/>
      <c r="BE105" s="110"/>
      <c r="BF105" s="110"/>
      <c r="BG105" s="110"/>
      <c r="BH105" s="110"/>
      <c r="BI105" s="110"/>
      <c r="BJ105" s="110"/>
      <c r="BK105" s="110"/>
      <c r="BL105" s="110"/>
      <c r="BM105" s="110"/>
      <c r="BN105" s="196"/>
      <c r="BO105" s="196"/>
      <c r="BP105" s="196"/>
      <c r="BQ105" s="196"/>
      <c r="BR105" s="196"/>
      <c r="BS105" s="196"/>
      <c r="BT105" s="158"/>
      <c r="BU105" s="376"/>
      <c r="BV105" s="160"/>
      <c r="BW105" s="160"/>
      <c r="BX105" s="160"/>
      <c r="BY105" s="160"/>
      <c r="BZ105" s="376"/>
      <c r="CA105" s="160"/>
      <c r="CB105" s="302"/>
      <c r="CC105" s="374"/>
      <c r="CD105" s="302"/>
      <c r="CE105" s="302"/>
      <c r="CF105" s="161"/>
      <c r="CG105" s="336">
        <f>DATE(YEAR(CF105),MONTH(CF105)+24,DAY(CF105))</f>
        <v>731</v>
      </c>
      <c r="CH105" s="336">
        <f>DATE(YEAR(CF105),MONTH(CF105)+36,DAY(CF105))</f>
        <v>1096</v>
      </c>
      <c r="CI105" s="336"/>
      <c r="CJ105" s="302"/>
      <c r="CK105" s="308"/>
      <c r="CL105" s="161"/>
      <c r="CM105" s="371"/>
      <c r="CN105" s="161"/>
      <c r="CO105" s="161"/>
      <c r="CP105" s="162"/>
      <c r="CQ105" s="367"/>
      <c r="CR105" s="162"/>
      <c r="CS105" s="162"/>
      <c r="CT105" s="162"/>
      <c r="CU105" s="367"/>
      <c r="CV105" s="162"/>
      <c r="CW105" s="162"/>
      <c r="CX105" s="162"/>
      <c r="CY105" s="367"/>
      <c r="CZ105" s="162"/>
      <c r="DA105" s="162"/>
      <c r="DB105" s="299"/>
      <c r="DC105" s="299"/>
      <c r="DD105" s="299"/>
      <c r="DE105" s="312"/>
      <c r="DF105" s="312"/>
      <c r="DG105" s="312"/>
      <c r="DH105" s="312"/>
      <c r="DI105" s="312"/>
      <c r="DJ105" s="312"/>
      <c r="DK105" s="293"/>
      <c r="DL105" s="293"/>
      <c r="DM105" s="293"/>
      <c r="DN105" s="293"/>
      <c r="DO105" s="293"/>
      <c r="DP105" s="293"/>
      <c r="DQ105" s="443"/>
      <c r="DR105" s="443"/>
      <c r="DS105" s="443"/>
      <c r="DT105" s="298"/>
      <c r="DU105" s="443"/>
      <c r="DV105" s="443"/>
      <c r="DW105" s="443"/>
      <c r="DX105" s="423"/>
      <c r="DY105" s="423"/>
      <c r="DZ105" s="423"/>
      <c r="EA105" s="434"/>
      <c r="EB105" s="423"/>
      <c r="EC105" s="430"/>
      <c r="ED105" s="430"/>
      <c r="EE105" s="422"/>
      <c r="EF105" s="422"/>
      <c r="EG105" s="423"/>
      <c r="EH105" s="423"/>
      <c r="EI105" s="431"/>
      <c r="EJ105" s="431"/>
      <c r="EK105" s="423"/>
      <c r="EL105" s="423"/>
      <c r="EM105" s="423"/>
      <c r="EN105" s="210"/>
      <c r="EO105" s="210"/>
      <c r="EP105" s="423"/>
      <c r="EQ105" s="423"/>
      <c r="ER105" s="423"/>
      <c r="ES105" s="423"/>
      <c r="ET105" s="423"/>
      <c r="EU105" s="334"/>
      <c r="EV105" s="206"/>
      <c r="EW105" s="206"/>
      <c r="EX105" s="209"/>
      <c r="EY105" s="434"/>
      <c r="EZ105" s="212"/>
      <c r="FA105" s="212"/>
      <c r="FB105" s="212"/>
      <c r="FC105" s="212"/>
      <c r="FD105" s="110"/>
      <c r="FE105" s="110"/>
      <c r="FF105" s="110"/>
      <c r="FG105" s="110"/>
      <c r="FH105" s="110"/>
      <c r="FI105" s="110"/>
      <c r="FJ105" s="110"/>
      <c r="FK105" s="110"/>
      <c r="FL105" s="110"/>
      <c r="FM105" s="110"/>
      <c r="FN105" s="110"/>
      <c r="FO105" s="110"/>
      <c r="FP105" s="199"/>
      <c r="FQ105" s="153">
        <f>+GA105+GE105+GL105+HF105</f>
        <v>0</v>
      </c>
      <c r="FR105" s="124"/>
      <c r="FS105" s="154"/>
      <c r="FT105" s="98"/>
      <c r="FU105" s="98"/>
      <c r="FV105" s="153"/>
      <c r="FW105" s="124"/>
      <c r="FX105" s="154"/>
      <c r="FY105" s="232"/>
      <c r="FZ105" s="232"/>
      <c r="GA105" s="153"/>
      <c r="GB105" s="124"/>
      <c r="GC105" s="98"/>
      <c r="GD105" s="155"/>
      <c r="GE105" s="153"/>
      <c r="GF105" s="124"/>
      <c r="GG105" s="147"/>
      <c r="GH105" s="147"/>
      <c r="GI105" s="155"/>
      <c r="GJ105" s="98"/>
      <c r="GK105" s="124"/>
      <c r="GL105" s="153"/>
      <c r="GM105" s="24"/>
      <c r="GN105" s="124"/>
      <c r="GO105" s="148"/>
      <c r="GP105" s="590"/>
      <c r="GQ105" s="124"/>
      <c r="GR105" s="149"/>
      <c r="GS105" s="50" t="e">
        <f>GM105/AD105</f>
        <v>#DIV/0!</v>
      </c>
      <c r="GT105" s="138"/>
      <c r="GU105" s="149"/>
      <c r="GV105" s="150"/>
      <c r="GW105" s="150"/>
      <c r="GX105" s="151"/>
      <c r="GY105" s="151"/>
      <c r="GZ105" s="98" t="e">
        <f>(GA105+GL105+GY105)/AD105</f>
        <v>#DIV/0!</v>
      </c>
      <c r="HA105" s="151"/>
      <c r="HB105" s="98" t="e">
        <f>(GB105+GM105+GY105+HA105)/AD105</f>
        <v>#DIV/0!</v>
      </c>
      <c r="HC105" s="99" t="e">
        <f>(GA105+GL105+GY105+HA105)/(GX105+FQ105-HD105)</f>
        <v>#DIV/0!</v>
      </c>
      <c r="HD105" s="151"/>
      <c r="HE105" s="151"/>
      <c r="HF105" s="124"/>
      <c r="HG105" s="77">
        <f>FQ105+GX105</f>
        <v>0</v>
      </c>
      <c r="HH105" s="491"/>
      <c r="HI105" s="491"/>
      <c r="HJ105" s="494"/>
      <c r="HK105" s="505">
        <f>$HK$1*HH105</f>
        <v>0</v>
      </c>
      <c r="HL105" s="450">
        <f ca="1">TODAY()</f>
        <v>42789</v>
      </c>
      <c r="HM105" s="464">
        <f ca="1">DATE(YEAR(HL105),MONTH(HL105),DAY(HL105)+21)</f>
        <v>42810</v>
      </c>
      <c r="HN105" s="464">
        <f ca="1">IF(HM105&lt;TODAY(),TODAY(),HM105)</f>
        <v>42810</v>
      </c>
      <c r="HO105" s="497">
        <f ca="1">IF(AND(HM105&gt;0,HN105&gt;0),HN105-HM105,"0")</f>
        <v>0</v>
      </c>
      <c r="HP105" s="464">
        <f ca="1">DATE(YEAR(HL105),MONTH(HL105),DAY(HL105)+21)</f>
        <v>42810</v>
      </c>
      <c r="HQ105" s="481">
        <f ca="1">IF(AND(HN105&gt;0,HP105&gt;0),HP105-HN105,"0")</f>
        <v>0</v>
      </c>
      <c r="HR105" s="497">
        <f ca="1">+HQ105-30</f>
        <v>-30</v>
      </c>
      <c r="HS105" s="506">
        <f ca="1">IF(AND(HL105&gt;0,HP105&gt;0),HP105-HL105,"0")</f>
        <v>21</v>
      </c>
      <c r="HT105" s="450">
        <f ca="1">DATE(YEAR(HP105),MONTH(HP105),DAY(HP105)+30)</f>
        <v>42840</v>
      </c>
      <c r="HU105" s="497">
        <f ca="1">IF(AND(HP105&gt;0,HT105&gt;0),HT105-HP105,"0")</f>
        <v>30</v>
      </c>
      <c r="HV105" s="450">
        <f ca="1">DATE(YEAR(HT105),MONTH(HT105),DAY(HT105)+30)</f>
        <v>42870</v>
      </c>
      <c r="HW105" s="450">
        <f ca="1">IF(HV105&lt;TODAY(),TODAY(),HV105)</f>
        <v>42870</v>
      </c>
      <c r="HX105" s="497">
        <f ca="1">IF(AND(HV105&gt;0,HW105&gt;0),HW105-HV105,"0")</f>
        <v>0</v>
      </c>
      <c r="HY105" s="206">
        <f ca="1">DATE(YEAR(HV105),MONTH(HV105),DAY(HV105)+30)</f>
        <v>42900</v>
      </c>
      <c r="HZ105" s="481">
        <f ca="1">IF(AND(HW105&gt;0,HY105&gt;0),HY105-HW105,"0")</f>
        <v>30</v>
      </c>
      <c r="IA105" s="497">
        <f ca="1">+HZ105-30</f>
        <v>0</v>
      </c>
      <c r="IB105" s="506">
        <f ca="1">IF(AND(HT105&gt;0,HY105&gt;0),HY105-HT105,"0")</f>
        <v>60</v>
      </c>
      <c r="IC105" s="490"/>
      <c r="ID105" s="505">
        <f>$ID$1*HH105</f>
        <v>0</v>
      </c>
      <c r="IE105" s="450">
        <f ca="1">DATE(YEAR(HY105),MONTH(HY105),DAY(HY105)+15)</f>
        <v>42915</v>
      </c>
      <c r="IF105" s="450">
        <f ca="1">DATE(YEAR(IE105),MONTH(IE105),DAY(IE105)+7)</f>
        <v>42922</v>
      </c>
      <c r="IG105" s="494"/>
      <c r="IH105" s="505">
        <f>$IH$1*HH105</f>
        <v>0</v>
      </c>
      <c r="II105" s="206">
        <f ca="1">DATE(YEAR(IF105),MONTH(IF105),DAY(IF105)+21)</f>
        <v>42943</v>
      </c>
      <c r="IJ105" s="497">
        <f ca="1">IF(AND(HY105&gt;0,II105&gt;0),II105-HY105,"0")</f>
        <v>43</v>
      </c>
      <c r="IK105" s="206">
        <f ca="1">DATE(YEAR(II105),MONTH(II105),DAY(II105)+30)</f>
        <v>42973</v>
      </c>
      <c r="IL105" s="206">
        <f ca="1">IF(IK105&lt;TODAY(),TODAY(),IK105)</f>
        <v>42973</v>
      </c>
      <c r="IM105" s="497">
        <f ca="1">IF(AND(IK105&gt;0,IL105&gt;0),IL105-IK105,"0")</f>
        <v>0</v>
      </c>
      <c r="IN105" s="206">
        <f ca="1">DATE(YEAR(IK105),MONTH(IK105),DAY(IK105)+30)</f>
        <v>43003</v>
      </c>
      <c r="IO105" s="481">
        <f ca="1">IF(AND(IL105&gt;0,IN105&gt;0),IN105-IL105,"0")</f>
        <v>30</v>
      </c>
      <c r="IP105" s="497">
        <f ca="1">+IO105-30</f>
        <v>0</v>
      </c>
      <c r="IQ105" s="506">
        <f ca="1">IF(AND(II105&gt;0,IN105&gt;0),IN105-II105,"0")</f>
        <v>60</v>
      </c>
      <c r="IR105" s="490"/>
      <c r="IS105" s="491">
        <f>$IS$1*HH105</f>
        <v>0</v>
      </c>
      <c r="IT105" s="206">
        <f ca="1">IN105</f>
        <v>43003</v>
      </c>
      <c r="IU105" s="498">
        <f ca="1">IF(AND(IN105&gt;0,IT105&gt;0),IT105-IN105,"0")</f>
        <v>0</v>
      </c>
      <c r="IV105" s="206">
        <f ca="1">DATE(YEAR(IT105),MONTH(IT105),DAY(IT105)+30)</f>
        <v>43033</v>
      </c>
      <c r="IW105" s="206">
        <f ca="1">IF(IV105&lt;TODAY(),TODAY(),IV105)</f>
        <v>43033</v>
      </c>
      <c r="IX105" s="498">
        <f ca="1">IF(AND(IV105&gt;0,IW105&gt;0),IW105-IV105,"0")</f>
        <v>0</v>
      </c>
      <c r="IY105" s="206">
        <f ca="1">DATE(YEAR(IV105),MONTH(IV105),DAY(IV105)+30)</f>
        <v>43063</v>
      </c>
      <c r="IZ105" s="482">
        <f ca="1">IF(AND(IW105&gt;0,IY105&gt;0),IY105-IW105,"0")</f>
        <v>30</v>
      </c>
      <c r="JA105" s="498">
        <f ca="1">IZ105-30</f>
        <v>0</v>
      </c>
      <c r="JB105" s="508">
        <f ca="1">IF(AND(IT105&gt;0,IY105&gt;0),IY105-IT105,"0")</f>
        <v>60</v>
      </c>
      <c r="JC105" s="490"/>
      <c r="JD105" s="505">
        <f>$JD$1*$HH$65</f>
        <v>34029.599999999999</v>
      </c>
      <c r="JE105" s="502">
        <f ca="1">IY105</f>
        <v>43063</v>
      </c>
      <c r="JF105" s="487">
        <f ca="1">IF(AND(IY105&gt;0,JE105&gt;0),JE105-IY105,"0")</f>
        <v>0</v>
      </c>
      <c r="JG105" s="502">
        <f ca="1">DATE(YEAR(JE105),MONTH(JE105),DAY(JE105)+15)</f>
        <v>43078</v>
      </c>
      <c r="JH105" s="502">
        <f ca="1">IF(JG105&lt;TODAY(),TODAY(),JG105)</f>
        <v>43078</v>
      </c>
      <c r="JI105" s="487">
        <f ca="1">IF(AND(JG105&gt;0,JH105&gt;0),JH105-JG105,"0")</f>
        <v>0</v>
      </c>
      <c r="JJ105" s="502">
        <f ca="1">DATE(YEAR(JH105),MONTH(JH105),DAY(JH105)+45)</f>
        <v>43123</v>
      </c>
      <c r="JK105" s="502">
        <f ca="1">JJ105</f>
        <v>43123</v>
      </c>
      <c r="JL105" s="487">
        <f ca="1">IF(AND(JJ105&gt;0,JK105&gt;0),JK105-JJ105,"0")</f>
        <v>0</v>
      </c>
      <c r="JM105" s="509">
        <f ca="1">IF(AND(JE105&gt;0,JK105&gt;0),JK105-JE105,"0")</f>
        <v>60</v>
      </c>
      <c r="JN105" s="502">
        <f ca="1">DATE(YEAR(JK105),MONTH(JK105),DAY(JK105)+60)</f>
        <v>43183</v>
      </c>
      <c r="JO105" s="501">
        <f ca="1">IF(AND(JK105&gt;0,JN105&gt;0),JN105-JK105,"0")</f>
        <v>60</v>
      </c>
      <c r="JP105" s="498">
        <f ca="1">JO105-60</f>
        <v>0</v>
      </c>
      <c r="JQ105" s="482">
        <f>291/30</f>
        <v>9.6999999999999993</v>
      </c>
      <c r="JR105" s="504">
        <f ca="1">((+HS105+HU105+IB105+IJ105+IQ105+IU105+JB105+JM105+JF105)/30)-JQ105</f>
        <v>1.4333333333333336</v>
      </c>
      <c r="JS105" s="490"/>
      <c r="JT105" s="505"/>
      <c r="JU105" s="490"/>
      <c r="JV105" s="505"/>
      <c r="JW105" s="586"/>
      <c r="JX105" s="586"/>
      <c r="JY105" s="586"/>
      <c r="JZ105" s="586"/>
    </row>
    <row r="106" spans="1:286" ht="39.950000000000003" hidden="1" customHeight="1" x14ac:dyDescent="0.25">
      <c r="A106" s="552" t="s">
        <v>853</v>
      </c>
      <c r="B106" s="110" t="s">
        <v>59</v>
      </c>
      <c r="C106" s="110" t="s">
        <v>157</v>
      </c>
      <c r="D106" s="110">
        <v>2019</v>
      </c>
      <c r="E106" s="110"/>
      <c r="F106" s="110" t="s">
        <v>834</v>
      </c>
      <c r="G106" s="110"/>
      <c r="H106" s="110"/>
      <c r="I106" s="110"/>
      <c r="J106" s="110" t="s">
        <v>872</v>
      </c>
      <c r="K106" s="453" t="s">
        <v>922</v>
      </c>
      <c r="L106" s="309" t="s">
        <v>59</v>
      </c>
      <c r="M106" s="310" t="s">
        <v>923</v>
      </c>
      <c r="N106" s="311">
        <v>39798</v>
      </c>
      <c r="O106" s="379"/>
      <c r="P106" s="379"/>
      <c r="Q106" s="379"/>
      <c r="R106" s="379"/>
      <c r="S106" s="379"/>
      <c r="T106" s="387"/>
      <c r="U106" s="387"/>
      <c r="V106" s="387"/>
      <c r="W106" s="379"/>
      <c r="X106" s="380"/>
      <c r="Y106" s="381"/>
      <c r="Z106" s="380"/>
      <c r="AA106" s="380"/>
      <c r="AB106" s="381"/>
      <c r="AC106" s="110" t="s">
        <v>833</v>
      </c>
      <c r="AD106" s="342">
        <v>16</v>
      </c>
      <c r="AE106" s="121"/>
      <c r="AF106" s="110"/>
      <c r="AG106" s="114"/>
      <c r="AH106" s="152"/>
      <c r="AI106" s="114"/>
      <c r="AJ106" s="135"/>
      <c r="AK106" s="135"/>
      <c r="AL106" s="135"/>
      <c r="AM106" s="135"/>
      <c r="AN106" s="135"/>
      <c r="AO106" s="114"/>
      <c r="AP106" s="133"/>
      <c r="AQ106" s="135"/>
      <c r="AR106" s="114"/>
      <c r="AS106" s="110"/>
      <c r="AT106" s="110"/>
      <c r="AU106" s="110"/>
      <c r="AV106" s="110"/>
      <c r="AW106" s="415"/>
      <c r="AX106" s="110"/>
      <c r="AY106" s="110"/>
      <c r="AZ106" s="464"/>
      <c r="BA106" s="110"/>
      <c r="BB106" s="540"/>
      <c r="BC106" s="540"/>
      <c r="BD106" s="110"/>
      <c r="BE106" s="110"/>
      <c r="BF106" s="110"/>
      <c r="BG106" s="110"/>
      <c r="BH106" s="110"/>
      <c r="BI106" s="110"/>
      <c r="BJ106" s="110"/>
      <c r="BK106" s="110"/>
      <c r="BL106" s="110"/>
      <c r="BM106" s="110"/>
      <c r="BN106" s="196"/>
      <c r="BO106" s="196"/>
      <c r="BP106" s="196"/>
      <c r="BQ106" s="196"/>
      <c r="BR106" s="196"/>
      <c r="BS106" s="196"/>
      <c r="BT106" s="158"/>
      <c r="BU106" s="376"/>
      <c r="BV106" s="160"/>
      <c r="BW106" s="160"/>
      <c r="BX106" s="160"/>
      <c r="BY106" s="160"/>
      <c r="BZ106" s="376"/>
      <c r="CA106" s="160"/>
      <c r="CB106" s="302"/>
      <c r="CC106" s="374"/>
      <c r="CD106" s="302"/>
      <c r="CE106" s="302"/>
      <c r="CF106" s="161"/>
      <c r="CG106" s="336">
        <f>DATE(YEAR(CF106),MONTH(CF106)+24,DAY(CF106))</f>
        <v>731</v>
      </c>
      <c r="CH106" s="336">
        <f>DATE(YEAR(CF106),MONTH(CF106)+36,DAY(CF106))</f>
        <v>1096</v>
      </c>
      <c r="CI106" s="336"/>
      <c r="CJ106" s="302"/>
      <c r="CK106" s="308"/>
      <c r="CL106" s="161"/>
      <c r="CM106" s="371"/>
      <c r="CN106" s="161"/>
      <c r="CO106" s="161"/>
      <c r="CP106" s="162"/>
      <c r="CQ106" s="367"/>
      <c r="CR106" s="162"/>
      <c r="CS106" s="162"/>
      <c r="CT106" s="162"/>
      <c r="CU106" s="367"/>
      <c r="CV106" s="162"/>
      <c r="CW106" s="162"/>
      <c r="CX106" s="162"/>
      <c r="CY106" s="367"/>
      <c r="CZ106" s="162"/>
      <c r="DA106" s="162"/>
      <c r="DB106" s="299"/>
      <c r="DC106" s="299"/>
      <c r="DD106" s="299"/>
      <c r="DE106" s="312"/>
      <c r="DF106" s="312"/>
      <c r="DG106" s="312"/>
      <c r="DH106" s="312"/>
      <c r="DI106" s="312"/>
      <c r="DJ106" s="312"/>
      <c r="DK106" s="293"/>
      <c r="DL106" s="293"/>
      <c r="DM106" s="293"/>
      <c r="DN106" s="293"/>
      <c r="DO106" s="293"/>
      <c r="DP106" s="293"/>
      <c r="DQ106" s="443"/>
      <c r="DR106" s="443"/>
      <c r="DS106" s="443"/>
      <c r="DT106" s="298"/>
      <c r="DU106" s="443"/>
      <c r="DV106" s="443"/>
      <c r="DW106" s="443"/>
      <c r="DX106" s="423"/>
      <c r="DY106" s="423"/>
      <c r="DZ106" s="423"/>
      <c r="EA106" s="434"/>
      <c r="EB106" s="423"/>
      <c r="EC106" s="430"/>
      <c r="ED106" s="430"/>
      <c r="EE106" s="422"/>
      <c r="EF106" s="422"/>
      <c r="EG106" s="423"/>
      <c r="EH106" s="423"/>
      <c r="EI106" s="431"/>
      <c r="EJ106" s="431"/>
      <c r="EK106" s="423"/>
      <c r="EL106" s="423"/>
      <c r="EM106" s="423"/>
      <c r="EN106" s="210"/>
      <c r="EO106" s="210"/>
      <c r="EP106" s="423"/>
      <c r="EQ106" s="423"/>
      <c r="ER106" s="423"/>
      <c r="ES106" s="423"/>
      <c r="ET106" s="423"/>
      <c r="EU106" s="334"/>
      <c r="EV106" s="206"/>
      <c r="EW106" s="206"/>
      <c r="EX106" s="209"/>
      <c r="EY106" s="434"/>
      <c r="EZ106" s="212"/>
      <c r="FA106" s="212"/>
      <c r="FB106" s="212"/>
      <c r="FC106" s="212"/>
      <c r="FD106" s="110"/>
      <c r="FE106" s="110"/>
      <c r="FF106" s="110"/>
      <c r="FG106" s="110"/>
      <c r="FH106" s="110"/>
      <c r="FI106" s="110"/>
      <c r="FJ106" s="110"/>
      <c r="FK106" s="110"/>
      <c r="FL106" s="110"/>
      <c r="FM106" s="110"/>
      <c r="FN106" s="110"/>
      <c r="FO106" s="110"/>
      <c r="FP106" s="199"/>
      <c r="FQ106" s="153"/>
      <c r="FR106" s="124"/>
      <c r="FS106" s="154"/>
      <c r="FT106" s="98"/>
      <c r="FU106" s="98"/>
      <c r="FV106" s="153"/>
      <c r="FW106" s="124"/>
      <c r="FX106" s="154"/>
      <c r="FY106" s="232"/>
      <c r="FZ106" s="232"/>
      <c r="GA106" s="153"/>
      <c r="GB106" s="124"/>
      <c r="GC106" s="98"/>
      <c r="GD106" s="155"/>
      <c r="GE106" s="153"/>
      <c r="GF106" s="124"/>
      <c r="GG106" s="147"/>
      <c r="GH106" s="147"/>
      <c r="GI106" s="155"/>
      <c r="GJ106" s="98"/>
      <c r="GK106" s="124"/>
      <c r="GL106" s="153"/>
      <c r="GM106" s="124"/>
      <c r="GN106" s="124"/>
      <c r="GO106" s="148"/>
      <c r="GP106" s="590"/>
      <c r="GQ106" s="124"/>
      <c r="GR106" s="149"/>
      <c r="GS106" s="98"/>
      <c r="GT106" s="138"/>
      <c r="GU106" s="149"/>
      <c r="GV106" s="150"/>
      <c r="GW106" s="150"/>
      <c r="GX106" s="151"/>
      <c r="GY106" s="151"/>
      <c r="GZ106" s="98">
        <f>(GA106+GL106+GY106)/AD106</f>
        <v>0</v>
      </c>
      <c r="HA106" s="151"/>
      <c r="HB106" s="98">
        <f>(GB106+GM106+GY106+HA106)/AD106</f>
        <v>0</v>
      </c>
      <c r="HC106" s="99" t="e">
        <f>(GA106+GL106+GY106+HA106)/(GX106+FQ106-HD106)</f>
        <v>#DIV/0!</v>
      </c>
      <c r="HD106" s="151"/>
      <c r="HE106" s="151"/>
      <c r="HF106" s="124"/>
      <c r="HG106" s="156">
        <f>FQ106+GX106</f>
        <v>0</v>
      </c>
      <c r="HH106" s="491"/>
      <c r="HI106" s="491"/>
      <c r="HJ106" s="494"/>
      <c r="HK106" s="505">
        <f>$HK$1*HH106</f>
        <v>0</v>
      </c>
      <c r="HL106" s="450">
        <f ca="1">TODAY()</f>
        <v>42789</v>
      </c>
      <c r="HM106" s="464">
        <f ca="1">DATE(YEAR(HL106),MONTH(HL106),DAY(HL106)+21)</f>
        <v>42810</v>
      </c>
      <c r="HN106" s="464">
        <f ca="1">IF(HM106&lt;TODAY(),TODAY(),HM106)</f>
        <v>42810</v>
      </c>
      <c r="HO106" s="497">
        <f ca="1">IF(AND(HM106&gt;0,HN106&gt;0),HN106-HM106,"0")</f>
        <v>0</v>
      </c>
      <c r="HP106" s="464">
        <f ca="1">DATE(YEAR(HL106),MONTH(HL106),DAY(HL106)+21)</f>
        <v>42810</v>
      </c>
      <c r="HQ106" s="481">
        <f ca="1">IF(AND(HN106&gt;0,HP106&gt;0),HP106-HN106,"0")</f>
        <v>0</v>
      </c>
      <c r="HR106" s="497">
        <f ca="1">+HQ106-30</f>
        <v>-30</v>
      </c>
      <c r="HS106" s="506">
        <f ca="1">IF(AND(HL106&gt;0,HP106&gt;0),HP106-HL106,"0")</f>
        <v>21</v>
      </c>
      <c r="HT106" s="450">
        <f ca="1">DATE(YEAR(HP106),MONTH(HP106),DAY(HP106)+30)</f>
        <v>42840</v>
      </c>
      <c r="HU106" s="497">
        <f ca="1">IF(AND(HP106&gt;0,HT106&gt;0),HT106-HP106,"0")</f>
        <v>30</v>
      </c>
      <c r="HV106" s="450">
        <f ca="1">DATE(YEAR(HT106),MONTH(HT106),DAY(HT106)+30)</f>
        <v>42870</v>
      </c>
      <c r="HW106" s="450">
        <f ca="1">IF(HV106&lt;TODAY(),TODAY(),HV106)</f>
        <v>42870</v>
      </c>
      <c r="HX106" s="497">
        <f ca="1">IF(AND(HV106&gt;0,HW106&gt;0),HW106-HV106,"0")</f>
        <v>0</v>
      </c>
      <c r="HY106" s="206">
        <f ca="1">DATE(YEAR(HV106),MONTH(HV106),DAY(HV106)+30)</f>
        <v>42900</v>
      </c>
      <c r="HZ106" s="481">
        <f ca="1">IF(AND(HW106&gt;0,HY106&gt;0),HY106-HW106,"0")</f>
        <v>30</v>
      </c>
      <c r="IA106" s="497">
        <f ca="1">+HZ106-30</f>
        <v>0</v>
      </c>
      <c r="IB106" s="506">
        <f ca="1">IF(AND(HT106&gt;0,HY106&gt;0),HY106-HT106,"0")</f>
        <v>60</v>
      </c>
      <c r="IC106" s="490"/>
      <c r="ID106" s="505">
        <f>$ID$1*HH106</f>
        <v>0</v>
      </c>
      <c r="IE106" s="450">
        <f ca="1">DATE(YEAR(HY106),MONTH(HY106),DAY(HY106)+15)</f>
        <v>42915</v>
      </c>
      <c r="IF106" s="450">
        <f ca="1">DATE(YEAR(IE106),MONTH(IE106),DAY(IE106)+7)</f>
        <v>42922</v>
      </c>
      <c r="IG106" s="494"/>
      <c r="IH106" s="505">
        <f>$IH$1*HH106</f>
        <v>0</v>
      </c>
      <c r="II106" s="206">
        <f ca="1">DATE(YEAR(IF106),MONTH(IF106),DAY(IF106)+21)</f>
        <v>42943</v>
      </c>
      <c r="IJ106" s="497">
        <f ca="1">IF(AND(HY106&gt;0,II106&gt;0),II106-HY106,"0")</f>
        <v>43</v>
      </c>
      <c r="IK106" s="206">
        <f ca="1">DATE(YEAR(II106),MONTH(II106),DAY(II106)+30)</f>
        <v>42973</v>
      </c>
      <c r="IL106" s="206">
        <f ca="1">IF(IK106&lt;TODAY(),TODAY(),IK106)</f>
        <v>42973</v>
      </c>
      <c r="IM106" s="497"/>
      <c r="IN106" s="206"/>
      <c r="IO106" s="481"/>
      <c r="IP106" s="497"/>
      <c r="IQ106" s="506"/>
      <c r="IR106" s="490"/>
      <c r="IS106" s="491"/>
      <c r="IT106" s="206">
        <f>IN106</f>
        <v>0</v>
      </c>
      <c r="IU106" s="498" t="str">
        <f>IF(AND(IN106&gt;0,IT106&gt;0),IT106-IN106,"0")</f>
        <v>0</v>
      </c>
      <c r="IV106" s="206">
        <f>DATE(YEAR(IT106),MONTH(IT106),DAY(IT106)+30)</f>
        <v>30</v>
      </c>
      <c r="IW106" s="206">
        <f ca="1">IF(IV106&lt;TODAY(),TODAY(),IV106)</f>
        <v>42789</v>
      </c>
      <c r="IX106" s="498">
        <f ca="1">IF(AND(IV106&gt;0,IW106&gt;0),IW106-IV106,"0")</f>
        <v>42759</v>
      </c>
      <c r="IY106" s="206">
        <f>DATE(YEAR(IV106),MONTH(IV106),DAY(IV106)+30)</f>
        <v>60</v>
      </c>
      <c r="IZ106" s="482">
        <f ca="1">IF(AND(IW106&gt;0,IY106&gt;0),IY106-IW106,"0")</f>
        <v>-42729</v>
      </c>
      <c r="JA106" s="498">
        <f ca="1">IZ106-30</f>
        <v>-42759</v>
      </c>
      <c r="JB106" s="508" t="str">
        <f>IF(AND(IT106&gt;0,IY106&gt;0),IY106-IT106,"0")</f>
        <v>0</v>
      </c>
      <c r="JC106" s="490"/>
      <c r="JD106" s="505"/>
      <c r="JE106" s="502">
        <f>IY106</f>
        <v>60</v>
      </c>
      <c r="JF106" s="487">
        <f>IF(AND(IY106&gt;0,JE106&gt;0),JE106-IY106,"0")</f>
        <v>0</v>
      </c>
      <c r="JG106" s="502">
        <f>DATE(YEAR(JE106),MONTH(JE106),DAY(JE106)+15)</f>
        <v>75</v>
      </c>
      <c r="JH106" s="502">
        <f ca="1">IF(JG106&lt;TODAY(),TODAY(),JG106)</f>
        <v>42789</v>
      </c>
      <c r="JI106" s="487">
        <f ca="1">IF(AND(JG106&gt;0,JH106&gt;0),JH106-JG106,"0")</f>
        <v>42714</v>
      </c>
      <c r="JJ106" s="502">
        <f ca="1">DATE(YEAR(JH106),MONTH(JH106),DAY(JH106)+45)</f>
        <v>42834</v>
      </c>
      <c r="JK106" s="502">
        <f ca="1">JJ106</f>
        <v>42834</v>
      </c>
      <c r="JL106" s="487">
        <f ca="1">IF(AND(JJ106&gt;0,JK106&gt;0),JK106-JJ106,"0")</f>
        <v>0</v>
      </c>
      <c r="JM106" s="509">
        <f ca="1">IF(AND(JE106&gt;0,JK106&gt;0),JK106-JE106,"0")</f>
        <v>42774</v>
      </c>
      <c r="JN106" s="502">
        <f ca="1">DATE(YEAR(JK106),MONTH(JK106),DAY(JK106)+60)</f>
        <v>42894</v>
      </c>
      <c r="JO106" s="501">
        <f ca="1">IF(AND(JK106&gt;0,JN106&gt;0),JN106-JK106,"0")</f>
        <v>60</v>
      </c>
      <c r="JP106" s="498">
        <f ca="1">JO106-60</f>
        <v>0</v>
      </c>
      <c r="JQ106" s="482">
        <f>291/30</f>
        <v>9.6999999999999993</v>
      </c>
      <c r="JR106" s="504">
        <f ca="1">((+HS106+HU106+IB106+IJ106+IQ106+IU106+JB106+JM106+JF106)/30)-JQ106</f>
        <v>1421.2333333333333</v>
      </c>
      <c r="JS106" s="490"/>
      <c r="JT106" s="491"/>
      <c r="JU106" s="490"/>
      <c r="JV106" s="491"/>
      <c r="JW106" s="586"/>
      <c r="JX106" s="586"/>
      <c r="JY106" s="586"/>
      <c r="JZ106" s="586"/>
    </row>
    <row r="107" spans="1:286" ht="39.950000000000003" hidden="1" customHeight="1" x14ac:dyDescent="0.25">
      <c r="A107" s="159" t="s">
        <v>826</v>
      </c>
      <c r="B107" s="110" t="s">
        <v>46</v>
      </c>
      <c r="C107" s="110" t="s">
        <v>157</v>
      </c>
      <c r="D107" s="110">
        <v>2019</v>
      </c>
      <c r="E107" s="110"/>
      <c r="F107" s="110"/>
      <c r="G107" s="110"/>
      <c r="H107" s="110" t="s">
        <v>366</v>
      </c>
      <c r="I107" s="110"/>
      <c r="J107" s="110"/>
      <c r="K107" s="453"/>
      <c r="L107" s="309"/>
      <c r="M107" s="310"/>
      <c r="N107" s="311"/>
      <c r="O107" s="387"/>
      <c r="P107" s="387"/>
      <c r="Q107" s="387"/>
      <c r="R107" s="379"/>
      <c r="S107" s="387"/>
      <c r="T107" s="387"/>
      <c r="U107" s="387"/>
      <c r="V107" s="387"/>
      <c r="W107" s="379"/>
      <c r="X107" s="391"/>
      <c r="Y107" s="392"/>
      <c r="Z107" s="391"/>
      <c r="AA107" s="380"/>
      <c r="AB107" s="381"/>
      <c r="AC107" s="110" t="s">
        <v>26</v>
      </c>
      <c r="AD107" s="342">
        <f>(AE107+AF107)</f>
        <v>37</v>
      </c>
      <c r="AE107" s="121"/>
      <c r="AF107" s="110">
        <v>37</v>
      </c>
      <c r="AG107" s="114"/>
      <c r="AH107" s="163"/>
      <c r="AI107" s="114"/>
      <c r="AJ107" s="116"/>
      <c r="AK107" s="116"/>
      <c r="AL107" s="116"/>
      <c r="AM107" s="116"/>
      <c r="AN107" s="116"/>
      <c r="AO107" s="114"/>
      <c r="AP107" s="133"/>
      <c r="AQ107" s="135"/>
      <c r="AR107" s="114"/>
      <c r="AS107" s="110"/>
      <c r="AT107" s="110"/>
      <c r="AU107" s="110"/>
      <c r="AV107" s="110"/>
      <c r="AW107" s="332"/>
      <c r="AX107" s="338"/>
      <c r="AY107" s="110"/>
      <c r="AZ107" s="110"/>
      <c r="BA107" s="540"/>
      <c r="BB107" s="540"/>
      <c r="BC107" s="540"/>
      <c r="BD107" s="540"/>
      <c r="BE107" s="110"/>
      <c r="BF107" s="110"/>
      <c r="BG107" s="110"/>
      <c r="BH107" s="110"/>
      <c r="BI107" s="110"/>
      <c r="BJ107" s="110"/>
      <c r="BK107" s="110"/>
      <c r="BL107" s="110"/>
      <c r="BM107" s="110"/>
      <c r="BN107" s="196"/>
      <c r="BO107" s="196"/>
      <c r="BP107" s="196"/>
      <c r="BQ107" s="196"/>
      <c r="BR107" s="196"/>
      <c r="BS107" s="196"/>
      <c r="BT107" s="461"/>
      <c r="BU107" s="376"/>
      <c r="BV107" s="160"/>
      <c r="BW107" s="160"/>
      <c r="BX107" s="160"/>
      <c r="BY107" s="160"/>
      <c r="BZ107" s="376"/>
      <c r="CA107" s="160"/>
      <c r="CB107" s="302"/>
      <c r="CC107" s="374"/>
      <c r="CD107" s="302"/>
      <c r="CE107" s="302"/>
      <c r="CF107" s="161"/>
      <c r="CG107" s="336">
        <f>DATE(YEAR(CF107),MONTH(CF107)+24,DAY(CF107))</f>
        <v>731</v>
      </c>
      <c r="CH107" s="336">
        <f>DATE(YEAR(CF107),MONTH(CF107)+36,DAY(CF107))</f>
        <v>1096</v>
      </c>
      <c r="CI107" s="336"/>
      <c r="CJ107" s="302"/>
      <c r="CK107" s="197"/>
      <c r="CL107" s="161"/>
      <c r="CM107" s="371"/>
      <c r="CN107" s="336"/>
      <c r="CO107" s="161"/>
      <c r="CP107" s="162"/>
      <c r="CQ107" s="367"/>
      <c r="CR107" s="162"/>
      <c r="CS107" s="162"/>
      <c r="CT107" s="162"/>
      <c r="CU107" s="367"/>
      <c r="CV107" s="162"/>
      <c r="CW107" s="162"/>
      <c r="CX107" s="161"/>
      <c r="CY107" s="367"/>
      <c r="CZ107" s="162"/>
      <c r="DA107" s="162"/>
      <c r="DB107" s="299"/>
      <c r="DC107" s="313"/>
      <c r="DD107" s="299"/>
      <c r="DE107" s="299"/>
      <c r="DF107" s="299"/>
      <c r="DG107" s="299"/>
      <c r="DH107" s="299"/>
      <c r="DI107" s="299"/>
      <c r="DJ107" s="299"/>
      <c r="DK107" s="293"/>
      <c r="DL107" s="293"/>
      <c r="DM107" s="293"/>
      <c r="DN107" s="293"/>
      <c r="DO107" s="293"/>
      <c r="DP107" s="293"/>
      <c r="DQ107" s="443"/>
      <c r="DR107" s="443"/>
      <c r="DS107" s="443"/>
      <c r="DT107" s="298"/>
      <c r="DU107" s="443"/>
      <c r="DV107" s="443"/>
      <c r="DW107" s="443"/>
      <c r="DX107" s="110"/>
      <c r="DY107" s="110"/>
      <c r="DZ107" s="110"/>
      <c r="EA107" s="413"/>
      <c r="EB107" s="228"/>
      <c r="EC107" s="428"/>
      <c r="ED107" s="428"/>
      <c r="EE107" s="422"/>
      <c r="EF107" s="422"/>
      <c r="EG107" s="422"/>
      <c r="EH107" s="422"/>
      <c r="EI107" s="411"/>
      <c r="EJ107" s="411"/>
      <c r="EK107" s="224"/>
      <c r="EL107" s="223"/>
      <c r="EM107" s="223"/>
      <c r="EN107" s="210"/>
      <c r="EO107" s="210"/>
      <c r="EP107" s="223"/>
      <c r="EQ107" s="340"/>
      <c r="ER107" s="340"/>
      <c r="ES107" s="226"/>
      <c r="ET107" s="226"/>
      <c r="EU107" s="210"/>
      <c r="EV107" s="206"/>
      <c r="EW107" s="484"/>
      <c r="EX107" s="207"/>
      <c r="EY107" s="212"/>
      <c r="EZ107" s="212"/>
      <c r="FA107" s="212"/>
      <c r="FB107" s="212"/>
      <c r="FC107" s="212"/>
      <c r="FD107" s="110"/>
      <c r="FE107" s="110"/>
      <c r="FF107" s="110"/>
      <c r="FG107" s="110"/>
      <c r="FH107" s="110"/>
      <c r="FI107" s="110"/>
      <c r="FJ107" s="110"/>
      <c r="FK107" s="110"/>
      <c r="FL107" s="110"/>
      <c r="FM107" s="110"/>
      <c r="FN107" s="110"/>
      <c r="FO107" s="110"/>
      <c r="FP107" s="199"/>
      <c r="FQ107" s="153"/>
      <c r="FR107" s="124"/>
      <c r="FS107" s="154"/>
      <c r="FT107" s="98"/>
      <c r="FU107" s="98"/>
      <c r="FV107" s="153"/>
      <c r="FW107" s="124"/>
      <c r="FX107" s="154"/>
      <c r="FY107" s="232"/>
      <c r="FZ107" s="232"/>
      <c r="GA107" s="153"/>
      <c r="GB107" s="124"/>
      <c r="GC107" s="98"/>
      <c r="GD107" s="155"/>
      <c r="GE107" s="153"/>
      <c r="GF107" s="124"/>
      <c r="GG107" s="147"/>
      <c r="GH107" s="147"/>
      <c r="GI107" s="155"/>
      <c r="GJ107" s="98"/>
      <c r="GK107" s="124"/>
      <c r="GL107" s="153"/>
      <c r="GM107" s="124"/>
      <c r="GN107" s="124"/>
      <c r="GO107" s="148"/>
      <c r="GP107" s="590"/>
      <c r="GQ107" s="124"/>
      <c r="GR107" s="149"/>
      <c r="GS107" s="138"/>
      <c r="GT107" s="138"/>
      <c r="GU107" s="149"/>
      <c r="GV107" s="462"/>
      <c r="GW107" s="462"/>
      <c r="GX107" s="151"/>
      <c r="GY107" s="151"/>
      <c r="GZ107" s="98">
        <f>(GA107+GL107+GY107)/AD107</f>
        <v>0</v>
      </c>
      <c r="HA107" s="151"/>
      <c r="HB107" s="98">
        <f>(GB107+GM107+GY107+HA107)/AD107</f>
        <v>0</v>
      </c>
      <c r="HC107" s="99" t="e">
        <f>(GA107+GL107+GY107+HA107)/(GX107+FQ107-HD107)</f>
        <v>#DIV/0!</v>
      </c>
      <c r="HD107" s="151"/>
      <c r="HE107" s="151"/>
      <c r="HF107" s="124"/>
      <c r="HG107" s="156">
        <f>FQ107+GX107</f>
        <v>0</v>
      </c>
      <c r="HH107" s="491"/>
      <c r="HI107" s="491"/>
      <c r="HJ107" s="494"/>
      <c r="HK107" s="505">
        <f>$HK$1*HH107</f>
        <v>0</v>
      </c>
      <c r="HL107" s="450">
        <f ca="1">TODAY()</f>
        <v>42789</v>
      </c>
      <c r="HM107" s="464">
        <f ca="1">DATE(YEAR(HL107),MONTH(HL107),DAY(HL107)+21)</f>
        <v>42810</v>
      </c>
      <c r="HN107" s="464">
        <f ca="1">IF(HM107&lt;TODAY(),TODAY(),HM107)</f>
        <v>42810</v>
      </c>
      <c r="HO107" s="497">
        <f ca="1">IF(AND(HM107&gt;0,HN107&gt;0),HN107-HM107,"0")</f>
        <v>0</v>
      </c>
      <c r="HP107" s="464">
        <f ca="1">DATE(YEAR(HL107),MONTH(HL107),DAY(HL107)+21)</f>
        <v>42810</v>
      </c>
      <c r="HQ107" s="481">
        <f ca="1">IF(AND(HN107&gt;0,HP107&gt;0),HP107-HN107,"0")</f>
        <v>0</v>
      </c>
      <c r="HR107" s="497">
        <f ca="1">+HQ107-30</f>
        <v>-30</v>
      </c>
      <c r="HS107" s="506">
        <f ca="1">IF(AND(HL107&gt;0,HP107&gt;0),HP107-HL107,"0")</f>
        <v>21</v>
      </c>
      <c r="HT107" s="450">
        <f ca="1">DATE(YEAR(HP107),MONTH(HP107),DAY(HP107)+30)</f>
        <v>42840</v>
      </c>
      <c r="HU107" s="497">
        <f ca="1">IF(AND(HP107&gt;0,HT107&gt;0),HT107-HP107,"0")</f>
        <v>30</v>
      </c>
      <c r="HV107" s="450">
        <f ca="1">DATE(YEAR(HT107),MONTH(HT107),DAY(HT107)+30)</f>
        <v>42870</v>
      </c>
      <c r="HW107" s="450">
        <f ca="1">IF(HV107&lt;TODAY(),TODAY(),HV107)</f>
        <v>42870</v>
      </c>
      <c r="HX107" s="497">
        <f ca="1">IF(AND(HV107&gt;0,HW107&gt;0),HW107-HV107,"0")</f>
        <v>0</v>
      </c>
      <c r="HY107" s="206">
        <f ca="1">DATE(YEAR(HV107),MONTH(HV107),DAY(HV107)+30)</f>
        <v>42900</v>
      </c>
      <c r="HZ107" s="481">
        <f ca="1">IF(AND(HW107&gt;0,HY107&gt;0),HY107-HW107,"0")</f>
        <v>30</v>
      </c>
      <c r="IA107" s="497">
        <f ca="1">+HZ107-30</f>
        <v>0</v>
      </c>
      <c r="IB107" s="506">
        <f ca="1">IF(AND(HT107&gt;0,HY107&gt;0),HY107-HT107,"0")</f>
        <v>60</v>
      </c>
      <c r="IC107" s="490"/>
      <c r="ID107" s="505">
        <f>$ID$1*HH107</f>
        <v>0</v>
      </c>
      <c r="IE107" s="450">
        <f ca="1">DATE(YEAR(HY107),MONTH(HY107),DAY(HY107)+15)</f>
        <v>42915</v>
      </c>
      <c r="IF107" s="450">
        <f ca="1">DATE(YEAR(IE107),MONTH(IE107),DAY(IE107)+7)</f>
        <v>42922</v>
      </c>
      <c r="IG107" s="494"/>
      <c r="IH107" s="505">
        <f>$IH$1*HH107</f>
        <v>0</v>
      </c>
      <c r="II107" s="206">
        <f ca="1">DATE(YEAR(IF107),MONTH(IF107),DAY(IF107)+21)</f>
        <v>42943</v>
      </c>
      <c r="IJ107" s="497">
        <f ca="1">IF(AND(HY107&gt;0,II107&gt;0),II107-HY107,"0")</f>
        <v>43</v>
      </c>
      <c r="IK107" s="206">
        <f ca="1">DATE(YEAR(II107),MONTH(II107),DAY(II107)+30)</f>
        <v>42973</v>
      </c>
      <c r="IL107" s="212">
        <f ca="1">IF(IK107&lt;TODAY(),TODAY(),IK107)</f>
        <v>42973</v>
      </c>
      <c r="IM107" s="497"/>
      <c r="IN107" s="212"/>
      <c r="IO107" s="481"/>
      <c r="IP107" s="497"/>
      <c r="IQ107" s="506"/>
      <c r="IR107" s="490"/>
      <c r="IS107" s="491"/>
      <c r="IT107" s="206">
        <f>IN107</f>
        <v>0</v>
      </c>
      <c r="IU107" s="498" t="str">
        <f>IF(AND(IN107&gt;0,IT107&gt;0),IT107-IN107,"0")</f>
        <v>0</v>
      </c>
      <c r="IV107" s="206">
        <f>DATE(YEAR(IT107),MONTH(IT107),DAY(IT107)+30)</f>
        <v>30</v>
      </c>
      <c r="IW107" s="206">
        <f ca="1">IF(IV107&lt;TODAY(),TODAY(),IV107)</f>
        <v>42789</v>
      </c>
      <c r="IX107" s="498">
        <f ca="1">IF(AND(IV107&gt;0,IW107&gt;0),IW107-IV107,"0")</f>
        <v>42759</v>
      </c>
      <c r="IY107" s="206">
        <f>DATE(YEAR(IV107),MONTH(IV107),DAY(IV107)+30)</f>
        <v>60</v>
      </c>
      <c r="IZ107" s="482">
        <f ca="1">IF(AND(IW107&gt;0,IY107&gt;0),IY107-IW107,"0")</f>
        <v>-42729</v>
      </c>
      <c r="JA107" s="498">
        <f ca="1">IZ107-30</f>
        <v>-42759</v>
      </c>
      <c r="JB107" s="508" t="str">
        <f>IF(AND(IT107&gt;0,IY107&gt;0),IY107-IT107,"0")</f>
        <v>0</v>
      </c>
      <c r="JC107" s="490"/>
      <c r="JD107" s="491"/>
      <c r="JE107" s="502">
        <f>IY107</f>
        <v>60</v>
      </c>
      <c r="JF107" s="487">
        <f>IF(AND(IY107&gt;0,JE107&gt;0),JE107-IY107,"0")</f>
        <v>0</v>
      </c>
      <c r="JG107" s="502">
        <f>DATE(YEAR(JE107),MONTH(JE107),DAY(JE107)+15)</f>
        <v>75</v>
      </c>
      <c r="JH107" s="502">
        <f ca="1">IF(JG107&lt;TODAY(),TODAY(),JG107)</f>
        <v>42789</v>
      </c>
      <c r="JI107" s="487">
        <f ca="1">IF(AND(JG107&gt;0,JH107&gt;0),JH107-JG107,"0")</f>
        <v>42714</v>
      </c>
      <c r="JJ107" s="502">
        <f ca="1">DATE(YEAR(JH107),MONTH(JH107),DAY(JH107)+45)</f>
        <v>42834</v>
      </c>
      <c r="JK107" s="502">
        <f ca="1">JJ107</f>
        <v>42834</v>
      </c>
      <c r="JL107" s="487">
        <f ca="1">IF(AND(JJ107&gt;0,JK107&gt;0),JK107-JJ107,"0")</f>
        <v>0</v>
      </c>
      <c r="JM107" s="509">
        <f ca="1">IF(AND(JE107&gt;0,JK107&gt;0),JK107-JE107,"0")</f>
        <v>42774</v>
      </c>
      <c r="JN107" s="502">
        <f ca="1">DATE(YEAR(JK107),MONTH(JK107),DAY(JK107)+60)</f>
        <v>42894</v>
      </c>
      <c r="JO107" s="501">
        <f ca="1">IF(AND(JK107&gt;0,JN107&gt;0),JN107-JK107,"0")</f>
        <v>60</v>
      </c>
      <c r="JP107" s="498">
        <f ca="1">JO107-60</f>
        <v>0</v>
      </c>
      <c r="JQ107" s="482">
        <f>291/30</f>
        <v>9.6999999999999993</v>
      </c>
      <c r="JR107" s="504">
        <f ca="1">((+HS107+HU107+IB107+IJ107+IQ107+IU107+JB107+JM107+JF107)/30)-JQ107</f>
        <v>1421.2333333333333</v>
      </c>
      <c r="JS107" s="490"/>
      <c r="JT107" s="491"/>
      <c r="JU107" s="490"/>
      <c r="JV107" s="491"/>
      <c r="JW107" s="586"/>
      <c r="JX107" s="586"/>
      <c r="JY107" s="586"/>
      <c r="JZ107" s="586"/>
    </row>
    <row r="108" spans="1:286" ht="39.950000000000003" hidden="1" customHeight="1" x14ac:dyDescent="0.25">
      <c r="A108" s="552" t="s">
        <v>852</v>
      </c>
      <c r="B108" s="110" t="s">
        <v>46</v>
      </c>
      <c r="C108" s="110" t="s">
        <v>157</v>
      </c>
      <c r="D108" s="110">
        <v>2019</v>
      </c>
      <c r="E108" s="110"/>
      <c r="F108" s="110" t="s">
        <v>834</v>
      </c>
      <c r="G108" s="110"/>
      <c r="H108" s="110"/>
      <c r="I108" s="110"/>
      <c r="J108" s="110" t="s">
        <v>925</v>
      </c>
      <c r="K108" s="453" t="s">
        <v>892</v>
      </c>
      <c r="L108" s="309" t="s">
        <v>80</v>
      </c>
      <c r="M108" s="310" t="s">
        <v>924</v>
      </c>
      <c r="N108" s="311">
        <v>35571</v>
      </c>
      <c r="O108" s="379"/>
      <c r="P108" s="379"/>
      <c r="Q108" s="379"/>
      <c r="R108" s="379"/>
      <c r="S108" s="379"/>
      <c r="T108" s="387"/>
      <c r="U108" s="387"/>
      <c r="V108" s="387"/>
      <c r="W108" s="379"/>
      <c r="X108" s="380"/>
      <c r="Y108" s="381"/>
      <c r="Z108" s="380"/>
      <c r="AA108" s="380"/>
      <c r="AB108" s="381"/>
      <c r="AC108" s="110" t="s">
        <v>833</v>
      </c>
      <c r="AD108" s="342">
        <v>38</v>
      </c>
      <c r="AE108" s="121"/>
      <c r="AF108" s="110"/>
      <c r="AG108" s="114"/>
      <c r="AH108" s="152"/>
      <c r="AI108" s="114"/>
      <c r="AJ108" s="135"/>
      <c r="AK108" s="135"/>
      <c r="AL108" s="135"/>
      <c r="AM108" s="135"/>
      <c r="AN108" s="135"/>
      <c r="AO108" s="114"/>
      <c r="AP108" s="133"/>
      <c r="AQ108" s="135"/>
      <c r="AR108" s="114"/>
      <c r="AS108" s="110"/>
      <c r="AT108" s="110"/>
      <c r="AU108" s="110"/>
      <c r="AV108" s="110"/>
      <c r="AW108" s="415"/>
      <c r="AX108" s="110"/>
      <c r="AY108" s="110"/>
      <c r="AZ108" s="464"/>
      <c r="BA108" s="110"/>
      <c r="BB108" s="540"/>
      <c r="BC108" s="540"/>
      <c r="BD108" s="110"/>
      <c r="BE108" s="110"/>
      <c r="BF108" s="110"/>
      <c r="BG108" s="110"/>
      <c r="BH108" s="110"/>
      <c r="BI108" s="110"/>
      <c r="BJ108" s="110"/>
      <c r="BK108" s="110"/>
      <c r="BL108" s="110"/>
      <c r="BM108" s="110"/>
      <c r="BN108" s="196"/>
      <c r="BO108" s="196"/>
      <c r="BP108" s="196"/>
      <c r="BQ108" s="196"/>
      <c r="BR108" s="196"/>
      <c r="BS108" s="196"/>
      <c r="BT108" s="158"/>
      <c r="BU108" s="376"/>
      <c r="BV108" s="160"/>
      <c r="BW108" s="160"/>
      <c r="BX108" s="160"/>
      <c r="BY108" s="160"/>
      <c r="BZ108" s="376"/>
      <c r="CA108" s="160"/>
      <c r="CB108" s="302"/>
      <c r="CC108" s="374"/>
      <c r="CD108" s="302"/>
      <c r="CE108" s="302"/>
      <c r="CF108" s="161"/>
      <c r="CG108" s="336">
        <f>DATE(YEAR(CF108),MONTH(CF108)+24,DAY(CF108))</f>
        <v>731</v>
      </c>
      <c r="CH108" s="336">
        <f>DATE(YEAR(CF108),MONTH(CF108)+36,DAY(CF108))</f>
        <v>1096</v>
      </c>
      <c r="CI108" s="336"/>
      <c r="CJ108" s="302"/>
      <c r="CK108" s="308"/>
      <c r="CL108" s="161"/>
      <c r="CM108" s="371"/>
      <c r="CN108" s="161"/>
      <c r="CO108" s="161"/>
      <c r="CP108" s="162"/>
      <c r="CQ108" s="367"/>
      <c r="CR108" s="162"/>
      <c r="CS108" s="162"/>
      <c r="CT108" s="162"/>
      <c r="CU108" s="367"/>
      <c r="CV108" s="162"/>
      <c r="CW108" s="162"/>
      <c r="CX108" s="162"/>
      <c r="CY108" s="367"/>
      <c r="CZ108" s="162"/>
      <c r="DA108" s="162"/>
      <c r="DB108" s="299"/>
      <c r="DC108" s="299"/>
      <c r="DD108" s="299"/>
      <c r="DE108" s="312"/>
      <c r="DF108" s="312"/>
      <c r="DG108" s="312"/>
      <c r="DH108" s="312"/>
      <c r="DI108" s="312"/>
      <c r="DJ108" s="312"/>
      <c r="DK108" s="293"/>
      <c r="DL108" s="293"/>
      <c r="DM108" s="293"/>
      <c r="DN108" s="293"/>
      <c r="DO108" s="293"/>
      <c r="DP108" s="293"/>
      <c r="DQ108" s="443"/>
      <c r="DR108" s="443"/>
      <c r="DS108" s="443"/>
      <c r="DT108" s="298"/>
      <c r="DU108" s="443"/>
      <c r="DV108" s="443"/>
      <c r="DW108" s="443"/>
      <c r="DX108" s="423"/>
      <c r="DY108" s="423"/>
      <c r="DZ108" s="423"/>
      <c r="EA108" s="434"/>
      <c r="EB108" s="423"/>
      <c r="EC108" s="430"/>
      <c r="ED108" s="430"/>
      <c r="EE108" s="422"/>
      <c r="EF108" s="422"/>
      <c r="EG108" s="423"/>
      <c r="EH108" s="423"/>
      <c r="EI108" s="431"/>
      <c r="EJ108" s="431"/>
      <c r="EK108" s="423"/>
      <c r="EL108" s="423"/>
      <c r="EM108" s="423"/>
      <c r="EN108" s="210"/>
      <c r="EO108" s="210"/>
      <c r="EP108" s="423"/>
      <c r="EQ108" s="423"/>
      <c r="ER108" s="423"/>
      <c r="ES108" s="423"/>
      <c r="ET108" s="423"/>
      <c r="EU108" s="334"/>
      <c r="EV108" s="206"/>
      <c r="EW108" s="206"/>
      <c r="EX108" s="209"/>
      <c r="EY108" s="434"/>
      <c r="EZ108" s="212"/>
      <c r="FA108" s="212"/>
      <c r="FB108" s="212"/>
      <c r="FC108" s="212"/>
      <c r="FD108" s="110"/>
      <c r="FE108" s="110"/>
      <c r="FF108" s="110"/>
      <c r="FG108" s="110"/>
      <c r="FH108" s="110"/>
      <c r="FI108" s="110"/>
      <c r="FJ108" s="110"/>
      <c r="FK108" s="110"/>
      <c r="FL108" s="110"/>
      <c r="FM108" s="110"/>
      <c r="FN108" s="110"/>
      <c r="FO108" s="110"/>
      <c r="FP108" s="199"/>
      <c r="FQ108" s="153"/>
      <c r="FR108" s="124"/>
      <c r="FS108" s="154"/>
      <c r="FT108" s="98"/>
      <c r="FU108" s="98"/>
      <c r="FV108" s="153"/>
      <c r="FW108" s="124"/>
      <c r="FX108" s="154"/>
      <c r="FY108" s="232"/>
      <c r="FZ108" s="232"/>
      <c r="GA108" s="153"/>
      <c r="GB108" s="124"/>
      <c r="GC108" s="98"/>
      <c r="GD108" s="155"/>
      <c r="GE108" s="153"/>
      <c r="GF108" s="124"/>
      <c r="GG108" s="147"/>
      <c r="GH108" s="147"/>
      <c r="GI108" s="155"/>
      <c r="GJ108" s="98"/>
      <c r="GK108" s="124"/>
      <c r="GL108" s="153"/>
      <c r="GM108" s="124"/>
      <c r="GN108" s="124"/>
      <c r="GO108" s="148"/>
      <c r="GP108" s="590"/>
      <c r="GQ108" s="124"/>
      <c r="GR108" s="149"/>
      <c r="GS108" s="98"/>
      <c r="GT108" s="138"/>
      <c r="GU108" s="149"/>
      <c r="GV108" s="150"/>
      <c r="GW108" s="150"/>
      <c r="GX108" s="151"/>
      <c r="GY108" s="151"/>
      <c r="GZ108" s="98">
        <f>(GA108+GL108+GY108)/AD108</f>
        <v>0</v>
      </c>
      <c r="HA108" s="151"/>
      <c r="HB108" s="98">
        <f>(GB108+GM108+GY108+HA108)/AD108</f>
        <v>0</v>
      </c>
      <c r="HC108" s="99" t="e">
        <f>(GA108+GL108+GY108+HA108)/(GX108+FQ108-HD108)</f>
        <v>#DIV/0!</v>
      </c>
      <c r="HD108" s="151"/>
      <c r="HE108" s="151"/>
      <c r="HF108" s="124"/>
      <c r="HG108" s="156">
        <f>FQ108+GX108</f>
        <v>0</v>
      </c>
      <c r="HH108" s="491"/>
      <c r="HI108" s="491"/>
      <c r="HJ108" s="494"/>
      <c r="HK108" s="505">
        <f>$HK$1*HH108</f>
        <v>0</v>
      </c>
      <c r="HL108" s="450">
        <f ca="1">TODAY()</f>
        <v>42789</v>
      </c>
      <c r="HM108" s="464">
        <f ca="1">DATE(YEAR(HL108),MONTH(HL108),DAY(HL108)+21)</f>
        <v>42810</v>
      </c>
      <c r="HN108" s="464">
        <f ca="1">IF(HM108&lt;TODAY(),TODAY(),HM108)</f>
        <v>42810</v>
      </c>
      <c r="HO108" s="497">
        <f ca="1">IF(AND(HM108&gt;0,HN108&gt;0),HN108-HM108,"0")</f>
        <v>0</v>
      </c>
      <c r="HP108" s="464">
        <f ca="1">DATE(YEAR(HL108),MONTH(HL108),DAY(HL108)+21)</f>
        <v>42810</v>
      </c>
      <c r="HQ108" s="481">
        <f ca="1">IF(AND(HN108&gt;0,HP108&gt;0),HP108-HN108,"0")</f>
        <v>0</v>
      </c>
      <c r="HR108" s="497">
        <f ca="1">+HQ108-30</f>
        <v>-30</v>
      </c>
      <c r="HS108" s="506">
        <f ca="1">IF(AND(HL108&gt;0,HP108&gt;0),HP108-HL108,"0")</f>
        <v>21</v>
      </c>
      <c r="HT108" s="450">
        <f ca="1">DATE(YEAR(HP108),MONTH(HP108),DAY(HP108)+30)</f>
        <v>42840</v>
      </c>
      <c r="HU108" s="497">
        <f ca="1">IF(AND(HP108&gt;0,HT108&gt;0),HT108-HP108,"0")</f>
        <v>30</v>
      </c>
      <c r="HV108" s="450">
        <f ca="1">DATE(YEAR(HT108),MONTH(HT108),DAY(HT108)+30)</f>
        <v>42870</v>
      </c>
      <c r="HW108" s="450">
        <f ca="1">IF(HV108&lt;TODAY(),TODAY(),HV108)</f>
        <v>42870</v>
      </c>
      <c r="HX108" s="497">
        <f ca="1">IF(AND(HV108&gt;0,HW108&gt;0),HW108-HV108,"0")</f>
        <v>0</v>
      </c>
      <c r="HY108" s="206">
        <f ca="1">DATE(YEAR(HV108),MONTH(HV108),DAY(HV108)+30)</f>
        <v>42900</v>
      </c>
      <c r="HZ108" s="481">
        <f ca="1">IF(AND(HW108&gt;0,HY108&gt;0),HY108-HW108,"0")</f>
        <v>30</v>
      </c>
      <c r="IA108" s="497">
        <f ca="1">+HZ108-30</f>
        <v>0</v>
      </c>
      <c r="IB108" s="506">
        <f ca="1">IF(AND(HT108&gt;0,HY108&gt;0),HY108-HT108,"0")</f>
        <v>60</v>
      </c>
      <c r="IC108" s="490"/>
      <c r="ID108" s="505">
        <f>$ID$1*HH108</f>
        <v>0</v>
      </c>
      <c r="IE108" s="450">
        <f ca="1">DATE(YEAR(HY108),MONTH(HY108),DAY(HY108)+15)</f>
        <v>42915</v>
      </c>
      <c r="IF108" s="450">
        <f ca="1">DATE(YEAR(IE108),MONTH(IE108),DAY(IE108)+7)</f>
        <v>42922</v>
      </c>
      <c r="IG108" s="494"/>
      <c r="IH108" s="505">
        <f>$IH$1*HH108</f>
        <v>0</v>
      </c>
      <c r="II108" s="206">
        <f ca="1">DATE(YEAR(IF108),MONTH(IF108),DAY(IF108)+21)</f>
        <v>42943</v>
      </c>
      <c r="IJ108" s="497">
        <f ca="1">IF(AND(HY108&gt;0,II108&gt;0),II108-HY108,"0")</f>
        <v>43</v>
      </c>
      <c r="IK108" s="206">
        <f ca="1">DATE(YEAR(II108),MONTH(II108),DAY(II108)+30)</f>
        <v>42973</v>
      </c>
      <c r="IL108" s="206">
        <f ca="1">IF(IK108&lt;TODAY(),TODAY(),IK108)</f>
        <v>42973</v>
      </c>
      <c r="IM108" s="497"/>
      <c r="IN108" s="206"/>
      <c r="IO108" s="481"/>
      <c r="IP108" s="497"/>
      <c r="IQ108" s="506"/>
      <c r="IR108" s="490"/>
      <c r="IS108" s="491"/>
      <c r="IT108" s="206">
        <f>IN108</f>
        <v>0</v>
      </c>
      <c r="IU108" s="498" t="str">
        <f>IF(AND(IN108&gt;0,IT108&gt;0),IT108-IN108,"0")</f>
        <v>0</v>
      </c>
      <c r="IV108" s="206">
        <f>DATE(YEAR(IT108),MONTH(IT108),DAY(IT108)+30)</f>
        <v>30</v>
      </c>
      <c r="IW108" s="206">
        <f ca="1">IF(IV108&lt;TODAY(),TODAY(),IV108)</f>
        <v>42789</v>
      </c>
      <c r="IX108" s="498">
        <f ca="1">IF(AND(IV108&gt;0,IW108&gt;0),IW108-IV108,"0")</f>
        <v>42759</v>
      </c>
      <c r="IY108" s="206">
        <f>DATE(YEAR(IV108),MONTH(IV108),DAY(IV108)+30)</f>
        <v>60</v>
      </c>
      <c r="IZ108" s="482">
        <f ca="1">IF(AND(IW108&gt;0,IY108&gt;0),IY108-IW108,"0")</f>
        <v>-42729</v>
      </c>
      <c r="JA108" s="498">
        <f ca="1">IZ108-30</f>
        <v>-42759</v>
      </c>
      <c r="JB108" s="508" t="str">
        <f>IF(AND(IT108&gt;0,IY108&gt;0),IY108-IT108,"0")</f>
        <v>0</v>
      </c>
      <c r="JC108" s="490"/>
      <c r="JD108" s="505"/>
      <c r="JE108" s="502">
        <f>IY108</f>
        <v>60</v>
      </c>
      <c r="JF108" s="487">
        <f>IF(AND(IY108&gt;0,JE108&gt;0),JE108-IY108,"0")</f>
        <v>0</v>
      </c>
      <c r="JG108" s="502">
        <f>DATE(YEAR(JE108),MONTH(JE108),DAY(JE108)+15)</f>
        <v>75</v>
      </c>
      <c r="JH108" s="502">
        <f ca="1">IF(JG108&lt;TODAY(),TODAY(),JG108)</f>
        <v>42789</v>
      </c>
      <c r="JI108" s="487">
        <f ca="1">IF(AND(JG108&gt;0,JH108&gt;0),JH108-JG108,"0")</f>
        <v>42714</v>
      </c>
      <c r="JJ108" s="502">
        <f ca="1">DATE(YEAR(JH108),MONTH(JH108),DAY(JH108)+45)</f>
        <v>42834</v>
      </c>
      <c r="JK108" s="502">
        <f ca="1">JJ108</f>
        <v>42834</v>
      </c>
      <c r="JL108" s="487">
        <f ca="1">IF(AND(JJ108&gt;0,JK108&gt;0),JK108-JJ108,"0")</f>
        <v>0</v>
      </c>
      <c r="JM108" s="509">
        <f ca="1">IF(AND(JE108&gt;0,JK108&gt;0),JK108-JE108,"0")</f>
        <v>42774</v>
      </c>
      <c r="JN108" s="502">
        <f ca="1">DATE(YEAR(JK108),MONTH(JK108),DAY(JK108)+60)</f>
        <v>42894</v>
      </c>
      <c r="JO108" s="501">
        <f ca="1">IF(AND(JK108&gt;0,JN108&gt;0),JN108-JK108,"0")</f>
        <v>60</v>
      </c>
      <c r="JP108" s="498">
        <f ca="1">JO108-60</f>
        <v>0</v>
      </c>
      <c r="JQ108" s="482">
        <f>291/30</f>
        <v>9.6999999999999993</v>
      </c>
      <c r="JR108" s="504">
        <f ca="1">((+HS108+HU108+IB108+IJ108+IQ108+IU108+JB108+JM108+JF108)/30)-JQ108</f>
        <v>1421.2333333333333</v>
      </c>
      <c r="JS108" s="490"/>
      <c r="JT108" s="491"/>
      <c r="JU108" s="490"/>
      <c r="JV108" s="491"/>
      <c r="JW108" s="586"/>
      <c r="JX108" s="586"/>
      <c r="JY108" s="586"/>
      <c r="JZ108" s="586"/>
    </row>
    <row r="109" spans="1:286" ht="39.950000000000003" hidden="1" customHeight="1" x14ac:dyDescent="0.25">
      <c r="A109" s="552" t="s">
        <v>857</v>
      </c>
      <c r="B109" s="110" t="s">
        <v>38</v>
      </c>
      <c r="C109" s="110" t="s">
        <v>157</v>
      </c>
      <c r="D109" s="110">
        <v>2019</v>
      </c>
      <c r="E109" s="110"/>
      <c r="F109" s="110" t="s">
        <v>834</v>
      </c>
      <c r="G109" s="110"/>
      <c r="H109" s="110"/>
      <c r="I109" s="110"/>
      <c r="J109" s="110" t="s">
        <v>930</v>
      </c>
      <c r="K109" s="453" t="s">
        <v>928</v>
      </c>
      <c r="L109" s="309" t="s">
        <v>80</v>
      </c>
      <c r="M109" s="599" t="s">
        <v>926</v>
      </c>
      <c r="N109" s="601" t="s">
        <v>927</v>
      </c>
      <c r="O109" s="379"/>
      <c r="P109" s="379"/>
      <c r="Q109" s="379"/>
      <c r="R109" s="379"/>
      <c r="S109" s="379"/>
      <c r="T109" s="387"/>
      <c r="U109" s="387"/>
      <c r="V109" s="387"/>
      <c r="W109" s="379"/>
      <c r="X109" s="380"/>
      <c r="Y109" s="381"/>
      <c r="Z109" s="380"/>
      <c r="AA109" s="380"/>
      <c r="AB109" s="381"/>
      <c r="AC109" s="110" t="s">
        <v>833</v>
      </c>
      <c r="AD109" s="342">
        <v>30</v>
      </c>
      <c r="AE109" s="121"/>
      <c r="AF109" s="110"/>
      <c r="AG109" s="114"/>
      <c r="AH109" s="152"/>
      <c r="AI109" s="114"/>
      <c r="AJ109" s="135"/>
      <c r="AK109" s="135"/>
      <c r="AL109" s="135"/>
      <c r="AM109" s="135"/>
      <c r="AN109" s="135"/>
      <c r="AO109" s="114"/>
      <c r="AP109" s="133"/>
      <c r="AQ109" s="135"/>
      <c r="AR109" s="114"/>
      <c r="AS109" s="110"/>
      <c r="AT109" s="110"/>
      <c r="AU109" s="110"/>
      <c r="AV109" s="110"/>
      <c r="AW109" s="415"/>
      <c r="AX109" s="110"/>
      <c r="AY109" s="110"/>
      <c r="AZ109" s="464"/>
      <c r="BA109" s="110"/>
      <c r="BB109" s="540"/>
      <c r="BC109" s="540"/>
      <c r="BD109" s="110"/>
      <c r="BE109" s="110"/>
      <c r="BF109" s="110"/>
      <c r="BG109" s="110"/>
      <c r="BH109" s="110"/>
      <c r="BI109" s="110"/>
      <c r="BJ109" s="110"/>
      <c r="BK109" s="110"/>
      <c r="BL109" s="110"/>
      <c r="BM109" s="110"/>
      <c r="BN109" s="196"/>
      <c r="BO109" s="196"/>
      <c r="BP109" s="196"/>
      <c r="BQ109" s="196"/>
      <c r="BR109" s="196"/>
      <c r="BS109" s="196"/>
      <c r="BT109" s="158"/>
      <c r="BU109" s="376"/>
      <c r="BV109" s="160"/>
      <c r="BW109" s="160"/>
      <c r="BX109" s="160"/>
      <c r="BY109" s="160"/>
      <c r="BZ109" s="376"/>
      <c r="CA109" s="160"/>
      <c r="CB109" s="302"/>
      <c r="CC109" s="374"/>
      <c r="CD109" s="302"/>
      <c r="CE109" s="302"/>
      <c r="CF109" s="161"/>
      <c r="CG109" s="336">
        <f>DATE(YEAR(CF109),MONTH(CF109)+24,DAY(CF109))</f>
        <v>731</v>
      </c>
      <c r="CH109" s="336">
        <f>DATE(YEAR(CF109),MONTH(CF109)+36,DAY(CF109))</f>
        <v>1096</v>
      </c>
      <c r="CI109" s="336"/>
      <c r="CJ109" s="302"/>
      <c r="CK109" s="308"/>
      <c r="CL109" s="161"/>
      <c r="CM109" s="371"/>
      <c r="CN109" s="161"/>
      <c r="CO109" s="161"/>
      <c r="CP109" s="162"/>
      <c r="CQ109" s="367"/>
      <c r="CR109" s="162"/>
      <c r="CS109" s="162"/>
      <c r="CT109" s="162"/>
      <c r="CU109" s="367"/>
      <c r="CV109" s="162"/>
      <c r="CW109" s="162"/>
      <c r="CX109" s="162"/>
      <c r="CY109" s="367"/>
      <c r="CZ109" s="162"/>
      <c r="DA109" s="162"/>
      <c r="DB109" s="299"/>
      <c r="DC109" s="299"/>
      <c r="DD109" s="299"/>
      <c r="DE109" s="312"/>
      <c r="DF109" s="312"/>
      <c r="DG109" s="312"/>
      <c r="DH109" s="312"/>
      <c r="DI109" s="312"/>
      <c r="DJ109" s="312"/>
      <c r="DK109" s="293"/>
      <c r="DL109" s="293"/>
      <c r="DM109" s="293"/>
      <c r="DN109" s="293"/>
      <c r="DO109" s="293"/>
      <c r="DP109" s="293"/>
      <c r="DQ109" s="443"/>
      <c r="DR109" s="443"/>
      <c r="DS109" s="443"/>
      <c r="DT109" s="298"/>
      <c r="DU109" s="443"/>
      <c r="DV109" s="443"/>
      <c r="DW109" s="443"/>
      <c r="DX109" s="423"/>
      <c r="DY109" s="423"/>
      <c r="DZ109" s="423"/>
      <c r="EA109" s="434"/>
      <c r="EB109" s="423"/>
      <c r="EC109" s="430"/>
      <c r="ED109" s="430"/>
      <c r="EE109" s="422"/>
      <c r="EF109" s="422"/>
      <c r="EG109" s="423"/>
      <c r="EH109" s="423"/>
      <c r="EI109" s="431"/>
      <c r="EJ109" s="431"/>
      <c r="EK109" s="423"/>
      <c r="EL109" s="423"/>
      <c r="EM109" s="423"/>
      <c r="EN109" s="210"/>
      <c r="EO109" s="210"/>
      <c r="EP109" s="423"/>
      <c r="EQ109" s="423"/>
      <c r="ER109" s="423"/>
      <c r="ES109" s="423"/>
      <c r="ET109" s="423"/>
      <c r="EU109" s="334"/>
      <c r="EV109" s="206"/>
      <c r="EW109" s="206"/>
      <c r="EX109" s="209"/>
      <c r="EY109" s="434"/>
      <c r="EZ109" s="212"/>
      <c r="FA109" s="212"/>
      <c r="FB109" s="212"/>
      <c r="FC109" s="212"/>
      <c r="FD109" s="110"/>
      <c r="FE109" s="110"/>
      <c r="FF109" s="110"/>
      <c r="FG109" s="110"/>
      <c r="FH109" s="110"/>
      <c r="FI109" s="110"/>
      <c r="FJ109" s="110"/>
      <c r="FK109" s="110"/>
      <c r="FL109" s="110"/>
      <c r="FM109" s="110"/>
      <c r="FN109" s="110"/>
      <c r="FO109" s="110"/>
      <c r="FP109" s="199"/>
      <c r="FQ109" s="153"/>
      <c r="FR109" s="124"/>
      <c r="FS109" s="154"/>
      <c r="FT109" s="98"/>
      <c r="FU109" s="98"/>
      <c r="FV109" s="153"/>
      <c r="FW109" s="124"/>
      <c r="FX109" s="154"/>
      <c r="FY109" s="232"/>
      <c r="FZ109" s="232"/>
      <c r="GA109" s="153"/>
      <c r="GB109" s="124"/>
      <c r="GC109" s="98"/>
      <c r="GD109" s="155"/>
      <c r="GE109" s="153"/>
      <c r="GF109" s="124"/>
      <c r="GG109" s="147"/>
      <c r="GH109" s="147"/>
      <c r="GI109" s="155"/>
      <c r="GJ109" s="98"/>
      <c r="GK109" s="124"/>
      <c r="GL109" s="153"/>
      <c r="GM109" s="124"/>
      <c r="GN109" s="124"/>
      <c r="GO109" s="148"/>
      <c r="GP109" s="590"/>
      <c r="GQ109" s="124"/>
      <c r="GR109" s="149"/>
      <c r="GS109" s="98"/>
      <c r="GT109" s="138"/>
      <c r="GU109" s="149"/>
      <c r="GV109" s="150"/>
      <c r="GW109" s="150"/>
      <c r="GX109" s="151"/>
      <c r="GY109" s="151"/>
      <c r="GZ109" s="98">
        <f>(GA109+GL109+GY109)/AD109</f>
        <v>0</v>
      </c>
      <c r="HA109" s="151"/>
      <c r="HB109" s="98">
        <f>(GB109+GM109+GY109+HA109)/AD109</f>
        <v>0</v>
      </c>
      <c r="HC109" s="99"/>
      <c r="HD109" s="151"/>
      <c r="HE109" s="151"/>
      <c r="HF109" s="124"/>
      <c r="HG109" s="77"/>
      <c r="HH109" s="491"/>
      <c r="HI109" s="491"/>
      <c r="HJ109" s="494"/>
      <c r="HK109" s="505">
        <f>$HK$1*HH109</f>
        <v>0</v>
      </c>
      <c r="HL109" s="450">
        <f ca="1">TODAY()</f>
        <v>42789</v>
      </c>
      <c r="HM109" s="464">
        <f ca="1">DATE(YEAR(HL109),MONTH(HL109),DAY(HL109)+21)</f>
        <v>42810</v>
      </c>
      <c r="HN109" s="464">
        <f ca="1">IF(HM109&lt;TODAY(),TODAY(),HM109)</f>
        <v>42810</v>
      </c>
      <c r="HO109" s="497">
        <f ca="1">IF(AND(HM109&gt;0,HN109&gt;0),HN109-HM109,"0")</f>
        <v>0</v>
      </c>
      <c r="HP109" s="464">
        <f ca="1">DATE(YEAR(HL109),MONTH(HL109),DAY(HL109)+21)</f>
        <v>42810</v>
      </c>
      <c r="HQ109" s="481">
        <f ca="1">IF(AND(HN109&gt;0,HP109&gt;0),HP109-HN109,"0")</f>
        <v>0</v>
      </c>
      <c r="HR109" s="497">
        <f ca="1">+HQ109-30</f>
        <v>-30</v>
      </c>
      <c r="HS109" s="506">
        <f ca="1">IF(AND(HL109&gt;0,HP109&gt;0),HP109-HL109,"0")</f>
        <v>21</v>
      </c>
      <c r="HT109" s="450">
        <f ca="1">DATE(YEAR(HP109),MONTH(HP109),DAY(HP109)+30)</f>
        <v>42840</v>
      </c>
      <c r="HU109" s="497">
        <f ca="1">IF(AND(HP109&gt;0,HT109&gt;0),HT109-HP109,"0")</f>
        <v>30</v>
      </c>
      <c r="HV109" s="450">
        <f ca="1">DATE(YEAR(HT109),MONTH(HT109),DAY(HT109)+30)</f>
        <v>42870</v>
      </c>
      <c r="HW109" s="450">
        <f ca="1">IF(HV109&lt;TODAY(),TODAY(),HV109)</f>
        <v>42870</v>
      </c>
      <c r="HX109" s="497">
        <f ca="1">IF(AND(HV109&gt;0,HW109&gt;0),HW109-HV109,"0")</f>
        <v>0</v>
      </c>
      <c r="HY109" s="206">
        <f ca="1">DATE(YEAR(HV109),MONTH(HV109),DAY(HV109)+30)</f>
        <v>42900</v>
      </c>
      <c r="HZ109" s="481">
        <f ca="1">IF(AND(HW109&gt;0,HY109&gt;0),HY109-HW109,"0")</f>
        <v>30</v>
      </c>
      <c r="IA109" s="497">
        <f ca="1">+HZ109-30</f>
        <v>0</v>
      </c>
      <c r="IB109" s="506">
        <f ca="1">IF(AND(HT109&gt;0,HY109&gt;0),HY109-HT109,"0")</f>
        <v>60</v>
      </c>
      <c r="IC109" s="490"/>
      <c r="ID109" s="505">
        <f>$ID$1*HH109</f>
        <v>0</v>
      </c>
      <c r="IE109" s="450">
        <f ca="1">DATE(YEAR(HY109),MONTH(HY109),DAY(HY109)+15)</f>
        <v>42915</v>
      </c>
      <c r="IF109" s="450">
        <f ca="1">DATE(YEAR(IE109),MONTH(IE109),DAY(IE109)+7)</f>
        <v>42922</v>
      </c>
      <c r="IG109" s="494"/>
      <c r="IH109" s="505">
        <f>$IH$1*HH109</f>
        <v>0</v>
      </c>
      <c r="II109" s="206">
        <f ca="1">DATE(YEAR(IF109),MONTH(IF109),DAY(IF109)+21)</f>
        <v>42943</v>
      </c>
      <c r="IJ109" s="497">
        <f ca="1">IF(AND(HY109&gt;0,II109&gt;0),II109-HY109,"0")</f>
        <v>43</v>
      </c>
      <c r="IK109" s="206">
        <f ca="1">DATE(YEAR(II109),MONTH(II109),DAY(II109)+30)</f>
        <v>42973</v>
      </c>
      <c r="IL109" s="206">
        <f ca="1">IF(IK109&lt;TODAY(),TODAY(),IK109)</f>
        <v>42973</v>
      </c>
      <c r="IM109" s="497"/>
      <c r="IN109" s="206"/>
      <c r="IO109" s="481"/>
      <c r="IP109" s="497"/>
      <c r="IQ109" s="506"/>
      <c r="IR109" s="490"/>
      <c r="IS109" s="491"/>
      <c r="IT109" s="206">
        <f>IN109</f>
        <v>0</v>
      </c>
      <c r="IU109" s="498" t="str">
        <f>IF(AND(IN109&gt;0,IT109&gt;0),IT109-IN109,"0")</f>
        <v>0</v>
      </c>
      <c r="IV109" s="206">
        <f>DATE(YEAR(IT109),MONTH(IT109),DAY(IT109)+30)</f>
        <v>30</v>
      </c>
      <c r="IW109" s="206">
        <f ca="1">IF(IV109&lt;TODAY(),TODAY(),IV109)</f>
        <v>42789</v>
      </c>
      <c r="IX109" s="498">
        <f ca="1">IF(AND(IV109&gt;0,IW109&gt;0),IW109-IV109,"0")</f>
        <v>42759</v>
      </c>
      <c r="IY109" s="206">
        <f>DATE(YEAR(IV109),MONTH(IV109),DAY(IV109)+30)</f>
        <v>60</v>
      </c>
      <c r="IZ109" s="482">
        <f ca="1">IF(AND(IW109&gt;0,IY109&gt;0),IY109-IW109,"0")</f>
        <v>-42729</v>
      </c>
      <c r="JA109" s="498">
        <f ca="1">IZ109-30</f>
        <v>-42759</v>
      </c>
      <c r="JB109" s="508" t="str">
        <f>IF(AND(IT109&gt;0,IY109&gt;0),IY109-IT109,"0")</f>
        <v>0</v>
      </c>
      <c r="JC109" s="490"/>
      <c r="JD109" s="505"/>
      <c r="JE109" s="502">
        <f>IY109</f>
        <v>60</v>
      </c>
      <c r="JF109" s="487">
        <f>IF(AND(IY109&gt;0,JE109&gt;0),JE109-IY109,"0")</f>
        <v>0</v>
      </c>
      <c r="JG109" s="502">
        <f>DATE(YEAR(JE109),MONTH(JE109),DAY(JE109)+15)</f>
        <v>75</v>
      </c>
      <c r="JH109" s="502">
        <f ca="1">IF(JG109&lt;TODAY(),TODAY(),JG109)</f>
        <v>42789</v>
      </c>
      <c r="JI109" s="487">
        <f ca="1">IF(AND(JG109&gt;0,JH109&gt;0),JH109-JG109,"0")</f>
        <v>42714</v>
      </c>
      <c r="JJ109" s="502">
        <f ca="1">DATE(YEAR(JH109),MONTH(JH109),DAY(JH109)+45)</f>
        <v>42834</v>
      </c>
      <c r="JK109" s="502">
        <f ca="1">JJ109</f>
        <v>42834</v>
      </c>
      <c r="JL109" s="487">
        <f ca="1">IF(AND(JJ109&gt;0,JK109&gt;0),JK109-JJ109,"0")</f>
        <v>0</v>
      </c>
      <c r="JM109" s="509">
        <f ca="1">IF(AND(JE109&gt;0,JK109&gt;0),JK109-JE109,"0")</f>
        <v>42774</v>
      </c>
      <c r="JN109" s="502">
        <f ca="1">DATE(YEAR(JK109),MONTH(JK109),DAY(JK109)+60)</f>
        <v>42894</v>
      </c>
      <c r="JO109" s="501">
        <f ca="1">IF(AND(JK109&gt;0,JN109&gt;0),JN109-JK109,"0")</f>
        <v>60</v>
      </c>
      <c r="JP109" s="498">
        <f ca="1">JO109-60</f>
        <v>0</v>
      </c>
      <c r="JQ109" s="482">
        <f>291/30</f>
        <v>9.6999999999999993</v>
      </c>
      <c r="JR109" s="504">
        <f ca="1">((+HS109+HU109+IB109+IJ109+IQ109+IU109+JB109+JM109+JF109)/30)-JQ109</f>
        <v>1421.2333333333333</v>
      </c>
      <c r="JS109" s="490"/>
      <c r="JT109" s="491"/>
      <c r="JU109" s="490"/>
      <c r="JV109" s="491"/>
      <c r="JW109" s="586"/>
      <c r="JX109" s="586"/>
      <c r="JY109" s="586"/>
      <c r="JZ109" s="586"/>
    </row>
    <row r="110" spans="1:286" ht="39.950000000000003" hidden="1" customHeight="1" x14ac:dyDescent="0.25">
      <c r="A110" s="552" t="s">
        <v>858</v>
      </c>
      <c r="B110" s="110" t="s">
        <v>38</v>
      </c>
      <c r="C110" s="110" t="s">
        <v>157</v>
      </c>
      <c r="D110" s="110">
        <v>2019</v>
      </c>
      <c r="E110" s="110"/>
      <c r="F110" s="110" t="s">
        <v>834</v>
      </c>
      <c r="G110" s="110"/>
      <c r="H110" s="110"/>
      <c r="I110" s="110"/>
      <c r="J110" s="110" t="s">
        <v>929</v>
      </c>
      <c r="K110" s="453" t="s">
        <v>928</v>
      </c>
      <c r="L110" s="309" t="s">
        <v>80</v>
      </c>
      <c r="M110" s="599" t="s">
        <v>926</v>
      </c>
      <c r="N110" s="601" t="s">
        <v>927</v>
      </c>
      <c r="O110" s="379"/>
      <c r="P110" s="379"/>
      <c r="Q110" s="379"/>
      <c r="R110" s="379"/>
      <c r="S110" s="379"/>
      <c r="T110" s="387"/>
      <c r="U110" s="387"/>
      <c r="V110" s="387"/>
      <c r="W110" s="379"/>
      <c r="X110" s="380"/>
      <c r="Y110" s="381"/>
      <c r="Z110" s="380"/>
      <c r="AA110" s="380"/>
      <c r="AB110" s="381"/>
      <c r="AC110" s="110" t="s">
        <v>833</v>
      </c>
      <c r="AD110" s="342">
        <v>32</v>
      </c>
      <c r="AE110" s="121"/>
      <c r="AF110" s="110"/>
      <c r="AG110" s="114"/>
      <c r="AH110" s="152"/>
      <c r="AI110" s="114"/>
      <c r="AJ110" s="135"/>
      <c r="AK110" s="135"/>
      <c r="AL110" s="135"/>
      <c r="AM110" s="135"/>
      <c r="AN110" s="135"/>
      <c r="AO110" s="114"/>
      <c r="AP110" s="133"/>
      <c r="AQ110" s="135"/>
      <c r="AR110" s="114"/>
      <c r="AS110" s="110"/>
      <c r="AT110" s="110"/>
      <c r="AU110" s="110"/>
      <c r="AV110" s="110"/>
      <c r="AW110" s="415"/>
      <c r="AX110" s="110"/>
      <c r="AY110" s="110"/>
      <c r="AZ110" s="464"/>
      <c r="BA110" s="110"/>
      <c r="BB110" s="540"/>
      <c r="BC110" s="540"/>
      <c r="BD110" s="110"/>
      <c r="BE110" s="110"/>
      <c r="BF110" s="110"/>
      <c r="BG110" s="110"/>
      <c r="BH110" s="110"/>
      <c r="BI110" s="110"/>
      <c r="BJ110" s="110"/>
      <c r="BK110" s="110"/>
      <c r="BL110" s="110"/>
      <c r="BM110" s="110"/>
      <c r="BN110" s="196"/>
      <c r="BO110" s="196"/>
      <c r="BP110" s="196"/>
      <c r="BQ110" s="196"/>
      <c r="BR110" s="196"/>
      <c r="BS110" s="196"/>
      <c r="BT110" s="158"/>
      <c r="BU110" s="376"/>
      <c r="BV110" s="160"/>
      <c r="BW110" s="160"/>
      <c r="BX110" s="160"/>
      <c r="BY110" s="160"/>
      <c r="BZ110" s="376"/>
      <c r="CA110" s="160"/>
      <c r="CB110" s="302"/>
      <c r="CC110" s="374"/>
      <c r="CD110" s="302"/>
      <c r="CE110" s="302"/>
      <c r="CF110" s="161"/>
      <c r="CG110" s="336">
        <f>DATE(YEAR(CF110),MONTH(CF110)+24,DAY(CF110))</f>
        <v>731</v>
      </c>
      <c r="CH110" s="336">
        <f>DATE(YEAR(CF110),MONTH(CF110)+36,DAY(CF110))</f>
        <v>1096</v>
      </c>
      <c r="CI110" s="336"/>
      <c r="CJ110" s="302"/>
      <c r="CK110" s="308"/>
      <c r="CL110" s="161"/>
      <c r="CM110" s="371"/>
      <c r="CN110" s="161"/>
      <c r="CO110" s="161"/>
      <c r="CP110" s="162"/>
      <c r="CQ110" s="367"/>
      <c r="CR110" s="162"/>
      <c r="CS110" s="162"/>
      <c r="CT110" s="162"/>
      <c r="CU110" s="367"/>
      <c r="CV110" s="162"/>
      <c r="CW110" s="162"/>
      <c r="CX110" s="162"/>
      <c r="CY110" s="367"/>
      <c r="CZ110" s="162"/>
      <c r="DA110" s="162"/>
      <c r="DB110" s="299"/>
      <c r="DC110" s="299"/>
      <c r="DD110" s="299"/>
      <c r="DE110" s="312"/>
      <c r="DF110" s="312"/>
      <c r="DG110" s="312"/>
      <c r="DH110" s="312"/>
      <c r="DI110" s="312"/>
      <c r="DJ110" s="312"/>
      <c r="DK110" s="293"/>
      <c r="DL110" s="293"/>
      <c r="DM110" s="293"/>
      <c r="DN110" s="293"/>
      <c r="DO110" s="293"/>
      <c r="DP110" s="293"/>
      <c r="DQ110" s="443"/>
      <c r="DR110" s="443"/>
      <c r="DS110" s="443"/>
      <c r="DT110" s="298"/>
      <c r="DU110" s="443"/>
      <c r="DV110" s="443"/>
      <c r="DW110" s="443"/>
      <c r="DX110" s="423"/>
      <c r="DY110" s="423"/>
      <c r="DZ110" s="423"/>
      <c r="EA110" s="434"/>
      <c r="EB110" s="423"/>
      <c r="EC110" s="430"/>
      <c r="ED110" s="430"/>
      <c r="EE110" s="422"/>
      <c r="EF110" s="422"/>
      <c r="EG110" s="423"/>
      <c r="EH110" s="423"/>
      <c r="EI110" s="431"/>
      <c r="EJ110" s="431"/>
      <c r="EK110" s="423"/>
      <c r="EL110" s="423"/>
      <c r="EM110" s="423"/>
      <c r="EN110" s="210"/>
      <c r="EO110" s="210"/>
      <c r="EP110" s="423"/>
      <c r="EQ110" s="423"/>
      <c r="ER110" s="423"/>
      <c r="ES110" s="423"/>
      <c r="ET110" s="423"/>
      <c r="EU110" s="334"/>
      <c r="EV110" s="206"/>
      <c r="EW110" s="206"/>
      <c r="EX110" s="209"/>
      <c r="EY110" s="434"/>
      <c r="EZ110" s="212"/>
      <c r="FA110" s="212"/>
      <c r="FB110" s="212"/>
      <c r="FC110" s="212"/>
      <c r="FD110" s="110"/>
      <c r="FE110" s="110"/>
      <c r="FF110" s="110"/>
      <c r="FG110" s="110"/>
      <c r="FH110" s="110"/>
      <c r="FI110" s="110"/>
      <c r="FJ110" s="110"/>
      <c r="FK110" s="110"/>
      <c r="FL110" s="110"/>
      <c r="FM110" s="110"/>
      <c r="FN110" s="110"/>
      <c r="FO110" s="110"/>
      <c r="FP110" s="199"/>
      <c r="FQ110" s="153"/>
      <c r="FR110" s="124"/>
      <c r="FS110" s="25"/>
      <c r="FT110" s="50"/>
      <c r="FU110" s="50"/>
      <c r="FV110" s="153"/>
      <c r="FW110" s="124"/>
      <c r="FX110" s="25"/>
      <c r="FY110" s="232"/>
      <c r="FZ110" s="232"/>
      <c r="GA110" s="153"/>
      <c r="GB110" s="124"/>
      <c r="GC110" s="98"/>
      <c r="GD110" s="155"/>
      <c r="GE110" s="153"/>
      <c r="GF110" s="124"/>
      <c r="GG110" s="147"/>
      <c r="GH110" s="147"/>
      <c r="GI110" s="73"/>
      <c r="GJ110" s="50"/>
      <c r="GK110" s="124"/>
      <c r="GL110" s="153"/>
      <c r="GM110" s="124"/>
      <c r="GN110" s="124"/>
      <c r="GO110" s="76"/>
      <c r="GP110" s="590"/>
      <c r="GQ110" s="124"/>
      <c r="GR110" s="51"/>
      <c r="GS110" s="50"/>
      <c r="GT110" s="138"/>
      <c r="GU110" s="51"/>
      <c r="GV110" s="150"/>
      <c r="GW110" s="150"/>
      <c r="GX110" s="151"/>
      <c r="GY110" s="151"/>
      <c r="GZ110" s="98">
        <f>(GA110+GL110+GY110)/AD110</f>
        <v>0</v>
      </c>
      <c r="HA110" s="151"/>
      <c r="HB110" s="98">
        <f>(GB110+GM110+GY110+HA110)/AD110</f>
        <v>0</v>
      </c>
      <c r="HC110" s="99"/>
      <c r="HD110" s="151"/>
      <c r="HE110" s="151"/>
      <c r="HF110" s="124"/>
      <c r="HG110" s="77"/>
      <c r="HH110" s="491"/>
      <c r="HI110" s="491"/>
      <c r="HJ110" s="494"/>
      <c r="HK110" s="505">
        <f>$HK$1*HH110</f>
        <v>0</v>
      </c>
      <c r="HL110" s="450">
        <f ca="1">TODAY()</f>
        <v>42789</v>
      </c>
      <c r="HM110" s="464">
        <f ca="1">DATE(YEAR(HL110),MONTH(HL110),DAY(HL110)+21)</f>
        <v>42810</v>
      </c>
      <c r="HN110" s="464">
        <f ca="1">IF(HM110&lt;TODAY(),TODAY(),HM110)</f>
        <v>42810</v>
      </c>
      <c r="HO110" s="497">
        <f ca="1">IF(AND(HM110&gt;0,HN110&gt;0),HN110-HM110,"0")</f>
        <v>0</v>
      </c>
      <c r="HP110" s="464">
        <f ca="1">DATE(YEAR(HL110),MONTH(HL110),DAY(HL110)+21)</f>
        <v>42810</v>
      </c>
      <c r="HQ110" s="481">
        <f ca="1">IF(AND(HN110&gt;0,HP110&gt;0),HP110-HN110,"0")</f>
        <v>0</v>
      </c>
      <c r="HR110" s="497">
        <f ca="1">+HQ110-30</f>
        <v>-30</v>
      </c>
      <c r="HS110" s="506">
        <f ca="1">IF(AND(HL110&gt;0,HP110&gt;0),HP110-HL110,"0")</f>
        <v>21</v>
      </c>
      <c r="HT110" s="450">
        <f ca="1">DATE(YEAR(HP110),MONTH(HP110),DAY(HP110)+30)</f>
        <v>42840</v>
      </c>
      <c r="HU110" s="497">
        <f ca="1">IF(AND(HP110&gt;0,HT110&gt;0),HT110-HP110,"0")</f>
        <v>30</v>
      </c>
      <c r="HV110" s="450">
        <f ca="1">DATE(YEAR(HT110),MONTH(HT110),DAY(HT110)+30)</f>
        <v>42870</v>
      </c>
      <c r="HW110" s="450">
        <f ca="1">IF(HV110&lt;TODAY(),TODAY(),HV110)</f>
        <v>42870</v>
      </c>
      <c r="HX110" s="497">
        <f ca="1">IF(AND(HV110&gt;0,HW110&gt;0),HW110-HV110,"0")</f>
        <v>0</v>
      </c>
      <c r="HY110" s="206">
        <f ca="1">DATE(YEAR(HV110),MONTH(HV110),DAY(HV110)+30)</f>
        <v>42900</v>
      </c>
      <c r="HZ110" s="481">
        <f ca="1">IF(AND(HW110&gt;0,HY110&gt;0),HY110-HW110,"0")</f>
        <v>30</v>
      </c>
      <c r="IA110" s="497">
        <f ca="1">+HZ110-30</f>
        <v>0</v>
      </c>
      <c r="IB110" s="506">
        <f ca="1">IF(AND(HT110&gt;0,HY110&gt;0),HY110-HT110,"0")</f>
        <v>60</v>
      </c>
      <c r="IC110" s="490"/>
      <c r="ID110" s="505">
        <f>$ID$1*HH110</f>
        <v>0</v>
      </c>
      <c r="IE110" s="450">
        <f ca="1">DATE(YEAR(HY110),MONTH(HY110),DAY(HY110)+15)</f>
        <v>42915</v>
      </c>
      <c r="IF110" s="450">
        <f ca="1">DATE(YEAR(IE110),MONTH(IE110),DAY(IE110)+7)</f>
        <v>42922</v>
      </c>
      <c r="IG110" s="494"/>
      <c r="IH110" s="505">
        <f>$IH$1*HH110</f>
        <v>0</v>
      </c>
      <c r="II110" s="206">
        <f ca="1">DATE(YEAR(IF110),MONTH(IF110),DAY(IF110)+21)</f>
        <v>42943</v>
      </c>
      <c r="IJ110" s="497">
        <f ca="1">IF(AND(HY110&gt;0,II110&gt;0),II110-HY110,"0")</f>
        <v>43</v>
      </c>
      <c r="IK110" s="206">
        <f ca="1">DATE(YEAR(II110),MONTH(II110),DAY(II110)+30)</f>
        <v>42973</v>
      </c>
      <c r="IL110" s="206">
        <f ca="1">IF(IK110&lt;TODAY(),TODAY(),IK110)</f>
        <v>42973</v>
      </c>
      <c r="IM110" s="497"/>
      <c r="IN110" s="206"/>
      <c r="IO110" s="481"/>
      <c r="IP110" s="497"/>
      <c r="IQ110" s="506"/>
      <c r="IR110" s="490"/>
      <c r="IS110" s="491"/>
      <c r="IT110" s="206">
        <f>IN110</f>
        <v>0</v>
      </c>
      <c r="IU110" s="498" t="str">
        <f>IF(AND(IN110&gt;0,IT110&gt;0),IT110-IN110,"0")</f>
        <v>0</v>
      </c>
      <c r="IV110" s="206">
        <f>DATE(YEAR(IT110),MONTH(IT110),DAY(IT110)+30)</f>
        <v>30</v>
      </c>
      <c r="IW110" s="206">
        <f ca="1">IF(IV110&lt;TODAY(),TODAY(),IV110)</f>
        <v>42789</v>
      </c>
      <c r="IX110" s="498">
        <f ca="1">IF(AND(IV110&gt;0,IW110&gt;0),IW110-IV110,"0")</f>
        <v>42759</v>
      </c>
      <c r="IY110" s="206">
        <f>DATE(YEAR(IV110),MONTH(IV110),DAY(IV110)+30)</f>
        <v>60</v>
      </c>
      <c r="IZ110" s="482">
        <f ca="1">IF(AND(IW110&gt;0,IY110&gt;0),IY110-IW110,"0")</f>
        <v>-42729</v>
      </c>
      <c r="JA110" s="498">
        <f ca="1">IZ110-30</f>
        <v>-42759</v>
      </c>
      <c r="JB110" s="508" t="str">
        <f>IF(AND(IT110&gt;0,IY110&gt;0),IY110-IT110,"0")</f>
        <v>0</v>
      </c>
      <c r="JC110" s="490"/>
      <c r="JD110" s="505"/>
      <c r="JE110" s="502">
        <f>IY110</f>
        <v>60</v>
      </c>
      <c r="JF110" s="487">
        <f>IF(AND(IY110&gt;0,JE110&gt;0),JE110-IY110,"0")</f>
        <v>0</v>
      </c>
      <c r="JG110" s="502">
        <f>DATE(YEAR(JE110),MONTH(JE110),DAY(JE110)+15)</f>
        <v>75</v>
      </c>
      <c r="JH110" s="502">
        <f ca="1">IF(JG110&lt;TODAY(),TODAY(),JG110)</f>
        <v>42789</v>
      </c>
      <c r="JI110" s="487">
        <f ca="1">IF(AND(JG110&gt;0,JH110&gt;0),JH110-JG110,"0")</f>
        <v>42714</v>
      </c>
      <c r="JJ110" s="502">
        <f ca="1">DATE(YEAR(JH110),MONTH(JH110),DAY(JH110)+45)</f>
        <v>42834</v>
      </c>
      <c r="JK110" s="502">
        <f ca="1">JJ110</f>
        <v>42834</v>
      </c>
      <c r="JL110" s="487">
        <f ca="1">IF(AND(JJ110&gt;0,JK110&gt;0),JK110-JJ110,"0")</f>
        <v>0</v>
      </c>
      <c r="JM110" s="509">
        <f ca="1">IF(AND(JE110&gt;0,JK110&gt;0),JK110-JE110,"0")</f>
        <v>42774</v>
      </c>
      <c r="JN110" s="502">
        <f ca="1">DATE(YEAR(JK110),MONTH(JK110),DAY(JK110)+60)</f>
        <v>42894</v>
      </c>
      <c r="JO110" s="501">
        <f ca="1">IF(AND(JK110&gt;0,JN110&gt;0),JN110-JK110,"0")</f>
        <v>60</v>
      </c>
      <c r="JP110" s="498">
        <f ca="1">JO110-60</f>
        <v>0</v>
      </c>
      <c r="JQ110" s="482">
        <f>291/30</f>
        <v>9.6999999999999993</v>
      </c>
      <c r="JR110" s="504">
        <f ca="1">((+HS110+HU110+IB110+IJ110+IQ110+IU110+JB110+JM110+JF110)/30)-JQ110</f>
        <v>1421.2333333333333</v>
      </c>
      <c r="JS110" s="490"/>
      <c r="JT110" s="491"/>
      <c r="JU110" s="490"/>
      <c r="JV110" s="491"/>
      <c r="JW110" s="586"/>
      <c r="JX110" s="586"/>
      <c r="JY110" s="586"/>
      <c r="JZ110" s="586"/>
    </row>
    <row r="111" spans="1:286" ht="54" hidden="1" customHeight="1" x14ac:dyDescent="0.25">
      <c r="A111" s="552" t="s">
        <v>861</v>
      </c>
      <c r="B111" s="110" t="s">
        <v>38</v>
      </c>
      <c r="C111" s="110" t="s">
        <v>157</v>
      </c>
      <c r="D111" s="110">
        <v>2019</v>
      </c>
      <c r="E111" s="110"/>
      <c r="F111" s="110" t="s">
        <v>834</v>
      </c>
      <c r="G111" s="110"/>
      <c r="H111" s="110"/>
      <c r="I111" s="110"/>
      <c r="J111" s="110"/>
      <c r="K111" s="453" t="s">
        <v>938</v>
      </c>
      <c r="L111" s="309" t="s">
        <v>80</v>
      </c>
      <c r="M111" s="310" t="s">
        <v>937</v>
      </c>
      <c r="N111" s="311">
        <v>37125</v>
      </c>
      <c r="O111" s="379"/>
      <c r="P111" s="379"/>
      <c r="Q111" s="379"/>
      <c r="R111" s="379"/>
      <c r="S111" s="379"/>
      <c r="T111" s="387"/>
      <c r="U111" s="387"/>
      <c r="V111" s="387"/>
      <c r="W111" s="379"/>
      <c r="X111" s="380"/>
      <c r="Y111" s="381"/>
      <c r="Z111" s="380"/>
      <c r="AA111" s="380"/>
      <c r="AB111" s="381"/>
      <c r="AC111" s="110" t="s">
        <v>833</v>
      </c>
      <c r="AD111" s="342">
        <v>18</v>
      </c>
      <c r="AE111" s="121"/>
      <c r="AF111" s="110"/>
      <c r="AG111" s="114"/>
      <c r="AH111" s="152"/>
      <c r="AI111" s="114"/>
      <c r="AJ111" s="135"/>
      <c r="AK111" s="135"/>
      <c r="AL111" s="135"/>
      <c r="AM111" s="135"/>
      <c r="AN111" s="135"/>
      <c r="AO111" s="114"/>
      <c r="AP111" s="133"/>
      <c r="AQ111" s="135"/>
      <c r="AR111" s="114"/>
      <c r="AS111" s="110"/>
      <c r="AT111" s="110"/>
      <c r="AU111" s="110"/>
      <c r="AV111" s="110"/>
      <c r="AW111" s="415"/>
      <c r="AX111" s="110"/>
      <c r="AY111" s="110"/>
      <c r="AZ111" s="464"/>
      <c r="BA111" s="110"/>
      <c r="BB111" s="540"/>
      <c r="BC111" s="540"/>
      <c r="BD111" s="110"/>
      <c r="BE111" s="110"/>
      <c r="BF111" s="110"/>
      <c r="BG111" s="110"/>
      <c r="BH111" s="110"/>
      <c r="BI111" s="110"/>
      <c r="BJ111" s="110"/>
      <c r="BK111" s="110"/>
      <c r="BL111" s="110"/>
      <c r="BM111" s="110"/>
      <c r="BN111" s="196"/>
      <c r="BO111" s="196"/>
      <c r="BP111" s="196"/>
      <c r="BQ111" s="196"/>
      <c r="BR111" s="196"/>
      <c r="BS111" s="196"/>
      <c r="BT111" s="158"/>
      <c r="BU111" s="376"/>
      <c r="BV111" s="160"/>
      <c r="BW111" s="160"/>
      <c r="BX111" s="160"/>
      <c r="BY111" s="160"/>
      <c r="BZ111" s="376"/>
      <c r="CA111" s="160"/>
      <c r="CB111" s="302"/>
      <c r="CC111" s="374"/>
      <c r="CD111" s="302"/>
      <c r="CE111" s="302"/>
      <c r="CF111" s="161"/>
      <c r="CG111" s="336">
        <f>DATE(YEAR(CF111),MONTH(CF111)+24,DAY(CF111))</f>
        <v>731</v>
      </c>
      <c r="CH111" s="336">
        <f>DATE(YEAR(CF111),MONTH(CF111)+36,DAY(CF111))</f>
        <v>1096</v>
      </c>
      <c r="CI111" s="336"/>
      <c r="CJ111" s="302"/>
      <c r="CK111" s="308"/>
      <c r="CL111" s="161"/>
      <c r="CM111" s="371"/>
      <c r="CN111" s="161"/>
      <c r="CO111" s="161"/>
      <c r="CP111" s="162"/>
      <c r="CQ111" s="367"/>
      <c r="CR111" s="162"/>
      <c r="CS111" s="162"/>
      <c r="CT111" s="162"/>
      <c r="CU111" s="367"/>
      <c r="CV111" s="162"/>
      <c r="CW111" s="162"/>
      <c r="CX111" s="162"/>
      <c r="CY111" s="367"/>
      <c r="CZ111" s="162"/>
      <c r="DA111" s="162"/>
      <c r="DB111" s="299"/>
      <c r="DC111" s="299"/>
      <c r="DD111" s="299"/>
      <c r="DE111" s="312"/>
      <c r="DF111" s="312"/>
      <c r="DG111" s="312"/>
      <c r="DH111" s="312"/>
      <c r="DI111" s="312"/>
      <c r="DJ111" s="312"/>
      <c r="DK111" s="293"/>
      <c r="DL111" s="293"/>
      <c r="DM111" s="293"/>
      <c r="DN111" s="293"/>
      <c r="DO111" s="293"/>
      <c r="DP111" s="293"/>
      <c r="DQ111" s="443"/>
      <c r="DR111" s="443"/>
      <c r="DS111" s="443"/>
      <c r="DT111" s="298"/>
      <c r="DU111" s="443"/>
      <c r="DV111" s="443"/>
      <c r="DW111" s="443"/>
      <c r="DX111" s="423"/>
      <c r="DY111" s="423"/>
      <c r="DZ111" s="423"/>
      <c r="EA111" s="434"/>
      <c r="EB111" s="423"/>
      <c r="EC111" s="430"/>
      <c r="ED111" s="430"/>
      <c r="EE111" s="422"/>
      <c r="EF111" s="422"/>
      <c r="EG111" s="423"/>
      <c r="EH111" s="423"/>
      <c r="EI111" s="431"/>
      <c r="EJ111" s="431"/>
      <c r="EK111" s="423"/>
      <c r="EL111" s="423"/>
      <c r="EM111" s="423"/>
      <c r="EN111" s="210"/>
      <c r="EO111" s="210"/>
      <c r="EP111" s="423"/>
      <c r="EQ111" s="423"/>
      <c r="ER111" s="423"/>
      <c r="ES111" s="423"/>
      <c r="ET111" s="423"/>
      <c r="EU111" s="334"/>
      <c r="EV111" s="206"/>
      <c r="EW111" s="206"/>
      <c r="EX111" s="209"/>
      <c r="EY111" s="434"/>
      <c r="EZ111" s="212"/>
      <c r="FA111" s="212"/>
      <c r="FB111" s="212"/>
      <c r="FC111" s="212"/>
      <c r="FD111" s="110"/>
      <c r="FE111" s="110"/>
      <c r="FF111" s="110"/>
      <c r="FG111" s="110"/>
      <c r="FH111" s="110"/>
      <c r="FI111" s="110"/>
      <c r="FJ111" s="110"/>
      <c r="FK111" s="110"/>
      <c r="FL111" s="110"/>
      <c r="FM111" s="110"/>
      <c r="FN111" s="110"/>
      <c r="FO111" s="110"/>
      <c r="FP111" s="199"/>
      <c r="FQ111" s="153"/>
      <c r="FR111" s="124"/>
      <c r="FS111" s="25"/>
      <c r="FT111" s="50"/>
      <c r="FU111" s="50"/>
      <c r="FV111" s="153"/>
      <c r="FW111" s="124"/>
      <c r="FX111" s="25"/>
      <c r="FY111" s="232"/>
      <c r="FZ111" s="232"/>
      <c r="GA111" s="153"/>
      <c r="GB111" s="124"/>
      <c r="GC111" s="98"/>
      <c r="GD111" s="155"/>
      <c r="GE111" s="153"/>
      <c r="GF111" s="124"/>
      <c r="GG111" s="147"/>
      <c r="GH111" s="147"/>
      <c r="GI111" s="73"/>
      <c r="GJ111" s="50"/>
      <c r="GK111" s="124"/>
      <c r="GL111" s="153"/>
      <c r="GM111" s="124"/>
      <c r="GN111" s="124"/>
      <c r="GO111" s="76"/>
      <c r="GP111" s="590"/>
      <c r="GQ111" s="124"/>
      <c r="GR111" s="51"/>
      <c r="GS111" s="50"/>
      <c r="GT111" s="138"/>
      <c r="GU111" s="51"/>
      <c r="GV111" s="150"/>
      <c r="GW111" s="150"/>
      <c r="GX111" s="151"/>
      <c r="GY111" s="151"/>
      <c r="GZ111" s="98">
        <f>(GA111+GL111+GY111)/AD111</f>
        <v>0</v>
      </c>
      <c r="HA111" s="151"/>
      <c r="HB111" s="98">
        <f>(GB111+GM111+GY111+HA111)/AD111</f>
        <v>0</v>
      </c>
      <c r="HC111" s="99"/>
      <c r="HD111" s="151"/>
      <c r="HE111" s="151"/>
      <c r="HF111" s="124"/>
      <c r="HG111" s="77"/>
      <c r="HH111" s="491"/>
      <c r="HI111" s="491"/>
      <c r="HJ111" s="494"/>
      <c r="HK111" s="505">
        <f>$HK$1*HH111</f>
        <v>0</v>
      </c>
      <c r="HL111" s="450">
        <f ca="1">TODAY()</f>
        <v>42789</v>
      </c>
      <c r="HM111" s="464">
        <f ca="1">DATE(YEAR(HL111),MONTH(HL111),DAY(HL111)+21)</f>
        <v>42810</v>
      </c>
      <c r="HN111" s="464">
        <f ca="1">IF(HM111&lt;TODAY(),TODAY(),HM111)</f>
        <v>42810</v>
      </c>
      <c r="HO111" s="497">
        <f ca="1">IF(AND(HM111&gt;0,HN111&gt;0),HN111-HM111,"0")</f>
        <v>0</v>
      </c>
      <c r="HP111" s="464">
        <f ca="1">DATE(YEAR(HL111),MONTH(HL111),DAY(HL111)+21)</f>
        <v>42810</v>
      </c>
      <c r="HQ111" s="481">
        <f ca="1">IF(AND(HN111&gt;0,HP111&gt;0),HP111-HN111,"0")</f>
        <v>0</v>
      </c>
      <c r="HR111" s="497">
        <f ca="1">+HQ111-30</f>
        <v>-30</v>
      </c>
      <c r="HS111" s="506">
        <f ca="1">IF(AND(HL111&gt;0,HP111&gt;0),HP111-HL111,"0")</f>
        <v>21</v>
      </c>
      <c r="HT111" s="450">
        <f ca="1">DATE(YEAR(HP111),MONTH(HP111),DAY(HP111)+30)</f>
        <v>42840</v>
      </c>
      <c r="HU111" s="497">
        <f ca="1">IF(AND(HP111&gt;0,HT111&gt;0),HT111-HP111,"0")</f>
        <v>30</v>
      </c>
      <c r="HV111" s="450">
        <f ca="1">DATE(YEAR(HT111),MONTH(HT111),DAY(HT111)+30)</f>
        <v>42870</v>
      </c>
      <c r="HW111" s="450">
        <f ca="1">IF(HV111&lt;TODAY(),TODAY(),HV111)</f>
        <v>42870</v>
      </c>
      <c r="HX111" s="497">
        <f ca="1">IF(AND(HV111&gt;0,HW111&gt;0),HW111-HV111,"0")</f>
        <v>0</v>
      </c>
      <c r="HY111" s="206">
        <f ca="1">DATE(YEAR(HV111),MONTH(HV111),DAY(HV111)+30)</f>
        <v>42900</v>
      </c>
      <c r="HZ111" s="481">
        <f ca="1">IF(AND(HW111&gt;0,HY111&gt;0),HY111-HW111,"0")</f>
        <v>30</v>
      </c>
      <c r="IA111" s="497">
        <f ca="1">+HZ111-30</f>
        <v>0</v>
      </c>
      <c r="IB111" s="506">
        <f ca="1">IF(AND(HT111&gt;0,HY111&gt;0),HY111-HT111,"0")</f>
        <v>60</v>
      </c>
      <c r="IC111" s="490"/>
      <c r="ID111" s="505">
        <f>$ID$1*HH111</f>
        <v>0</v>
      </c>
      <c r="IE111" s="450">
        <f ca="1">DATE(YEAR(HY111),MONTH(HY111),DAY(HY111)+15)</f>
        <v>42915</v>
      </c>
      <c r="IF111" s="450">
        <f ca="1">DATE(YEAR(IE111),MONTH(IE111),DAY(IE111)+7)</f>
        <v>42922</v>
      </c>
      <c r="IG111" s="494"/>
      <c r="IH111" s="505">
        <f>$IH$1*HH111</f>
        <v>0</v>
      </c>
      <c r="II111" s="206">
        <f ca="1">DATE(YEAR(IF111),MONTH(IF111),DAY(IF111)+21)</f>
        <v>42943</v>
      </c>
      <c r="IJ111" s="497">
        <f ca="1">IF(AND(HY111&gt;0,II111&gt;0),II111-HY111,"0")</f>
        <v>43</v>
      </c>
      <c r="IK111" s="206">
        <f ca="1">DATE(YEAR(II111),MONTH(II111),DAY(II111)+30)</f>
        <v>42973</v>
      </c>
      <c r="IL111" s="206">
        <f ca="1">IF(IK111&lt;TODAY(),TODAY(),IK111)</f>
        <v>42973</v>
      </c>
      <c r="IM111" s="497"/>
      <c r="IN111" s="206"/>
      <c r="IO111" s="481"/>
      <c r="IP111" s="497"/>
      <c r="IQ111" s="506"/>
      <c r="IR111" s="490"/>
      <c r="IS111" s="491"/>
      <c r="IT111" s="206">
        <f>IN111</f>
        <v>0</v>
      </c>
      <c r="IU111" s="498" t="str">
        <f>IF(AND(IN111&gt;0,IT111&gt;0),IT111-IN111,"0")</f>
        <v>0</v>
      </c>
      <c r="IV111" s="206">
        <f>DATE(YEAR(IT111),MONTH(IT111),DAY(IT111)+30)</f>
        <v>30</v>
      </c>
      <c r="IW111" s="206">
        <f ca="1">IF(IV111&lt;TODAY(),TODAY(),IV111)</f>
        <v>42789</v>
      </c>
      <c r="IX111" s="498">
        <f ca="1">IF(AND(IV111&gt;0,IW111&gt;0),IW111-IV111,"0")</f>
        <v>42759</v>
      </c>
      <c r="IY111" s="206">
        <f>DATE(YEAR(IV111),MONTH(IV111),DAY(IV111)+30)</f>
        <v>60</v>
      </c>
      <c r="IZ111" s="482">
        <f ca="1">IF(AND(IW111&gt;0,IY111&gt;0),IY111-IW111,"0")</f>
        <v>-42729</v>
      </c>
      <c r="JA111" s="498">
        <f ca="1">IZ111-30</f>
        <v>-42759</v>
      </c>
      <c r="JB111" s="508" t="str">
        <f>IF(AND(IT111&gt;0,IY111&gt;0),IY111-IT111,"0")</f>
        <v>0</v>
      </c>
      <c r="JC111" s="490"/>
      <c r="JD111" s="505"/>
      <c r="JE111" s="502">
        <f>IY111</f>
        <v>60</v>
      </c>
      <c r="JF111" s="487">
        <f>IF(AND(IY111&gt;0,JE111&gt;0),JE111-IY111,"0")</f>
        <v>0</v>
      </c>
      <c r="JG111" s="502">
        <f>DATE(YEAR(JE111),MONTH(JE111),DAY(JE111)+15)</f>
        <v>75</v>
      </c>
      <c r="JH111" s="502">
        <f ca="1">IF(JG111&lt;TODAY(),TODAY(),JG111)</f>
        <v>42789</v>
      </c>
      <c r="JI111" s="487">
        <f ca="1">IF(AND(JG111&gt;0,JH111&gt;0),JH111-JG111,"0")</f>
        <v>42714</v>
      </c>
      <c r="JJ111" s="502">
        <f ca="1">DATE(YEAR(JH111),MONTH(JH111),DAY(JH111)+45)</f>
        <v>42834</v>
      </c>
      <c r="JK111" s="502">
        <f ca="1">JJ111</f>
        <v>42834</v>
      </c>
      <c r="JL111" s="487">
        <f ca="1">IF(AND(JJ111&gt;0,JK111&gt;0),JK111-JJ111,"0")</f>
        <v>0</v>
      </c>
      <c r="JM111" s="509">
        <f ca="1">IF(AND(JE111&gt;0,JK111&gt;0),JK111-JE111,"0")</f>
        <v>42774</v>
      </c>
      <c r="JN111" s="502">
        <f ca="1">DATE(YEAR(JK111),MONTH(JK111),DAY(JK111)+60)</f>
        <v>42894</v>
      </c>
      <c r="JO111" s="501">
        <f ca="1">IF(AND(JK111&gt;0,JN111&gt;0),JN111-JK111,"0")</f>
        <v>60</v>
      </c>
      <c r="JP111" s="498">
        <f ca="1">JO111-60</f>
        <v>0</v>
      </c>
      <c r="JQ111" s="482">
        <f>291/30</f>
        <v>9.6999999999999993</v>
      </c>
      <c r="JR111" s="504">
        <f ca="1">((+HS111+HU111+IB111+IJ111+IQ111+IU111+JB111+JM111+JF111)/30)-JQ111</f>
        <v>1421.2333333333333</v>
      </c>
      <c r="JS111" s="490"/>
      <c r="JT111" s="491"/>
      <c r="JU111" s="490"/>
      <c r="JV111" s="491"/>
      <c r="JW111" s="586"/>
      <c r="JX111" s="586"/>
      <c r="JY111" s="586"/>
      <c r="JZ111" s="586"/>
    </row>
    <row r="112" spans="1:286" ht="39.950000000000003" hidden="1" customHeight="1" x14ac:dyDescent="0.25">
      <c r="A112" s="552" t="s">
        <v>860</v>
      </c>
      <c r="B112" s="110" t="s">
        <v>38</v>
      </c>
      <c r="C112" s="110" t="s">
        <v>157</v>
      </c>
      <c r="D112" s="110">
        <v>2019</v>
      </c>
      <c r="E112" s="110"/>
      <c r="F112" s="110" t="s">
        <v>834</v>
      </c>
      <c r="G112" s="110"/>
      <c r="H112" s="110"/>
      <c r="I112" s="110"/>
      <c r="J112" s="110" t="s">
        <v>932</v>
      </c>
      <c r="K112" s="453" t="s">
        <v>933</v>
      </c>
      <c r="L112" s="309" t="s">
        <v>80</v>
      </c>
      <c r="M112" s="310" t="s">
        <v>931</v>
      </c>
      <c r="N112" s="311">
        <v>35396</v>
      </c>
      <c r="O112" s="379"/>
      <c r="P112" s="379"/>
      <c r="Q112" s="379"/>
      <c r="R112" s="379"/>
      <c r="S112" s="379"/>
      <c r="T112" s="387"/>
      <c r="U112" s="387"/>
      <c r="V112" s="387"/>
      <c r="W112" s="379"/>
      <c r="X112" s="380"/>
      <c r="Y112" s="381"/>
      <c r="Z112" s="380"/>
      <c r="AA112" s="380"/>
      <c r="AB112" s="381"/>
      <c r="AC112" s="110" t="s">
        <v>833</v>
      </c>
      <c r="AD112" s="342">
        <v>26</v>
      </c>
      <c r="AE112" s="121"/>
      <c r="AF112" s="110"/>
      <c r="AG112" s="114"/>
      <c r="AH112" s="152"/>
      <c r="AI112" s="114"/>
      <c r="AJ112" s="135"/>
      <c r="AK112" s="135"/>
      <c r="AL112" s="135"/>
      <c r="AM112" s="135"/>
      <c r="AN112" s="135"/>
      <c r="AO112" s="114"/>
      <c r="AP112" s="133"/>
      <c r="AQ112" s="135"/>
      <c r="AR112" s="114"/>
      <c r="AS112" s="110"/>
      <c r="AT112" s="110"/>
      <c r="AU112" s="110"/>
      <c r="AV112" s="110"/>
      <c r="AW112" s="415"/>
      <c r="AX112" s="110"/>
      <c r="AY112" s="110"/>
      <c r="AZ112" s="464"/>
      <c r="BA112" s="110"/>
      <c r="BB112" s="540"/>
      <c r="BC112" s="540"/>
      <c r="BD112" s="110"/>
      <c r="BE112" s="110"/>
      <c r="BF112" s="110"/>
      <c r="BG112" s="110"/>
      <c r="BH112" s="110"/>
      <c r="BI112" s="110"/>
      <c r="BJ112" s="110"/>
      <c r="BK112" s="110"/>
      <c r="BL112" s="110"/>
      <c r="BM112" s="110"/>
      <c r="BN112" s="196"/>
      <c r="BO112" s="196"/>
      <c r="BP112" s="196"/>
      <c r="BQ112" s="196"/>
      <c r="BR112" s="196"/>
      <c r="BS112" s="196"/>
      <c r="BT112" s="158"/>
      <c r="BU112" s="376"/>
      <c r="BV112" s="160"/>
      <c r="BW112" s="160"/>
      <c r="BX112" s="160"/>
      <c r="BY112" s="160"/>
      <c r="BZ112" s="376"/>
      <c r="CA112" s="160"/>
      <c r="CB112" s="302"/>
      <c r="CC112" s="374"/>
      <c r="CD112" s="302"/>
      <c r="CE112" s="302"/>
      <c r="CF112" s="161"/>
      <c r="CG112" s="336">
        <f>DATE(YEAR(CF112),MONTH(CF112)+24,DAY(CF112))</f>
        <v>731</v>
      </c>
      <c r="CH112" s="336">
        <f>DATE(YEAR(CF112),MONTH(CF112)+36,DAY(CF112))</f>
        <v>1096</v>
      </c>
      <c r="CI112" s="336"/>
      <c r="CJ112" s="302"/>
      <c r="CK112" s="308"/>
      <c r="CL112" s="161"/>
      <c r="CM112" s="371"/>
      <c r="CN112" s="161"/>
      <c r="CO112" s="161"/>
      <c r="CP112" s="162"/>
      <c r="CQ112" s="367"/>
      <c r="CR112" s="162"/>
      <c r="CS112" s="162"/>
      <c r="CT112" s="162"/>
      <c r="CU112" s="367"/>
      <c r="CV112" s="162"/>
      <c r="CW112" s="162"/>
      <c r="CX112" s="162"/>
      <c r="CY112" s="367"/>
      <c r="CZ112" s="162"/>
      <c r="DA112" s="162"/>
      <c r="DB112" s="299"/>
      <c r="DC112" s="299"/>
      <c r="DD112" s="299"/>
      <c r="DE112" s="312"/>
      <c r="DF112" s="312"/>
      <c r="DG112" s="312"/>
      <c r="DH112" s="312"/>
      <c r="DI112" s="312"/>
      <c r="DJ112" s="312"/>
      <c r="DK112" s="293"/>
      <c r="DL112" s="293"/>
      <c r="DM112" s="293"/>
      <c r="DN112" s="293"/>
      <c r="DO112" s="293"/>
      <c r="DP112" s="293"/>
      <c r="DQ112" s="443"/>
      <c r="DR112" s="443"/>
      <c r="DS112" s="443"/>
      <c r="DT112" s="298"/>
      <c r="DU112" s="443"/>
      <c r="DV112" s="443"/>
      <c r="DW112" s="443"/>
      <c r="DX112" s="423"/>
      <c r="DY112" s="423"/>
      <c r="DZ112" s="423"/>
      <c r="EA112" s="434"/>
      <c r="EB112" s="423"/>
      <c r="EC112" s="430"/>
      <c r="ED112" s="430"/>
      <c r="EE112" s="422"/>
      <c r="EF112" s="422"/>
      <c r="EG112" s="423"/>
      <c r="EH112" s="423"/>
      <c r="EI112" s="431"/>
      <c r="EJ112" s="431"/>
      <c r="EK112" s="423"/>
      <c r="EL112" s="423"/>
      <c r="EM112" s="423"/>
      <c r="EN112" s="210"/>
      <c r="EO112" s="210"/>
      <c r="EP112" s="423"/>
      <c r="EQ112" s="423"/>
      <c r="ER112" s="423"/>
      <c r="ES112" s="423"/>
      <c r="ET112" s="423"/>
      <c r="EU112" s="334"/>
      <c r="EV112" s="206"/>
      <c r="EW112" s="206"/>
      <c r="EX112" s="209"/>
      <c r="EY112" s="434"/>
      <c r="EZ112" s="212"/>
      <c r="FA112" s="212"/>
      <c r="FB112" s="212"/>
      <c r="FC112" s="212"/>
      <c r="FD112" s="110"/>
      <c r="FE112" s="110"/>
      <c r="FF112" s="110"/>
      <c r="FG112" s="110"/>
      <c r="FH112" s="110"/>
      <c r="FI112" s="110"/>
      <c r="FJ112" s="110"/>
      <c r="FK112" s="110"/>
      <c r="FL112" s="110"/>
      <c r="FM112" s="110"/>
      <c r="FN112" s="110"/>
      <c r="FO112" s="110"/>
      <c r="FP112" s="199"/>
      <c r="FQ112" s="153"/>
      <c r="FR112" s="124"/>
      <c r="FS112" s="154"/>
      <c r="FT112" s="98"/>
      <c r="FU112" s="98"/>
      <c r="FV112" s="153"/>
      <c r="FW112" s="124"/>
      <c r="FX112" s="154"/>
      <c r="FY112" s="232"/>
      <c r="FZ112" s="232"/>
      <c r="GA112" s="153"/>
      <c r="GB112" s="124"/>
      <c r="GC112" s="98"/>
      <c r="GD112" s="155"/>
      <c r="GE112" s="153"/>
      <c r="GF112" s="124"/>
      <c r="GG112" s="147"/>
      <c r="GH112" s="147"/>
      <c r="GI112" s="155"/>
      <c r="GJ112" s="98"/>
      <c r="GK112" s="124"/>
      <c r="GL112" s="153"/>
      <c r="GM112" s="124"/>
      <c r="GN112" s="124"/>
      <c r="GO112" s="148"/>
      <c r="GP112" s="590"/>
      <c r="GQ112" s="124"/>
      <c r="GR112" s="149"/>
      <c r="GS112" s="98"/>
      <c r="GT112" s="138"/>
      <c r="GU112" s="149"/>
      <c r="GV112" s="150"/>
      <c r="GW112" s="150"/>
      <c r="GX112" s="151"/>
      <c r="GY112" s="151"/>
      <c r="GZ112" s="98">
        <f>(GA112+GL112+GY112)/AD112</f>
        <v>0</v>
      </c>
      <c r="HA112" s="151"/>
      <c r="HB112" s="98">
        <f>(GB112+GM112+GY112+HA112)/AD112</f>
        <v>0</v>
      </c>
      <c r="HC112" s="99"/>
      <c r="HD112" s="151"/>
      <c r="HE112" s="151"/>
      <c r="HF112" s="124"/>
      <c r="HG112" s="156"/>
      <c r="HH112" s="491"/>
      <c r="HI112" s="491"/>
      <c r="HJ112" s="494"/>
      <c r="HK112" s="505">
        <f>$HK$1*HH112</f>
        <v>0</v>
      </c>
      <c r="HL112" s="450">
        <f ca="1">TODAY()</f>
        <v>42789</v>
      </c>
      <c r="HM112" s="464">
        <f ca="1">DATE(YEAR(HL112),MONTH(HL112),DAY(HL112)+21)</f>
        <v>42810</v>
      </c>
      <c r="HN112" s="464">
        <f ca="1">IF(HM112&lt;TODAY(),TODAY(),HM112)</f>
        <v>42810</v>
      </c>
      <c r="HO112" s="497">
        <f ca="1">IF(AND(HM112&gt;0,HN112&gt;0),HN112-HM112,"0")</f>
        <v>0</v>
      </c>
      <c r="HP112" s="464">
        <f ca="1">DATE(YEAR(HL112),MONTH(HL112),DAY(HL112)+21)</f>
        <v>42810</v>
      </c>
      <c r="HQ112" s="481">
        <f ca="1">IF(AND(HN112&gt;0,HP112&gt;0),HP112-HN112,"0")</f>
        <v>0</v>
      </c>
      <c r="HR112" s="497">
        <f ca="1">+HQ112-30</f>
        <v>-30</v>
      </c>
      <c r="HS112" s="506">
        <f ca="1">IF(AND(HL112&gt;0,HP112&gt;0),HP112-HL112,"0")</f>
        <v>21</v>
      </c>
      <c r="HT112" s="450">
        <f ca="1">DATE(YEAR(HP112),MONTH(HP112),DAY(HP112)+30)</f>
        <v>42840</v>
      </c>
      <c r="HU112" s="497">
        <f ca="1">IF(AND(HP112&gt;0,HT112&gt;0),HT112-HP112,"0")</f>
        <v>30</v>
      </c>
      <c r="HV112" s="450">
        <f ca="1">DATE(YEAR(HT112),MONTH(HT112),DAY(HT112)+30)</f>
        <v>42870</v>
      </c>
      <c r="HW112" s="450">
        <f ca="1">IF(HV112&lt;TODAY(),TODAY(),HV112)</f>
        <v>42870</v>
      </c>
      <c r="HX112" s="497">
        <f ca="1">IF(AND(HV112&gt;0,HW112&gt;0),HW112-HV112,"0")</f>
        <v>0</v>
      </c>
      <c r="HY112" s="206">
        <f ca="1">DATE(YEAR(HV112),MONTH(HV112),DAY(HV112)+30)</f>
        <v>42900</v>
      </c>
      <c r="HZ112" s="481">
        <f ca="1">IF(AND(HW112&gt;0,HY112&gt;0),HY112-HW112,"0")</f>
        <v>30</v>
      </c>
      <c r="IA112" s="497">
        <f ca="1">+HZ112-30</f>
        <v>0</v>
      </c>
      <c r="IB112" s="506">
        <f ca="1">IF(AND(HT112&gt;0,HY112&gt;0),HY112-HT112,"0")</f>
        <v>60</v>
      </c>
      <c r="IC112" s="490"/>
      <c r="ID112" s="505">
        <f>$ID$1*HH112</f>
        <v>0</v>
      </c>
      <c r="IE112" s="450">
        <f ca="1">DATE(YEAR(HY112),MONTH(HY112),DAY(HY112)+15)</f>
        <v>42915</v>
      </c>
      <c r="IF112" s="450">
        <f ca="1">DATE(YEAR(IE112),MONTH(IE112),DAY(IE112)+7)</f>
        <v>42922</v>
      </c>
      <c r="IG112" s="494"/>
      <c r="IH112" s="505">
        <f>$IH$1*HH112</f>
        <v>0</v>
      </c>
      <c r="II112" s="206">
        <f ca="1">DATE(YEAR(IF112),MONTH(IF112),DAY(IF112)+21)</f>
        <v>42943</v>
      </c>
      <c r="IJ112" s="497">
        <f ca="1">IF(AND(HY112&gt;0,II112&gt;0),II112-HY112,"0")</f>
        <v>43</v>
      </c>
      <c r="IK112" s="206">
        <f ca="1">DATE(YEAR(II112),MONTH(II112),DAY(II112)+30)</f>
        <v>42973</v>
      </c>
      <c r="IL112" s="206">
        <f ca="1">IF(IK112&lt;TODAY(),TODAY(),IK112)</f>
        <v>42973</v>
      </c>
      <c r="IM112" s="497"/>
      <c r="IN112" s="206"/>
      <c r="IO112" s="481"/>
      <c r="IP112" s="497"/>
      <c r="IQ112" s="506"/>
      <c r="IR112" s="490"/>
      <c r="IS112" s="491"/>
      <c r="IT112" s="206">
        <f>IN112</f>
        <v>0</v>
      </c>
      <c r="IU112" s="498" t="str">
        <f>IF(AND(IN112&gt;0,IT112&gt;0),IT112-IN112,"0")</f>
        <v>0</v>
      </c>
      <c r="IV112" s="206">
        <f>DATE(YEAR(IT112),MONTH(IT112),DAY(IT112)+30)</f>
        <v>30</v>
      </c>
      <c r="IW112" s="206">
        <f ca="1">IF(IV112&lt;TODAY(),TODAY(),IV112)</f>
        <v>42789</v>
      </c>
      <c r="IX112" s="498">
        <f ca="1">IF(AND(IV112&gt;0,IW112&gt;0),IW112-IV112,"0")</f>
        <v>42759</v>
      </c>
      <c r="IY112" s="206">
        <f>DATE(YEAR(IV112),MONTH(IV112),DAY(IV112)+30)</f>
        <v>60</v>
      </c>
      <c r="IZ112" s="482">
        <f ca="1">IF(AND(IW112&gt;0,IY112&gt;0),IY112-IW112,"0")</f>
        <v>-42729</v>
      </c>
      <c r="JA112" s="498">
        <f ca="1">IZ112-30</f>
        <v>-42759</v>
      </c>
      <c r="JB112" s="508" t="str">
        <f>IF(AND(IT112&gt;0,IY112&gt;0),IY112-IT112,"0")</f>
        <v>0</v>
      </c>
      <c r="JC112" s="490"/>
      <c r="JD112" s="505"/>
      <c r="JE112" s="502">
        <f>IY112</f>
        <v>60</v>
      </c>
      <c r="JF112" s="487">
        <f>IF(AND(IY112&gt;0,JE112&gt;0),JE112-IY112,"0")</f>
        <v>0</v>
      </c>
      <c r="JG112" s="502">
        <f>DATE(YEAR(JE112),MONTH(JE112),DAY(JE112)+15)</f>
        <v>75</v>
      </c>
      <c r="JH112" s="502">
        <f ca="1">IF(JG112&lt;TODAY(),TODAY(),JG112)</f>
        <v>42789</v>
      </c>
      <c r="JI112" s="487">
        <f ca="1">IF(AND(JG112&gt;0,JH112&gt;0),JH112-JG112,"0")</f>
        <v>42714</v>
      </c>
      <c r="JJ112" s="502">
        <f ca="1">DATE(YEAR(JH112),MONTH(JH112),DAY(JH112)+45)</f>
        <v>42834</v>
      </c>
      <c r="JK112" s="502">
        <f ca="1">JJ112</f>
        <v>42834</v>
      </c>
      <c r="JL112" s="487">
        <f ca="1">IF(AND(JJ112&gt;0,JK112&gt;0),JK112-JJ112,"0")</f>
        <v>0</v>
      </c>
      <c r="JM112" s="509">
        <f ca="1">IF(AND(JE112&gt;0,JK112&gt;0),JK112-JE112,"0")</f>
        <v>42774</v>
      </c>
      <c r="JN112" s="502">
        <f ca="1">DATE(YEAR(JK112),MONTH(JK112),DAY(JK112)+60)</f>
        <v>42894</v>
      </c>
      <c r="JO112" s="501">
        <f ca="1">IF(AND(JK112&gt;0,JN112&gt;0),JN112-JK112,"0")</f>
        <v>60</v>
      </c>
      <c r="JP112" s="498">
        <f ca="1">JO112-60</f>
        <v>0</v>
      </c>
      <c r="JQ112" s="482">
        <f>291/30</f>
        <v>9.6999999999999993</v>
      </c>
      <c r="JR112" s="504">
        <f ca="1">((+HS112+HU112+IB112+IJ112+IQ112+IU112+JB112+JM112+JF112)/30)-JQ112</f>
        <v>1421.2333333333333</v>
      </c>
      <c r="JS112" s="490"/>
      <c r="JT112" s="491"/>
      <c r="JU112" s="490"/>
      <c r="JV112" s="491"/>
      <c r="JW112" s="586"/>
      <c r="JX112" s="586"/>
      <c r="JY112" s="586"/>
      <c r="JZ112" s="586"/>
    </row>
    <row r="113" spans="1:286" ht="39.950000000000003" hidden="1" customHeight="1" x14ac:dyDescent="0.25">
      <c r="A113" s="552" t="s">
        <v>859</v>
      </c>
      <c r="B113" s="110" t="s">
        <v>46</v>
      </c>
      <c r="C113" s="110" t="s">
        <v>157</v>
      </c>
      <c r="D113" s="110">
        <v>2019</v>
      </c>
      <c r="E113" s="110"/>
      <c r="F113" s="110" t="s">
        <v>834</v>
      </c>
      <c r="G113" s="110"/>
      <c r="H113" s="110"/>
      <c r="I113" s="110"/>
      <c r="J113" s="110" t="s">
        <v>370</v>
      </c>
      <c r="K113" s="453" t="s">
        <v>934</v>
      </c>
      <c r="L113" s="309"/>
      <c r="M113" s="310"/>
      <c r="N113" s="311"/>
      <c r="O113" s="379"/>
      <c r="P113" s="379"/>
      <c r="Q113" s="379"/>
      <c r="R113" s="379"/>
      <c r="S113" s="379"/>
      <c r="T113" s="387"/>
      <c r="U113" s="387"/>
      <c r="V113" s="387"/>
      <c r="W113" s="379"/>
      <c r="X113" s="380"/>
      <c r="Y113" s="381"/>
      <c r="Z113" s="380"/>
      <c r="AA113" s="380"/>
      <c r="AB113" s="381"/>
      <c r="AC113" s="110" t="s">
        <v>833</v>
      </c>
      <c r="AD113" s="342">
        <v>83</v>
      </c>
      <c r="AE113" s="121"/>
      <c r="AF113" s="110"/>
      <c r="AG113" s="114"/>
      <c r="AH113" s="152"/>
      <c r="AI113" s="114"/>
      <c r="AJ113" s="135"/>
      <c r="AK113" s="135"/>
      <c r="AL113" s="135"/>
      <c r="AM113" s="135"/>
      <c r="AN113" s="135"/>
      <c r="AO113" s="114"/>
      <c r="AP113" s="133"/>
      <c r="AQ113" s="135"/>
      <c r="AR113" s="114"/>
      <c r="AS113" s="110"/>
      <c r="AT113" s="110"/>
      <c r="AU113" s="110"/>
      <c r="AV113" s="110"/>
      <c r="AW113" s="415"/>
      <c r="AX113" s="110"/>
      <c r="AY113" s="110"/>
      <c r="AZ113" s="464"/>
      <c r="BA113" s="110"/>
      <c r="BB113" s="540"/>
      <c r="BC113" s="540"/>
      <c r="BD113" s="110"/>
      <c r="BE113" s="110"/>
      <c r="BF113" s="110"/>
      <c r="BG113" s="110"/>
      <c r="BH113" s="110"/>
      <c r="BI113" s="110"/>
      <c r="BJ113" s="110"/>
      <c r="BK113" s="110"/>
      <c r="BL113" s="110"/>
      <c r="BM113" s="110"/>
      <c r="BN113" s="196"/>
      <c r="BO113" s="196"/>
      <c r="BP113" s="196"/>
      <c r="BQ113" s="196"/>
      <c r="BR113" s="196"/>
      <c r="BS113" s="196"/>
      <c r="BT113" s="158"/>
      <c r="BU113" s="376"/>
      <c r="BV113" s="160"/>
      <c r="BW113" s="160"/>
      <c r="BX113" s="160"/>
      <c r="BY113" s="160"/>
      <c r="BZ113" s="376"/>
      <c r="CA113" s="160"/>
      <c r="CB113" s="302"/>
      <c r="CC113" s="374"/>
      <c r="CD113" s="302"/>
      <c r="CE113" s="302"/>
      <c r="CF113" s="161"/>
      <c r="CG113" s="336">
        <f>DATE(YEAR(CF113),MONTH(CF113)+24,DAY(CF113))</f>
        <v>731</v>
      </c>
      <c r="CH113" s="336">
        <f>DATE(YEAR(CF113),MONTH(CF113)+36,DAY(CF113))</f>
        <v>1096</v>
      </c>
      <c r="CI113" s="336"/>
      <c r="CJ113" s="302"/>
      <c r="CK113" s="308"/>
      <c r="CL113" s="161"/>
      <c r="CM113" s="371"/>
      <c r="CN113" s="161"/>
      <c r="CO113" s="161"/>
      <c r="CP113" s="162"/>
      <c r="CQ113" s="367"/>
      <c r="CR113" s="162"/>
      <c r="CS113" s="162"/>
      <c r="CT113" s="162"/>
      <c r="CU113" s="367"/>
      <c r="CV113" s="162"/>
      <c r="CW113" s="162"/>
      <c r="CX113" s="162"/>
      <c r="CY113" s="367"/>
      <c r="CZ113" s="162"/>
      <c r="DA113" s="162"/>
      <c r="DB113" s="299"/>
      <c r="DC113" s="299"/>
      <c r="DD113" s="299"/>
      <c r="DE113" s="312"/>
      <c r="DF113" s="312"/>
      <c r="DG113" s="312"/>
      <c r="DH113" s="312"/>
      <c r="DI113" s="312"/>
      <c r="DJ113" s="312"/>
      <c r="DK113" s="293"/>
      <c r="DL113" s="293"/>
      <c r="DM113" s="293"/>
      <c r="DN113" s="293"/>
      <c r="DO113" s="293"/>
      <c r="DP113" s="293"/>
      <c r="DQ113" s="443"/>
      <c r="DR113" s="443"/>
      <c r="DS113" s="443"/>
      <c r="DT113" s="298"/>
      <c r="DU113" s="443"/>
      <c r="DV113" s="443"/>
      <c r="DW113" s="443"/>
      <c r="DX113" s="423"/>
      <c r="DY113" s="423"/>
      <c r="DZ113" s="423"/>
      <c r="EA113" s="434"/>
      <c r="EB113" s="423"/>
      <c r="EC113" s="430"/>
      <c r="ED113" s="430"/>
      <c r="EE113" s="422"/>
      <c r="EF113" s="422"/>
      <c r="EG113" s="423"/>
      <c r="EH113" s="423"/>
      <c r="EI113" s="431"/>
      <c r="EJ113" s="431"/>
      <c r="EK113" s="423"/>
      <c r="EL113" s="423"/>
      <c r="EM113" s="423"/>
      <c r="EN113" s="210"/>
      <c r="EO113" s="210"/>
      <c r="EP113" s="423"/>
      <c r="EQ113" s="423"/>
      <c r="ER113" s="423"/>
      <c r="ES113" s="423"/>
      <c r="ET113" s="423"/>
      <c r="EU113" s="334"/>
      <c r="EV113" s="206"/>
      <c r="EW113" s="206"/>
      <c r="EX113" s="209"/>
      <c r="EY113" s="434"/>
      <c r="EZ113" s="212"/>
      <c r="FA113" s="212"/>
      <c r="FB113" s="212"/>
      <c r="FC113" s="212"/>
      <c r="FD113" s="110"/>
      <c r="FE113" s="110"/>
      <c r="FF113" s="110"/>
      <c r="FG113" s="110"/>
      <c r="FH113" s="110"/>
      <c r="FI113" s="110"/>
      <c r="FJ113" s="110"/>
      <c r="FK113" s="110"/>
      <c r="FL113" s="110"/>
      <c r="FM113" s="110"/>
      <c r="FN113" s="110"/>
      <c r="FO113" s="110"/>
      <c r="FP113" s="199"/>
      <c r="FQ113" s="153"/>
      <c r="FR113" s="124"/>
      <c r="FS113" s="154"/>
      <c r="FT113" s="98"/>
      <c r="FU113" s="98"/>
      <c r="FV113" s="153"/>
      <c r="FW113" s="124"/>
      <c r="FX113" s="154"/>
      <c r="FY113" s="232"/>
      <c r="FZ113" s="232"/>
      <c r="GA113" s="153"/>
      <c r="GB113" s="124"/>
      <c r="GC113" s="98"/>
      <c r="GD113" s="155"/>
      <c r="GE113" s="153"/>
      <c r="GF113" s="124"/>
      <c r="GG113" s="147"/>
      <c r="GH113" s="147"/>
      <c r="GI113" s="155"/>
      <c r="GJ113" s="98"/>
      <c r="GK113" s="124"/>
      <c r="GL113" s="153"/>
      <c r="GM113" s="124"/>
      <c r="GN113" s="124"/>
      <c r="GO113" s="148"/>
      <c r="GP113" s="590"/>
      <c r="GQ113" s="124"/>
      <c r="GR113" s="149"/>
      <c r="GS113" s="50"/>
      <c r="GT113" s="138"/>
      <c r="GU113" s="149"/>
      <c r="GV113" s="150"/>
      <c r="GW113" s="150"/>
      <c r="GX113" s="151"/>
      <c r="GY113" s="151"/>
      <c r="GZ113" s="98">
        <f>(GA113+GL113+GY113)/AD113</f>
        <v>0</v>
      </c>
      <c r="HA113" s="151"/>
      <c r="HB113" s="98">
        <f>(GB113+GM113+GY113+HA113)/AD113</f>
        <v>0</v>
      </c>
      <c r="HC113" s="99"/>
      <c r="HD113" s="151"/>
      <c r="HE113" s="151"/>
      <c r="HF113" s="124"/>
      <c r="HG113" s="77"/>
      <c r="HH113" s="491"/>
      <c r="HI113" s="491"/>
      <c r="HJ113" s="494"/>
      <c r="HK113" s="505">
        <f>$HK$1*HH113</f>
        <v>0</v>
      </c>
      <c r="HL113" s="450">
        <f ca="1">TODAY()</f>
        <v>42789</v>
      </c>
      <c r="HM113" s="464">
        <f ca="1">DATE(YEAR(HL113),MONTH(HL113),DAY(HL113)+21)</f>
        <v>42810</v>
      </c>
      <c r="HN113" s="464">
        <f ca="1">IF(HM113&lt;TODAY(),TODAY(),HM113)</f>
        <v>42810</v>
      </c>
      <c r="HO113" s="497">
        <f ca="1">IF(AND(HM113&gt;0,HN113&gt;0),HN113-HM113,"0")</f>
        <v>0</v>
      </c>
      <c r="HP113" s="464">
        <f ca="1">DATE(YEAR(HL113),MONTH(HL113),DAY(HL113)+21)</f>
        <v>42810</v>
      </c>
      <c r="HQ113" s="481">
        <f ca="1">IF(AND(HN113&gt;0,HP113&gt;0),HP113-HN113,"0")</f>
        <v>0</v>
      </c>
      <c r="HR113" s="497">
        <f ca="1">+HQ113-30</f>
        <v>-30</v>
      </c>
      <c r="HS113" s="506">
        <f ca="1">IF(AND(HL113&gt;0,HP113&gt;0),HP113-HL113,"0")</f>
        <v>21</v>
      </c>
      <c r="HT113" s="450">
        <f ca="1">DATE(YEAR(HP113),MONTH(HP113),DAY(HP113)+30)</f>
        <v>42840</v>
      </c>
      <c r="HU113" s="497">
        <f ca="1">IF(AND(HP113&gt;0,HT113&gt;0),HT113-HP113,"0")</f>
        <v>30</v>
      </c>
      <c r="HV113" s="450">
        <f ca="1">DATE(YEAR(HT113),MONTH(HT113),DAY(HT113)+30)</f>
        <v>42870</v>
      </c>
      <c r="HW113" s="450">
        <f ca="1">IF(HV113&lt;TODAY(),TODAY(),HV113)</f>
        <v>42870</v>
      </c>
      <c r="HX113" s="497">
        <f ca="1">IF(AND(HV113&gt;0,HW113&gt;0),HW113-HV113,"0")</f>
        <v>0</v>
      </c>
      <c r="HY113" s="206">
        <f ca="1">DATE(YEAR(HV113),MONTH(HV113),DAY(HV113)+30)</f>
        <v>42900</v>
      </c>
      <c r="HZ113" s="481">
        <f ca="1">IF(AND(HW113&gt;0,HY113&gt;0),HY113-HW113,"0")</f>
        <v>30</v>
      </c>
      <c r="IA113" s="497">
        <f ca="1">+HZ113-30</f>
        <v>0</v>
      </c>
      <c r="IB113" s="506">
        <f ca="1">IF(AND(HT113&gt;0,HY113&gt;0),HY113-HT113,"0")</f>
        <v>60</v>
      </c>
      <c r="IC113" s="490"/>
      <c r="ID113" s="505">
        <f>$ID$1*HH113</f>
        <v>0</v>
      </c>
      <c r="IE113" s="450">
        <f ca="1">DATE(YEAR(HY113),MONTH(HY113),DAY(HY113)+15)</f>
        <v>42915</v>
      </c>
      <c r="IF113" s="450">
        <f ca="1">DATE(YEAR(IE113),MONTH(IE113),DAY(IE113)+7)</f>
        <v>42922</v>
      </c>
      <c r="IG113" s="494"/>
      <c r="IH113" s="505">
        <f>$IH$1*HH113</f>
        <v>0</v>
      </c>
      <c r="II113" s="206">
        <f ca="1">DATE(YEAR(IF113),MONTH(IF113),DAY(IF113)+21)</f>
        <v>42943</v>
      </c>
      <c r="IJ113" s="497">
        <f ca="1">IF(AND(HY113&gt;0,II113&gt;0),II113-HY113,"0")</f>
        <v>43</v>
      </c>
      <c r="IK113" s="206">
        <f ca="1">DATE(YEAR(II113),MONTH(II113),DAY(II113)+30)</f>
        <v>42973</v>
      </c>
      <c r="IL113" s="206">
        <f ca="1">IF(IK113&lt;TODAY(),TODAY(),IK113)</f>
        <v>42973</v>
      </c>
      <c r="IM113" s="497"/>
      <c r="IN113" s="206"/>
      <c r="IO113" s="481"/>
      <c r="IP113" s="497"/>
      <c r="IQ113" s="506"/>
      <c r="IR113" s="490"/>
      <c r="IS113" s="491"/>
      <c r="IT113" s="206">
        <f>IN113</f>
        <v>0</v>
      </c>
      <c r="IU113" s="498" t="str">
        <f>IF(AND(IN113&gt;0,IT113&gt;0),IT113-IN113,"0")</f>
        <v>0</v>
      </c>
      <c r="IV113" s="206">
        <f>DATE(YEAR(IT113),MONTH(IT113),DAY(IT113)+30)</f>
        <v>30</v>
      </c>
      <c r="IW113" s="206">
        <f ca="1">IF(IV113&lt;TODAY(),TODAY(),IV113)</f>
        <v>42789</v>
      </c>
      <c r="IX113" s="498">
        <f ca="1">IF(AND(IV113&gt;0,IW113&gt;0),IW113-IV113,"0")</f>
        <v>42759</v>
      </c>
      <c r="IY113" s="206">
        <f>DATE(YEAR(IV113),MONTH(IV113),DAY(IV113)+30)</f>
        <v>60</v>
      </c>
      <c r="IZ113" s="482">
        <f ca="1">IF(AND(IW113&gt;0,IY113&gt;0),IY113-IW113,"0")</f>
        <v>-42729</v>
      </c>
      <c r="JA113" s="498">
        <f ca="1">IZ113-30</f>
        <v>-42759</v>
      </c>
      <c r="JB113" s="508" t="str">
        <f>IF(AND(IT113&gt;0,IY113&gt;0),IY113-IT113,"0")</f>
        <v>0</v>
      </c>
      <c r="JC113" s="490"/>
      <c r="JD113" s="505"/>
      <c r="JE113" s="502">
        <f>IY113</f>
        <v>60</v>
      </c>
      <c r="JF113" s="487">
        <f>IF(AND(IY113&gt;0,JE113&gt;0),JE113-IY113,"0")</f>
        <v>0</v>
      </c>
      <c r="JG113" s="502">
        <f>DATE(YEAR(JE113),MONTH(JE113),DAY(JE113)+15)</f>
        <v>75</v>
      </c>
      <c r="JH113" s="502">
        <f ca="1">IF(JG113&lt;TODAY(),TODAY(),JG113)</f>
        <v>42789</v>
      </c>
      <c r="JI113" s="487">
        <f ca="1">IF(AND(JG113&gt;0,JH113&gt;0),JH113-JG113,"0")</f>
        <v>42714</v>
      </c>
      <c r="JJ113" s="502">
        <f ca="1">DATE(YEAR(JH113),MONTH(JH113),DAY(JH113)+45)</f>
        <v>42834</v>
      </c>
      <c r="JK113" s="502">
        <f ca="1">JJ113</f>
        <v>42834</v>
      </c>
      <c r="JL113" s="487">
        <f ca="1">IF(AND(JJ113&gt;0,JK113&gt;0),JK113-JJ113,"0")</f>
        <v>0</v>
      </c>
      <c r="JM113" s="509">
        <f ca="1">IF(AND(JE113&gt;0,JK113&gt;0),JK113-JE113,"0")</f>
        <v>42774</v>
      </c>
      <c r="JN113" s="502">
        <f ca="1">DATE(YEAR(JK113),MONTH(JK113),DAY(JK113)+60)</f>
        <v>42894</v>
      </c>
      <c r="JO113" s="501">
        <f ca="1">IF(AND(JK113&gt;0,JN113&gt;0),JN113-JK113,"0")</f>
        <v>60</v>
      </c>
      <c r="JP113" s="498">
        <f ca="1">JO113-60</f>
        <v>0</v>
      </c>
      <c r="JQ113" s="482">
        <f>291/30</f>
        <v>9.6999999999999993</v>
      </c>
      <c r="JR113" s="504">
        <f ca="1">((+HS113+HU113+IB113+IJ113+IQ113+IU113+JB113+JM113+JF113)/30)-JQ113</f>
        <v>1421.2333333333333</v>
      </c>
      <c r="JS113" s="490"/>
      <c r="JT113" s="491"/>
      <c r="JU113" s="490"/>
      <c r="JV113" s="491"/>
      <c r="JW113" s="586"/>
      <c r="JX113" s="586"/>
      <c r="JY113" s="586"/>
      <c r="JZ113" s="586"/>
    </row>
    <row r="114" spans="1:286" ht="39.950000000000003" hidden="1" customHeight="1" x14ac:dyDescent="0.25">
      <c r="A114" s="146" t="s">
        <v>954</v>
      </c>
      <c r="B114" s="110" t="s">
        <v>130</v>
      </c>
      <c r="C114" s="110" t="s">
        <v>159</v>
      </c>
      <c r="D114" s="110"/>
      <c r="E114" s="110"/>
      <c r="F114" s="110" t="s">
        <v>199</v>
      </c>
      <c r="G114" s="110"/>
      <c r="H114" s="110"/>
      <c r="I114" s="110"/>
      <c r="J114" s="110"/>
      <c r="K114" s="453" t="s">
        <v>955</v>
      </c>
      <c r="L114" s="309"/>
      <c r="M114" s="310"/>
      <c r="N114" s="311"/>
      <c r="O114" s="379"/>
      <c r="P114" s="379"/>
      <c r="Q114" s="379"/>
      <c r="R114" s="379"/>
      <c r="S114" s="379"/>
      <c r="T114" s="387"/>
      <c r="U114" s="387"/>
      <c r="V114" s="387"/>
      <c r="W114" s="379"/>
      <c r="X114" s="380"/>
      <c r="Y114" s="381"/>
      <c r="Z114" s="380"/>
      <c r="AA114" s="380"/>
      <c r="AB114" s="381"/>
      <c r="AC114" s="111"/>
      <c r="AD114" s="342"/>
      <c r="AE114" s="121"/>
      <c r="AF114" s="110"/>
      <c r="AG114" s="114"/>
      <c r="AH114" s="152"/>
      <c r="AI114" s="114"/>
      <c r="AJ114" s="135"/>
      <c r="AK114" s="135"/>
      <c r="AL114" s="135"/>
      <c r="AM114" s="135"/>
      <c r="AN114" s="135"/>
      <c r="AO114" s="114"/>
      <c r="AP114" s="133"/>
      <c r="AQ114" s="135"/>
      <c r="AR114" s="114"/>
      <c r="AS114" s="110"/>
      <c r="AT114" s="110"/>
      <c r="AU114" s="110"/>
      <c r="AV114" s="110"/>
      <c r="AW114" s="332"/>
      <c r="AX114" s="110"/>
      <c r="AY114" s="110"/>
      <c r="AZ114" s="110"/>
      <c r="BA114" s="110"/>
      <c r="BB114" s="110"/>
      <c r="BC114" s="110"/>
      <c r="BD114" s="110"/>
      <c r="BE114" s="110"/>
      <c r="BF114" s="110"/>
      <c r="BG114" s="110"/>
      <c r="BH114" s="110"/>
      <c r="BI114" s="110"/>
      <c r="BJ114" s="110"/>
      <c r="BK114" s="110"/>
      <c r="BL114" s="110"/>
      <c r="BM114" s="110"/>
      <c r="BN114" s="196"/>
      <c r="BO114" s="196"/>
      <c r="BP114" s="196"/>
      <c r="BQ114" s="196"/>
      <c r="BR114" s="196"/>
      <c r="BS114" s="196"/>
      <c r="BT114" s="158"/>
      <c r="BU114" s="376"/>
      <c r="BV114" s="160"/>
      <c r="BW114" s="160"/>
      <c r="BX114" s="160"/>
      <c r="BY114" s="160"/>
      <c r="BZ114" s="376"/>
      <c r="CA114" s="160"/>
      <c r="CB114" s="302"/>
      <c r="CC114" s="374"/>
      <c r="CD114" s="302"/>
      <c r="CE114" s="302"/>
      <c r="CF114" s="161"/>
      <c r="CG114" s="336">
        <f>DATE(YEAR(CF114),MONTH(CF114)+24,DAY(CF114))</f>
        <v>731</v>
      </c>
      <c r="CH114" s="336">
        <f>DATE(YEAR(CF114),MONTH(CF114)+36,DAY(CF114))</f>
        <v>1096</v>
      </c>
      <c r="CI114" s="336"/>
      <c r="CJ114" s="302"/>
      <c r="CK114" s="308"/>
      <c r="CL114" s="161"/>
      <c r="CM114" s="371"/>
      <c r="CN114" s="161"/>
      <c r="CO114" s="161"/>
      <c r="CP114" s="162"/>
      <c r="CQ114" s="367"/>
      <c r="CR114" s="162"/>
      <c r="CS114" s="162"/>
      <c r="CT114" s="162"/>
      <c r="CU114" s="367"/>
      <c r="CV114" s="162"/>
      <c r="CW114" s="162"/>
      <c r="CX114" s="162"/>
      <c r="CY114" s="367"/>
      <c r="CZ114" s="162"/>
      <c r="DA114" s="162"/>
      <c r="DB114" s="299"/>
      <c r="DC114" s="299"/>
      <c r="DD114" s="299"/>
      <c r="DE114" s="312"/>
      <c r="DF114" s="312"/>
      <c r="DG114" s="312"/>
      <c r="DH114" s="312"/>
      <c r="DI114" s="312"/>
      <c r="DJ114" s="312"/>
      <c r="DK114" s="293"/>
      <c r="DL114" s="293"/>
      <c r="DM114" s="293"/>
      <c r="DN114" s="293"/>
      <c r="DO114" s="293"/>
      <c r="DP114" s="293"/>
      <c r="DQ114" s="443"/>
      <c r="DR114" s="443"/>
      <c r="DS114" s="443"/>
      <c r="DT114" s="298"/>
      <c r="DU114" s="443"/>
      <c r="DV114" s="443"/>
      <c r="DW114" s="443"/>
      <c r="DX114" s="423"/>
      <c r="DY114" s="423"/>
      <c r="DZ114" s="423"/>
      <c r="EA114" s="434"/>
      <c r="EB114" s="423"/>
      <c r="EC114" s="430"/>
      <c r="ED114" s="430"/>
      <c r="EE114" s="422"/>
      <c r="EF114" s="422"/>
      <c r="EG114" s="422"/>
      <c r="EH114" s="422"/>
      <c r="EI114" s="431"/>
      <c r="EJ114" s="431"/>
      <c r="EK114" s="423"/>
      <c r="EL114" s="423"/>
      <c r="EM114" s="423"/>
      <c r="EN114" s="210"/>
      <c r="EO114" s="210"/>
      <c r="EP114" s="423"/>
      <c r="EQ114" s="423"/>
      <c r="ER114" s="423"/>
      <c r="ES114" s="423"/>
      <c r="ET114" s="423"/>
      <c r="EU114" s="210"/>
      <c r="EV114" s="206"/>
      <c r="EW114" s="484"/>
      <c r="EX114" s="209"/>
      <c r="EY114" s="434"/>
      <c r="EZ114" s="212"/>
      <c r="FA114" s="212"/>
      <c r="FB114" s="212"/>
      <c r="FC114" s="212"/>
      <c r="FD114" s="110"/>
      <c r="FE114" s="110"/>
      <c r="FF114" s="110"/>
      <c r="FG114" s="110"/>
      <c r="FH114" s="110"/>
      <c r="FI114" s="110"/>
      <c r="FJ114" s="110"/>
      <c r="FK114" s="110"/>
      <c r="FL114" s="110"/>
      <c r="FM114" s="110"/>
      <c r="FN114" s="110"/>
      <c r="FO114" s="110"/>
      <c r="FP114" s="199"/>
      <c r="FQ114" s="153"/>
      <c r="FR114" s="124"/>
      <c r="FS114" s="154"/>
      <c r="FT114" s="98"/>
      <c r="FU114" s="98"/>
      <c r="FV114" s="153"/>
      <c r="FW114" s="124"/>
      <c r="FX114" s="154"/>
      <c r="FY114" s="232"/>
      <c r="FZ114" s="232"/>
      <c r="GA114" s="153"/>
      <c r="GB114" s="124"/>
      <c r="GC114" s="98"/>
      <c r="GD114" s="155"/>
      <c r="GE114" s="153"/>
      <c r="GF114" s="124"/>
      <c r="GG114" s="147"/>
      <c r="GH114" s="147"/>
      <c r="GI114" s="155"/>
      <c r="GJ114" s="98"/>
      <c r="GK114" s="124"/>
      <c r="GL114" s="153"/>
      <c r="GM114" s="124"/>
      <c r="GN114" s="124"/>
      <c r="GO114" s="148"/>
      <c r="GP114" s="590"/>
      <c r="GQ114" s="124"/>
      <c r="GR114" s="149"/>
      <c r="GS114" s="98"/>
      <c r="GT114" s="138"/>
      <c r="GU114" s="149"/>
      <c r="GV114" s="150"/>
      <c r="GW114" s="150"/>
      <c r="GX114" s="151"/>
      <c r="GY114" s="151"/>
      <c r="GZ114" s="98"/>
      <c r="HA114" s="151"/>
      <c r="HB114" s="98"/>
      <c r="HC114" s="99"/>
      <c r="HD114" s="151"/>
      <c r="HE114" s="151"/>
      <c r="HF114" s="124"/>
      <c r="HG114" s="156"/>
      <c r="HH114" s="491"/>
      <c r="HI114" s="491"/>
      <c r="HJ114" s="494"/>
      <c r="HK114" s="505"/>
      <c r="HL114" s="450"/>
      <c r="HM114" s="464"/>
      <c r="HN114" s="464"/>
      <c r="HO114" s="497"/>
      <c r="HP114" s="464"/>
      <c r="HQ114" s="481"/>
      <c r="HR114" s="497"/>
      <c r="HS114" s="506"/>
      <c r="HT114" s="450"/>
      <c r="HU114" s="497"/>
      <c r="HV114" s="450"/>
      <c r="HW114" s="450"/>
      <c r="HX114" s="497"/>
      <c r="HY114" s="206"/>
      <c r="HZ114" s="481"/>
      <c r="IA114" s="497"/>
      <c r="IB114" s="506"/>
      <c r="IC114" s="490"/>
      <c r="ID114" s="505"/>
      <c r="IE114" s="450"/>
      <c r="IF114" s="450"/>
      <c r="IG114" s="494"/>
      <c r="IH114" s="505"/>
      <c r="II114" s="206"/>
      <c r="IJ114" s="497"/>
      <c r="IK114" s="206"/>
      <c r="IL114" s="478"/>
      <c r="IM114" s="497"/>
      <c r="IN114" s="478"/>
      <c r="IO114" s="481"/>
      <c r="IP114" s="497"/>
      <c r="IQ114" s="506"/>
      <c r="IR114" s="490"/>
      <c r="IS114" s="491"/>
      <c r="IT114" s="206"/>
      <c r="IU114" s="498"/>
      <c r="IV114" s="206"/>
      <c r="IW114" s="206"/>
      <c r="IX114" s="498"/>
      <c r="IY114" s="206"/>
      <c r="IZ114" s="482"/>
      <c r="JA114" s="498"/>
      <c r="JB114" s="508"/>
      <c r="JC114" s="490"/>
      <c r="JD114" s="491"/>
      <c r="JE114" s="502"/>
      <c r="JF114" s="487"/>
      <c r="JG114" s="502"/>
      <c r="JH114" s="502"/>
      <c r="JI114" s="487"/>
      <c r="JJ114" s="502"/>
      <c r="JK114" s="502"/>
      <c r="JL114" s="487"/>
      <c r="JM114" s="509"/>
      <c r="JN114" s="502"/>
      <c r="JO114" s="501"/>
      <c r="JP114" s="498"/>
      <c r="JQ114" s="482"/>
      <c r="JR114" s="504"/>
      <c r="JS114" s="490"/>
      <c r="JT114" s="491"/>
      <c r="JU114" s="490"/>
      <c r="JV114" s="491"/>
      <c r="JW114" s="586"/>
      <c r="JX114" s="586"/>
      <c r="JY114" s="586"/>
      <c r="JZ114" s="586"/>
    </row>
    <row r="115" spans="1:286" ht="39.950000000000003" hidden="1" customHeight="1" x14ac:dyDescent="0.25">
      <c r="A115" s="146" t="s">
        <v>862</v>
      </c>
      <c r="B115" s="110" t="s">
        <v>46</v>
      </c>
      <c r="C115" s="110" t="s">
        <v>157</v>
      </c>
      <c r="D115" s="110"/>
      <c r="E115" s="110"/>
      <c r="F115" s="110"/>
      <c r="G115" s="110"/>
      <c r="H115" s="110"/>
      <c r="I115" s="110"/>
      <c r="J115" s="110" t="s">
        <v>863</v>
      </c>
      <c r="K115" s="453"/>
      <c r="L115" s="309"/>
      <c r="M115" s="310"/>
      <c r="N115" s="311"/>
      <c r="O115" s="379"/>
      <c r="P115" s="379"/>
      <c r="Q115" s="379"/>
      <c r="R115" s="379"/>
      <c r="S115" s="379"/>
      <c r="T115" s="387"/>
      <c r="U115" s="387"/>
      <c r="V115" s="387"/>
      <c r="W115" s="379"/>
      <c r="X115" s="380"/>
      <c r="Y115" s="381"/>
      <c r="Z115" s="380"/>
      <c r="AA115" s="380"/>
      <c r="AB115" s="381"/>
      <c r="AC115" s="110" t="s">
        <v>25</v>
      </c>
      <c r="AD115" s="640">
        <f>(AE115+AF115)</f>
        <v>31</v>
      </c>
      <c r="AE115" s="110">
        <v>31</v>
      </c>
      <c r="AF115" s="121"/>
      <c r="AG115" s="114"/>
      <c r="AH115" s="152"/>
      <c r="AI115" s="114"/>
      <c r="AJ115" s="135"/>
      <c r="AK115" s="135"/>
      <c r="AL115" s="135"/>
      <c r="AM115" s="135"/>
      <c r="AN115" s="135"/>
      <c r="AO115" s="114"/>
      <c r="AP115" s="133"/>
      <c r="AQ115" s="135"/>
      <c r="AR115" s="114"/>
      <c r="AS115" s="110"/>
      <c r="AT115" s="110"/>
      <c r="AU115" s="110"/>
      <c r="AV115" s="110"/>
      <c r="AW115" s="415"/>
      <c r="AX115" s="415">
        <v>42691</v>
      </c>
      <c r="AY115" s="110"/>
      <c r="AZ115" s="464"/>
      <c r="BA115" s="110"/>
      <c r="BB115" s="540"/>
      <c r="BC115" s="540"/>
      <c r="BD115" s="110"/>
      <c r="BE115" s="110"/>
      <c r="BF115" s="110"/>
      <c r="BG115" s="110"/>
      <c r="BH115" s="110"/>
      <c r="BI115" s="110"/>
      <c r="BJ115" s="110"/>
      <c r="BK115" s="110"/>
      <c r="BL115" s="110"/>
      <c r="BM115" s="110"/>
      <c r="BN115" s="196"/>
      <c r="BO115" s="196"/>
      <c r="BP115" s="196"/>
      <c r="BQ115" s="196"/>
      <c r="BR115" s="196"/>
      <c r="BS115" s="196"/>
      <c r="BT115" s="158"/>
      <c r="BU115" s="376"/>
      <c r="BV115" s="160"/>
      <c r="BW115" s="160"/>
      <c r="BX115" s="160"/>
      <c r="BY115" s="160"/>
      <c r="BZ115" s="376"/>
      <c r="CA115" s="160"/>
      <c r="CB115" s="302"/>
      <c r="CC115" s="374"/>
      <c r="CD115" s="302"/>
      <c r="CE115" s="302"/>
      <c r="CF115" s="161"/>
      <c r="CG115" s="336">
        <f>DATE(YEAR(CF115),MONTH(CF115)+24,DAY(CF115))</f>
        <v>731</v>
      </c>
      <c r="CH115" s="336">
        <f>DATE(YEAR(CF115),MONTH(CF115)+36,DAY(CF115))</f>
        <v>1096</v>
      </c>
      <c r="CI115" s="336"/>
      <c r="CJ115" s="302"/>
      <c r="CK115" s="308"/>
      <c r="CL115" s="161"/>
      <c r="CM115" s="371"/>
      <c r="CN115" s="161"/>
      <c r="CO115" s="161"/>
      <c r="CP115" s="162"/>
      <c r="CQ115" s="367"/>
      <c r="CR115" s="162"/>
      <c r="CS115" s="162"/>
      <c r="CT115" s="162"/>
      <c r="CU115" s="367"/>
      <c r="CV115" s="162"/>
      <c r="CW115" s="162"/>
      <c r="CX115" s="162"/>
      <c r="CY115" s="367"/>
      <c r="CZ115" s="162"/>
      <c r="DA115" s="162"/>
      <c r="DB115" s="299"/>
      <c r="DC115" s="299"/>
      <c r="DD115" s="299"/>
      <c r="DE115" s="312"/>
      <c r="DF115" s="312"/>
      <c r="DG115" s="312"/>
      <c r="DH115" s="312"/>
      <c r="DI115" s="312"/>
      <c r="DJ115" s="312"/>
      <c r="DK115" s="293"/>
      <c r="DL115" s="293"/>
      <c r="DM115" s="293"/>
      <c r="DN115" s="293"/>
      <c r="DO115" s="293"/>
      <c r="DP115" s="293"/>
      <c r="DQ115" s="304"/>
      <c r="DR115" s="443"/>
      <c r="DS115" s="443"/>
      <c r="DT115" s="298"/>
      <c r="DU115" s="304"/>
      <c r="DV115" s="443"/>
      <c r="DW115" s="443"/>
      <c r="DX115" s="423"/>
      <c r="DY115" s="423"/>
      <c r="DZ115" s="423"/>
      <c r="EA115" s="434"/>
      <c r="EB115" s="423"/>
      <c r="EC115" s="430"/>
      <c r="ED115" s="430"/>
      <c r="EE115" s="422"/>
      <c r="EF115" s="422"/>
      <c r="EG115" s="423"/>
      <c r="EH115" s="423"/>
      <c r="EI115" s="431"/>
      <c r="EJ115" s="431"/>
      <c r="EK115" s="423"/>
      <c r="EL115" s="423"/>
      <c r="EM115" s="423"/>
      <c r="EN115" s="210"/>
      <c r="EO115" s="210"/>
      <c r="EP115" s="423"/>
      <c r="EQ115" s="423"/>
      <c r="ER115" s="423"/>
      <c r="ES115" s="423"/>
      <c r="ET115" s="423"/>
      <c r="EU115" s="334"/>
      <c r="EV115" s="206"/>
      <c r="EW115" s="206"/>
      <c r="EX115" s="209"/>
      <c r="EY115" s="434"/>
      <c r="EZ115" s="212"/>
      <c r="FA115" s="212"/>
      <c r="FB115" s="212"/>
      <c r="FC115" s="212"/>
      <c r="FD115" s="110"/>
      <c r="FE115" s="110"/>
      <c r="FF115" s="110"/>
      <c r="FG115" s="110"/>
      <c r="FH115" s="110"/>
      <c r="FI115" s="110"/>
      <c r="FJ115" s="110"/>
      <c r="FK115" s="110"/>
      <c r="FL115" s="110"/>
      <c r="FM115" s="110"/>
      <c r="FN115" s="110"/>
      <c r="FO115" s="110"/>
      <c r="FP115" s="199"/>
      <c r="FQ115" s="153">
        <f>+GA115+GE115+GL115+HF115+GQ115</f>
        <v>5493565.2401729496</v>
      </c>
      <c r="FR115" s="124">
        <f>GB115+GF115+GK115+GM115+GQ115</f>
        <v>0</v>
      </c>
      <c r="FS115" s="154">
        <f>FR115-FQ115</f>
        <v>-5493565.2401729496</v>
      </c>
      <c r="FT115" s="50" t="e">
        <f>FQ115/AG115</f>
        <v>#DIV/0!</v>
      </c>
      <c r="FU115" s="50">
        <f>FQ115/AD115</f>
        <v>177211.78194106289</v>
      </c>
      <c r="FV115" s="153"/>
      <c r="FW115" s="124"/>
      <c r="FX115" s="154">
        <f>FW115-FV115</f>
        <v>0</v>
      </c>
      <c r="FY115" s="232" t="e">
        <f>FW115*1.021/FR115</f>
        <v>#DIV/0!</v>
      </c>
      <c r="FZ115" s="234">
        <v>0.4</v>
      </c>
      <c r="GA115" s="153">
        <v>1727458.414456333</v>
      </c>
      <c r="GB115" s="124"/>
      <c r="GC115" s="98">
        <f>GA115/AD115</f>
        <v>55724.464982462356</v>
      </c>
      <c r="GD115" s="155">
        <f>GB115-GA115</f>
        <v>-1727458.414456333</v>
      </c>
      <c r="GE115" s="153">
        <v>3491428.5530569493</v>
      </c>
      <c r="GF115" s="124"/>
      <c r="GG115" s="147"/>
      <c r="GH115" s="147"/>
      <c r="GI115" s="155">
        <f>GF115-GE115</f>
        <v>-3491428.5530569493</v>
      </c>
      <c r="GJ115" s="98">
        <f>GE115/AD115</f>
        <v>112626.72751796611</v>
      </c>
      <c r="GK115" s="124"/>
      <c r="GL115" s="153">
        <v>274678.27265966812</v>
      </c>
      <c r="GM115" s="124"/>
      <c r="GN115" s="124"/>
      <c r="GO115" s="76">
        <f>GL115/FQ115</f>
        <v>5.000000193881754E-2</v>
      </c>
      <c r="GP115" s="590"/>
      <c r="GQ115" s="124"/>
      <c r="GR115" s="149">
        <f>GM115-GL115</f>
        <v>-274678.27265966812</v>
      </c>
      <c r="GS115" s="50">
        <f>GL115/AD115</f>
        <v>8860.589440634456</v>
      </c>
      <c r="GT115" s="138">
        <f>(GA115+GL115)/AD115</f>
        <v>64585.054423096815</v>
      </c>
      <c r="GU115" s="149">
        <f>GR115/AD115</f>
        <v>-8860.589440634456</v>
      </c>
      <c r="GV115" s="150"/>
      <c r="GW115" s="150"/>
      <c r="GX115" s="151"/>
      <c r="GY115" s="151"/>
      <c r="GZ115" s="98">
        <f>(GA115+GL115+GY115)/AD115</f>
        <v>64585.054423096815</v>
      </c>
      <c r="HA115" s="151"/>
      <c r="HB115" s="98">
        <f>(GB115+GM115+GY115+HA115)/AD115</f>
        <v>0</v>
      </c>
      <c r="HC115" s="99">
        <f>(GA115+GL115+GY115+HA115)/(GX115+FQ115-HD115)</f>
        <v>0.36445124424388736</v>
      </c>
      <c r="HD115" s="151"/>
      <c r="HE115" s="151"/>
      <c r="HF115" s="124"/>
      <c r="HG115" s="77">
        <f>FQ115+GX115</f>
        <v>5493565.2401729496</v>
      </c>
      <c r="HH115" s="491"/>
      <c r="HI115" s="491"/>
      <c r="HJ115" s="494"/>
      <c r="HK115" s="511"/>
      <c r="HL115" s="526"/>
      <c r="HM115" s="526"/>
      <c r="HN115" s="526"/>
      <c r="HO115" s="497"/>
      <c r="HP115" s="526"/>
      <c r="HQ115" s="481"/>
      <c r="HR115" s="497"/>
      <c r="HS115" s="506"/>
      <c r="HT115" s="526"/>
      <c r="HU115" s="497"/>
      <c r="HV115" s="450"/>
      <c r="HW115" s="450"/>
      <c r="HX115" s="497"/>
      <c r="HY115" s="206"/>
      <c r="HZ115" s="481"/>
      <c r="IA115" s="497"/>
      <c r="IB115" s="506"/>
      <c r="IC115" s="490"/>
      <c r="ID115" s="505"/>
      <c r="IE115" s="450"/>
      <c r="IF115" s="450"/>
      <c r="IG115" s="494"/>
      <c r="IH115" s="505"/>
      <c r="II115" s="206"/>
      <c r="IJ115" s="497"/>
      <c r="IK115" s="206"/>
      <c r="IL115" s="206"/>
      <c r="IM115" s="497"/>
      <c r="IN115" s="206"/>
      <c r="IO115" s="481"/>
      <c r="IP115" s="497"/>
      <c r="IQ115" s="506"/>
      <c r="IR115" s="490"/>
      <c r="IS115" s="491"/>
      <c r="IT115" s="206"/>
      <c r="IU115" s="498"/>
      <c r="IV115" s="206"/>
      <c r="IW115" s="206"/>
      <c r="IX115" s="498"/>
      <c r="IY115" s="206"/>
      <c r="IZ115" s="482"/>
      <c r="JA115" s="498"/>
      <c r="JB115" s="508"/>
      <c r="JC115" s="490"/>
      <c r="JD115" s="505"/>
      <c r="JE115" s="502"/>
      <c r="JF115" s="487"/>
      <c r="JG115" s="502"/>
      <c r="JH115" s="502"/>
      <c r="JI115" s="487"/>
      <c r="JJ115" s="502"/>
      <c r="JK115" s="502"/>
      <c r="JL115" s="487"/>
      <c r="JM115" s="509"/>
      <c r="JN115" s="502"/>
      <c r="JO115" s="501"/>
      <c r="JP115" s="498"/>
      <c r="JQ115" s="482"/>
      <c r="JR115" s="504"/>
      <c r="JS115" s="490"/>
      <c r="JT115" s="505"/>
      <c r="JU115" s="490"/>
      <c r="JV115" s="505"/>
      <c r="JW115" s="586"/>
      <c r="JX115" s="586"/>
      <c r="JY115" s="586"/>
      <c r="JZ115" s="586"/>
    </row>
    <row r="116" spans="1:286" s="18" customFormat="1" ht="20.100000000000001" hidden="1" customHeight="1" x14ac:dyDescent="0.25">
      <c r="A116" s="614"/>
      <c r="B116" s="236"/>
      <c r="C116" s="236"/>
      <c r="D116" s="236"/>
      <c r="E116" s="236"/>
      <c r="F116" s="236"/>
      <c r="G116" s="236"/>
      <c r="H116" s="236"/>
      <c r="I116" s="236"/>
      <c r="J116" s="236"/>
      <c r="K116" s="622"/>
      <c r="L116" s="348"/>
      <c r="M116" s="348"/>
      <c r="N116" s="348"/>
      <c r="O116" s="236"/>
      <c r="P116" s="236"/>
      <c r="Q116" s="236"/>
      <c r="R116" s="236"/>
      <c r="S116" s="236"/>
      <c r="T116" s="237"/>
      <c r="U116" s="236"/>
      <c r="V116" s="118"/>
      <c r="W116" s="236"/>
      <c r="X116" s="236"/>
      <c r="Y116" s="236"/>
      <c r="Z116" s="236"/>
      <c r="AA116" s="236"/>
      <c r="AB116" s="236"/>
      <c r="AC116" s="236"/>
      <c r="AD116" s="656">
        <f>SUM(AD2:AD115)</f>
        <v>3883</v>
      </c>
      <c r="AE116" s="32">
        <f>SUM(AE2:AE115)</f>
        <v>645</v>
      </c>
      <c r="AF116" s="32">
        <f>SUM(AF2:AF115)</f>
        <v>2636</v>
      </c>
      <c r="AG116" s="236"/>
      <c r="AH116" s="236"/>
      <c r="AI116" s="236"/>
      <c r="AJ116" s="236"/>
      <c r="AK116" s="236"/>
      <c r="AL116" s="236"/>
      <c r="AM116" s="236"/>
      <c r="AN116" s="236"/>
      <c r="AO116" s="236"/>
      <c r="AP116" s="238"/>
      <c r="AQ116" s="137"/>
      <c r="AR116" s="236"/>
      <c r="AS116" s="236"/>
      <c r="AT116" s="236"/>
      <c r="AU116" s="236"/>
      <c r="AV116" s="236"/>
      <c r="AW116" s="236"/>
      <c r="AX116" s="236"/>
      <c r="AY116" s="236"/>
      <c r="AZ116" s="236"/>
      <c r="BA116" s="236"/>
      <c r="BB116" s="236"/>
      <c r="BC116" s="236"/>
      <c r="BD116" s="236"/>
      <c r="BE116" s="236"/>
      <c r="BF116" s="236"/>
      <c r="BG116" s="236"/>
      <c r="BH116" s="236"/>
      <c r="BI116" s="236"/>
      <c r="BJ116" s="236"/>
      <c r="BK116" s="236"/>
      <c r="BL116" s="236"/>
      <c r="BM116" s="236"/>
      <c r="BN116" s="314"/>
      <c r="BO116" s="314"/>
      <c r="BP116" s="314"/>
      <c r="BQ116" s="314"/>
      <c r="BR116" s="314"/>
      <c r="BS116" s="314"/>
      <c r="BT116" s="9"/>
      <c r="BU116" s="9"/>
      <c r="BV116" s="9"/>
      <c r="BW116" s="9"/>
      <c r="BX116" s="315"/>
      <c r="BY116" s="315"/>
      <c r="BZ116" s="315"/>
      <c r="CA116" s="315"/>
      <c r="CB116" s="316"/>
      <c r="CC116" s="316"/>
      <c r="CD116" s="316"/>
      <c r="CE116" s="316"/>
      <c r="CF116" s="316"/>
      <c r="CG116" s="316"/>
      <c r="CH116" s="316"/>
      <c r="CI116" s="316"/>
      <c r="CJ116" s="316"/>
      <c r="CK116" s="316"/>
      <c r="CL116" s="317"/>
      <c r="CM116" s="317"/>
      <c r="CN116" s="317"/>
      <c r="CO116" s="317"/>
      <c r="CP116" s="318"/>
      <c r="CQ116" s="318"/>
      <c r="CR116" s="318"/>
      <c r="CS116" s="318"/>
      <c r="CT116" s="318"/>
      <c r="CU116" s="318"/>
      <c r="CV116" s="318"/>
      <c r="CW116" s="318"/>
      <c r="CX116" s="318"/>
      <c r="CY116" s="318"/>
      <c r="CZ116" s="318"/>
      <c r="DA116" s="318"/>
      <c r="DB116" s="319"/>
      <c r="DC116" s="319"/>
      <c r="DD116" s="319"/>
      <c r="DE116" s="320"/>
      <c r="DF116" s="320"/>
      <c r="DG116" s="320"/>
      <c r="DH116" s="320"/>
      <c r="DI116" s="320"/>
      <c r="DJ116" s="320"/>
      <c r="DK116" s="320"/>
      <c r="DL116" s="320"/>
      <c r="DM116" s="320"/>
      <c r="DN116" s="320"/>
      <c r="DO116" s="320"/>
      <c r="DP116" s="320"/>
      <c r="DQ116" s="395"/>
      <c r="DR116" s="395"/>
      <c r="DS116" s="395"/>
      <c r="DT116" s="320"/>
      <c r="DU116" s="320"/>
      <c r="DV116" s="320"/>
      <c r="DW116" s="320"/>
      <c r="DX116" s="236"/>
      <c r="DY116" s="236"/>
      <c r="DZ116" s="236"/>
      <c r="EA116" s="236"/>
      <c r="EB116" s="236"/>
      <c r="EC116" s="403"/>
      <c r="ED116" s="403"/>
      <c r="EE116" s="236"/>
      <c r="EF116" s="236"/>
      <c r="EG116" s="236"/>
      <c r="EH116" s="236"/>
      <c r="EI116" s="236"/>
      <c r="EJ116" s="236"/>
      <c r="EK116" s="236"/>
      <c r="EL116" s="236"/>
      <c r="EM116" s="236"/>
      <c r="EN116" s="236"/>
      <c r="EO116" s="236"/>
      <c r="EP116" s="236"/>
      <c r="EQ116" s="236"/>
      <c r="ER116" s="236"/>
      <c r="ES116" s="236"/>
      <c r="ET116" s="236"/>
      <c r="EU116" s="236"/>
      <c r="EV116" s="236"/>
      <c r="EW116" s="236"/>
      <c r="EX116" s="236"/>
      <c r="EY116" s="236"/>
      <c r="EZ116" s="236"/>
      <c r="FA116" s="236"/>
      <c r="FB116" s="236"/>
      <c r="FC116" s="236"/>
      <c r="FD116" s="236"/>
      <c r="FE116" s="236"/>
      <c r="FF116" s="236"/>
      <c r="FG116" s="236"/>
      <c r="FH116" s="236"/>
      <c r="FI116" s="236"/>
      <c r="FJ116" s="236"/>
      <c r="FK116" s="236"/>
      <c r="FL116" s="236"/>
      <c r="FM116" s="236"/>
      <c r="FN116" s="236"/>
      <c r="FO116" s="236"/>
      <c r="FP116" s="320"/>
      <c r="FQ116" s="239">
        <f>SUM(Bdgt)</f>
        <v>407960240.36947131</v>
      </c>
      <c r="FR116" s="239">
        <f>SUM(FR2:FR115)</f>
        <v>307957410.15534365</v>
      </c>
      <c r="FS116" s="240" t="e">
        <f>SUM(FS12:FV115)</f>
        <v>#DIV/0!</v>
      </c>
      <c r="FT116" s="239"/>
      <c r="FU116" s="239"/>
      <c r="FV116" s="239">
        <f>SUM(FV2:FV115)</f>
        <v>240266343.14076233</v>
      </c>
      <c r="FW116" s="239">
        <f>SUM(FW2:FW115)</f>
        <v>159369868.26197568</v>
      </c>
      <c r="FX116" s="239"/>
      <c r="FY116" s="239"/>
      <c r="FZ116" s="239"/>
      <c r="GA116" s="239">
        <f>SUM(GA2:GA115)</f>
        <v>116769483.65465672</v>
      </c>
      <c r="GB116" s="239">
        <f>SUM(GB2:GB115)</f>
        <v>86306262.834052816</v>
      </c>
      <c r="GC116" s="239"/>
      <c r="GD116" s="239">
        <f>SUM(GD12:GD115)</f>
        <v>-25037312.336389285</v>
      </c>
      <c r="GE116" s="239">
        <f>SUM(GE12:GE115)</f>
        <v>232455866.2211794</v>
      </c>
      <c r="GF116" s="239">
        <f>SUM(GF12:GF115)</f>
        <v>160012810.64098361</v>
      </c>
      <c r="GG116" s="239">
        <f>SUM(GG12:GG115)</f>
        <v>26747569.950917769</v>
      </c>
      <c r="GH116" s="239">
        <f>SUM(GH12:GH115)</f>
        <v>107692228.04499999</v>
      </c>
      <c r="GI116" s="239">
        <f>SUM(GI12:GI115)</f>
        <v>-66649498.670195736</v>
      </c>
      <c r="GJ116" s="239"/>
      <c r="GK116" s="239"/>
      <c r="GL116" s="239">
        <f>SUM(GL2:GL115)</f>
        <v>50086378.272659667</v>
      </c>
      <c r="GM116" s="239">
        <f>SUM(GM2:GM115)</f>
        <v>33159154</v>
      </c>
      <c r="GN116" s="239"/>
      <c r="GO116" s="239" t="e">
        <f>SUM(GO12:GU115)</f>
        <v>#DIV/0!</v>
      </c>
      <c r="GP116" s="239"/>
      <c r="GQ116" s="239" t="e">
        <f>SUM(GQ12:GX115)</f>
        <v>#DIV/0!</v>
      </c>
      <c r="GR116" s="239" t="e">
        <f>SUM(GR12:GY115)</f>
        <v>#DIV/0!</v>
      </c>
      <c r="GS116" s="239" t="e">
        <f>SUM(GS12:GZ115)</f>
        <v>#DIV/0!</v>
      </c>
      <c r="GT116" s="239"/>
      <c r="GU116" s="239" t="e">
        <f>SUM(GU12:HA115)</f>
        <v>#DIV/0!</v>
      </c>
      <c r="GV116" s="239"/>
      <c r="GW116" s="239"/>
      <c r="GX116" s="239">
        <f>SUM(GX2:GX115)</f>
        <v>27954412.721112013</v>
      </c>
      <c r="GY116" s="239">
        <f>SUM(GY2:GY115)</f>
        <v>13876145.386517435</v>
      </c>
      <c r="GZ116" s="239" t="e">
        <f>SUM(GZ12:HF115)</f>
        <v>#DIV/0!</v>
      </c>
      <c r="HA116" s="239">
        <f>SUM(HA2:HA115)</f>
        <v>4360466.0517225005</v>
      </c>
      <c r="HB116" s="239" t="e">
        <f>SUM(HB2:HB115)</f>
        <v>#DIV/0!</v>
      </c>
      <c r="HC116" s="239"/>
      <c r="HD116" s="241"/>
      <c r="HE116" s="239">
        <f>SUM(HE2:HE115)</f>
        <v>0</v>
      </c>
      <c r="HF116" s="239">
        <f>SUM(HF2:HF115)</f>
        <v>7326928.8703072462</v>
      </c>
      <c r="HG116" s="239">
        <f>SUM(HG2:HG115)</f>
        <v>464894936.62596554</v>
      </c>
      <c r="JN116" s="27"/>
      <c r="JO116" s="27"/>
      <c r="JP116" s="27"/>
      <c r="JQ116" s="27"/>
      <c r="JR116" s="27"/>
    </row>
    <row r="117" spans="1:286" s="18" customFormat="1" ht="14.25" hidden="1" customHeight="1" x14ac:dyDescent="0.25">
      <c r="A117" s="614"/>
      <c r="B117" s="242"/>
      <c r="C117" s="242"/>
      <c r="D117" s="242"/>
      <c r="E117" s="242">
        <f>COUNTA(#REF!)</f>
        <v>1</v>
      </c>
      <c r="F117" s="242"/>
      <c r="G117" s="242"/>
      <c r="H117" s="242"/>
      <c r="I117" s="242"/>
      <c r="J117" s="242"/>
      <c r="K117" s="623"/>
      <c r="L117" s="349"/>
      <c r="M117" s="349"/>
      <c r="N117" s="349"/>
      <c r="O117" s="242"/>
      <c r="P117" s="242"/>
      <c r="Q117" s="242"/>
      <c r="R117" s="242"/>
      <c r="S117" s="242"/>
      <c r="T117" s="241"/>
      <c r="U117" s="242"/>
      <c r="V117" s="242"/>
      <c r="W117" s="242"/>
      <c r="X117" s="242"/>
      <c r="Y117" s="242"/>
      <c r="Z117" s="242"/>
      <c r="AA117" s="242"/>
      <c r="AB117" s="242"/>
      <c r="AC117" s="242"/>
      <c r="AD117" s="242"/>
      <c r="AE117" s="242"/>
      <c r="AF117" s="276"/>
      <c r="AG117" s="242"/>
      <c r="AH117" s="242"/>
      <c r="AI117" s="242"/>
      <c r="AJ117" s="242"/>
      <c r="AK117" s="242"/>
      <c r="AL117" s="242"/>
      <c r="AM117" s="242"/>
      <c r="AN117" s="242"/>
      <c r="AO117" s="242"/>
      <c r="AP117" s="243"/>
      <c r="AQ117" s="167"/>
      <c r="AR117" s="242"/>
      <c r="AS117" s="242"/>
      <c r="AT117" s="242"/>
      <c r="AU117" s="242"/>
      <c r="AV117" s="242"/>
      <c r="AW117" s="242"/>
      <c r="AX117" s="242"/>
      <c r="AY117" s="242"/>
      <c r="AZ117" s="242"/>
      <c r="BA117" s="242"/>
      <c r="BB117" s="242"/>
      <c r="BC117" s="242"/>
      <c r="BD117" s="242"/>
      <c r="BE117" s="242"/>
      <c r="BF117" s="242"/>
      <c r="BG117" s="242"/>
      <c r="BH117" s="242"/>
      <c r="BI117" s="242"/>
      <c r="BJ117" s="242"/>
      <c r="BK117" s="242"/>
      <c r="BL117" s="242"/>
      <c r="BM117" s="242"/>
      <c r="BN117" s="321"/>
      <c r="BO117" s="321"/>
      <c r="BP117" s="321"/>
      <c r="BQ117" s="321"/>
      <c r="BR117" s="321"/>
      <c r="BS117" s="321"/>
      <c r="BT117" s="321"/>
      <c r="BU117" s="321"/>
      <c r="BV117" s="321"/>
      <c r="BW117" s="321"/>
      <c r="BX117" s="321"/>
      <c r="BY117" s="321"/>
      <c r="BZ117" s="321"/>
      <c r="CA117" s="321"/>
      <c r="CB117" s="321"/>
      <c r="CC117" s="321"/>
      <c r="CD117" s="321"/>
      <c r="CE117" s="321"/>
      <c r="CF117" s="321"/>
      <c r="CG117" s="321"/>
      <c r="CH117" s="321"/>
      <c r="CI117" s="321"/>
      <c r="CJ117" s="321"/>
      <c r="CK117" s="321"/>
      <c r="CL117" s="321"/>
      <c r="CM117" s="321"/>
      <c r="CN117" s="321"/>
      <c r="CO117" s="321"/>
      <c r="CP117" s="321"/>
      <c r="CQ117" s="321"/>
      <c r="CR117" s="321"/>
      <c r="CS117" s="321"/>
      <c r="CT117" s="321"/>
      <c r="CU117" s="321"/>
      <c r="CV117" s="321"/>
      <c r="CW117" s="321"/>
      <c r="CX117" s="321"/>
      <c r="CY117" s="321"/>
      <c r="CZ117" s="321"/>
      <c r="DA117" s="321"/>
      <c r="DB117" s="321"/>
      <c r="DC117" s="321"/>
      <c r="DD117" s="321"/>
      <c r="DE117" s="321"/>
      <c r="DF117" s="321"/>
      <c r="DG117" s="321"/>
      <c r="DH117" s="321"/>
      <c r="DI117" s="321"/>
      <c r="DJ117" s="321"/>
      <c r="DK117" s="321"/>
      <c r="DL117" s="321"/>
      <c r="DM117" s="321"/>
      <c r="DN117" s="321"/>
      <c r="DO117" s="321"/>
      <c r="DP117" s="321"/>
      <c r="DQ117" s="396"/>
      <c r="DR117" s="396"/>
      <c r="DS117" s="396"/>
      <c r="DT117" s="321"/>
      <c r="DU117" s="321"/>
      <c r="DV117" s="321"/>
      <c r="DW117" s="321"/>
      <c r="DX117" s="242"/>
      <c r="DY117" s="242"/>
      <c r="DZ117" s="242"/>
      <c r="EA117" s="242"/>
      <c r="EB117" s="242"/>
      <c r="EC117" s="404"/>
      <c r="ED117" s="404"/>
      <c r="EE117" s="242"/>
      <c r="EF117" s="242"/>
      <c r="EG117" s="242"/>
      <c r="EH117" s="242"/>
      <c r="EI117" s="242"/>
      <c r="EJ117" s="242"/>
      <c r="EK117" s="242"/>
      <c r="EL117" s="242"/>
      <c r="EM117" s="242"/>
      <c r="EN117" s="242"/>
      <c r="EO117" s="242"/>
      <c r="EP117" s="242"/>
      <c r="EQ117" s="242"/>
      <c r="ER117" s="242"/>
      <c r="ES117" s="242"/>
      <c r="ET117" s="242"/>
      <c r="EU117" s="242"/>
      <c r="EV117" s="242"/>
      <c r="EW117" s="242"/>
      <c r="EX117" s="242"/>
      <c r="EY117" s="242"/>
      <c r="EZ117" s="242"/>
      <c r="FA117" s="242"/>
      <c r="FB117" s="242"/>
      <c r="FC117" s="242"/>
      <c r="FD117" s="242"/>
      <c r="FE117" s="242"/>
      <c r="FF117" s="242"/>
      <c r="FG117" s="242"/>
      <c r="FH117" s="242"/>
      <c r="FI117" s="242"/>
      <c r="FJ117" s="242"/>
      <c r="FK117" s="242"/>
      <c r="FL117" s="242"/>
      <c r="FM117" s="242"/>
      <c r="FN117" s="242"/>
      <c r="FO117" s="242"/>
      <c r="FP117" s="321"/>
      <c r="FQ117" s="239"/>
      <c r="FR117" s="242"/>
      <c r="FS117" s="241"/>
      <c r="FT117" s="242"/>
      <c r="FU117" s="242"/>
      <c r="FV117" s="242"/>
      <c r="FW117" s="242"/>
      <c r="FX117" s="242"/>
      <c r="FY117" s="242"/>
      <c r="FZ117" s="242"/>
      <c r="GA117" s="242"/>
      <c r="GB117" s="242"/>
      <c r="GC117" s="242"/>
      <c r="GD117" s="242"/>
      <c r="GE117" s="242"/>
      <c r="GF117" s="242"/>
      <c r="GG117" s="242"/>
      <c r="GH117" s="242"/>
      <c r="GI117" s="242"/>
      <c r="GJ117" s="242"/>
      <c r="GK117" s="242"/>
      <c r="GL117" s="242"/>
      <c r="GM117" s="242"/>
      <c r="GN117" s="242"/>
      <c r="GO117" s="242"/>
      <c r="GP117" s="242"/>
      <c r="GQ117" s="242"/>
      <c r="GR117" s="242"/>
      <c r="GS117" s="242"/>
      <c r="GT117" s="242"/>
      <c r="GU117" s="242"/>
      <c r="GV117" s="242"/>
      <c r="GW117" s="242"/>
      <c r="GX117" s="244"/>
      <c r="GY117" s="244"/>
      <c r="GZ117" s="244"/>
      <c r="HA117" s="244"/>
      <c r="HB117" s="244"/>
      <c r="HC117" s="244"/>
      <c r="HD117" s="241"/>
      <c r="HE117" s="244"/>
      <c r="HF117" s="244"/>
      <c r="HG117" s="244"/>
      <c r="JN117" s="27"/>
      <c r="JO117" s="27"/>
      <c r="JP117" s="27"/>
      <c r="JQ117" s="27"/>
      <c r="JR117" s="27"/>
    </row>
    <row r="118" spans="1:286" s="18" customFormat="1" ht="15.6" hidden="1" customHeight="1" x14ac:dyDescent="0.25">
      <c r="A118" s="615"/>
      <c r="E118" s="27"/>
      <c r="F118" s="27"/>
      <c r="G118" s="27"/>
      <c r="H118" s="27"/>
      <c r="I118" s="27"/>
      <c r="J118" s="27"/>
      <c r="K118" s="624"/>
      <c r="L118" s="350"/>
      <c r="M118" s="350"/>
      <c r="N118" s="350"/>
      <c r="T118" s="27"/>
      <c r="AF118" s="276"/>
      <c r="AH118" s="446"/>
      <c r="AJ118" s="245"/>
      <c r="AK118" s="245"/>
      <c r="AL118" s="245"/>
      <c r="AM118" s="245"/>
      <c r="AN118" s="245"/>
      <c r="AP118" s="246"/>
      <c r="AQ118" s="87"/>
      <c r="AT118" s="27"/>
      <c r="BN118" s="322"/>
      <c r="BO118" s="322"/>
      <c r="BP118" s="322"/>
      <c r="BQ118" s="322"/>
      <c r="BR118" s="322"/>
      <c r="BS118" s="323"/>
      <c r="BT118" s="322"/>
      <c r="BU118" s="323"/>
      <c r="BV118" s="323"/>
      <c r="BW118" s="323"/>
      <c r="BX118" s="322"/>
      <c r="BY118" s="322"/>
      <c r="BZ118" s="322"/>
      <c r="CA118" s="322"/>
      <c r="CB118" s="322"/>
      <c r="CC118" s="322"/>
      <c r="CD118" s="322"/>
      <c r="CE118" s="322"/>
      <c r="CF118" s="322"/>
      <c r="CG118" s="322"/>
      <c r="CH118" s="322"/>
      <c r="CI118" s="322"/>
      <c r="CJ118" s="322"/>
      <c r="CK118" s="322"/>
      <c r="CL118" s="322"/>
      <c r="CM118" s="322"/>
      <c r="CN118" s="322"/>
      <c r="CO118" s="322"/>
      <c r="CP118" s="322"/>
      <c r="CQ118" s="322"/>
      <c r="CR118" s="322"/>
      <c r="CS118" s="322"/>
      <c r="CT118" s="322"/>
      <c r="CU118" s="322"/>
      <c r="CV118" s="322"/>
      <c r="CW118" s="322"/>
      <c r="CX118" s="322"/>
      <c r="CY118" s="322"/>
      <c r="CZ118" s="322"/>
      <c r="DA118" s="322"/>
      <c r="DB118" s="322"/>
      <c r="DC118" s="322"/>
      <c r="DD118" s="322"/>
      <c r="DE118" s="322"/>
      <c r="DF118" s="322"/>
      <c r="DG118" s="322"/>
      <c r="DH118" s="322"/>
      <c r="DI118" s="322"/>
      <c r="DJ118" s="322"/>
      <c r="DK118" s="322"/>
      <c r="DL118" s="322"/>
      <c r="DM118" s="322"/>
      <c r="DN118" s="322"/>
      <c r="DO118" s="322"/>
      <c r="DP118" s="322"/>
      <c r="DQ118" s="397"/>
      <c r="DR118" s="397"/>
      <c r="DS118" s="397"/>
      <c r="DT118" s="322"/>
      <c r="DU118" s="322"/>
      <c r="DV118" s="322"/>
      <c r="DW118" s="322"/>
      <c r="EC118" s="405"/>
      <c r="ED118" s="405"/>
      <c r="EX118" s="322"/>
      <c r="FP118" s="322"/>
      <c r="FS118" s="27"/>
      <c r="GF118" s="18" t="s">
        <v>626</v>
      </c>
      <c r="GH118" s="18" t="s">
        <v>237</v>
      </c>
      <c r="HD118" s="27"/>
      <c r="HG118" s="447"/>
      <c r="IQ118" s="507"/>
      <c r="JB118" s="507"/>
      <c r="JM118" s="507"/>
      <c r="JN118" s="27"/>
      <c r="JO118" s="27"/>
      <c r="JP118" s="27"/>
      <c r="JQ118" s="27"/>
      <c r="JR118" s="27"/>
    </row>
    <row r="119" spans="1:286" ht="15.75" thickBot="1" x14ac:dyDescent="0.3">
      <c r="C119" s="247"/>
      <c r="O119" s="247"/>
      <c r="P119" s="247"/>
      <c r="Q119" s="247"/>
      <c r="R119" s="247"/>
      <c r="S119" s="247"/>
      <c r="T119" s="247"/>
      <c r="U119" s="247"/>
      <c r="V119" s="247"/>
      <c r="W119" s="247"/>
      <c r="X119" s="247"/>
      <c r="Y119" s="247"/>
      <c r="Z119" s="247"/>
      <c r="AA119" s="247"/>
      <c r="AB119" s="247"/>
      <c r="FQ119" s="249"/>
      <c r="FT119" s="249"/>
      <c r="FU119" s="249"/>
      <c r="GA119" s="249"/>
      <c r="GL119" s="250"/>
      <c r="GM119" s="250"/>
      <c r="GN119" s="27"/>
      <c r="GO119" s="27"/>
      <c r="GP119" s="27"/>
      <c r="GQ119" s="27"/>
      <c r="GR119" s="27"/>
      <c r="GS119" s="27"/>
      <c r="GT119" s="27"/>
    </row>
    <row r="120" spans="1:286" ht="15.75" thickBot="1" x14ac:dyDescent="0.3">
      <c r="AD120" s="56">
        <f>SUBTOTAL(9,AD2:AD115)</f>
        <v>935</v>
      </c>
      <c r="AE120" s="57">
        <f>SUBTOTAL(9,AE2:AE115)</f>
        <v>84</v>
      </c>
      <c r="AF120" s="57">
        <f>SUBTOTAL(9,AF2:AF115)</f>
        <v>659</v>
      </c>
      <c r="AG120" s="100">
        <f>SUBTOTAL(9,AG24:AG115)</f>
        <v>40342.584999999999</v>
      </c>
      <c r="AH120" s="100">
        <f>SUBTOTAL(9,AH24:AH115)</f>
        <v>6578.1799999999994</v>
      </c>
      <c r="AI120" s="142">
        <f>AH120/AD120</f>
        <v>7.0354866310160418</v>
      </c>
      <c r="DT120" s="400"/>
      <c r="DU120" s="325">
        <f>SUBTOTAL(9,DU25:DU38)</f>
        <v>0</v>
      </c>
      <c r="DV120" s="325"/>
      <c r="DW120" s="325"/>
      <c r="FQ120" s="58">
        <f>SUBTOTAL(9,FQ2:FQ115)</f>
        <v>99964194.461421773</v>
      </c>
      <c r="FR120" s="58">
        <f>SUBTOTAL(9,FR2:FR115)</f>
        <v>24108503</v>
      </c>
      <c r="FS120" s="250">
        <f>SUBTOTAL(9,FS24:FS115)</f>
        <v>-67424756.031421781</v>
      </c>
      <c r="FT120" s="58">
        <f>FR120/AH120</f>
        <v>3664.9199322608993</v>
      </c>
      <c r="FU120" s="58">
        <f>FR120/AD120</f>
        <v>25784.495187165776</v>
      </c>
      <c r="FV120" s="58">
        <f>SUBTOTAL(9,FV2:FV115)</f>
        <v>33485466.024934821</v>
      </c>
      <c r="FW120" s="58">
        <f>SUBTOTAL(9,FW2:FW115)</f>
        <v>12030927.12482</v>
      </c>
      <c r="FX120" s="250">
        <f>FV120-FW120</f>
        <v>21454538.900114819</v>
      </c>
      <c r="FY120" s="250"/>
      <c r="FZ120" s="250"/>
      <c r="GA120" s="58">
        <f>SUBTOTAL(9,GA2:GA115)</f>
        <v>22252649.266938295</v>
      </c>
      <c r="GB120" s="58">
        <f>SUBTOTAL(9,GB2:GB115)</f>
        <v>4495343</v>
      </c>
      <c r="GC120" s="58">
        <f>+GB120/AD120</f>
        <v>4807.853475935829</v>
      </c>
      <c r="GD120" s="250">
        <f>GB120-GA120</f>
        <v>-17757306.266938295</v>
      </c>
      <c r="GE120" s="58">
        <f>SUBTOTAL(9,GE2:GE115)</f>
        <v>63330205.674483493</v>
      </c>
      <c r="GF120" s="58">
        <f>SUBTOTAL(9,GF2:GF115)</f>
        <v>18033257</v>
      </c>
      <c r="GG120" s="100">
        <f>SUBTOTAL(9,GG2:GG115)</f>
        <v>530039</v>
      </c>
      <c r="GH120" s="100">
        <f>SUBTOTAL(9,GH2:GH115)</f>
        <v>1477730</v>
      </c>
      <c r="GI120" s="250">
        <f>SUBTOTAL(9,GI24:GI115)</f>
        <v>-39657686.764483482</v>
      </c>
      <c r="GJ120" s="58">
        <f>GF120/AD120</f>
        <v>19286.905882352941</v>
      </c>
      <c r="GK120" s="250"/>
      <c r="GL120" s="58">
        <f>SUBTOTAL(9,GL2:GL115)</f>
        <v>12011713</v>
      </c>
      <c r="GM120" s="58">
        <f>SUBTOTAL(9,GM2:GM115)</f>
        <v>1450000</v>
      </c>
      <c r="GN120" s="58">
        <f>SUBTOTAL(9,GN2:GN115)</f>
        <v>0</v>
      </c>
      <c r="GO120" s="27"/>
      <c r="GP120" s="58">
        <f>SUBTOTAL(9,GP2:GP115)</f>
        <v>1550000</v>
      </c>
      <c r="GQ120" s="58">
        <f>SUBTOTAL(9,GQ2:GQ115)</f>
        <v>179626.52</v>
      </c>
      <c r="GR120" s="58">
        <f>SUBTOTAL(9,GR2:GR115)</f>
        <v>-10561713</v>
      </c>
      <c r="GS120" s="58">
        <f>+GL120/AD120</f>
        <v>12846.751871657754</v>
      </c>
      <c r="GT120" s="58">
        <f>(GB120+GM120)/AD120</f>
        <v>6358.6556149732623</v>
      </c>
      <c r="GU120" s="59">
        <f>+GM120/AE120</f>
        <v>17261.904761904763</v>
      </c>
      <c r="GV120" s="59"/>
      <c r="GW120" s="59"/>
      <c r="GX120" s="58">
        <f>SUBTOTAL(9,GX2:GX115)</f>
        <v>1967585.2284499998</v>
      </c>
      <c r="GY120" s="58">
        <f>SUBTOTAL(9,GY2:GY115)</f>
        <v>1180000</v>
      </c>
      <c r="GZ120" s="60">
        <f>(GB120+GM120+GY120)/AD120</f>
        <v>7620.6877005347596</v>
      </c>
      <c r="HA120" s="58">
        <f>SUBTOTAL(9,HA2:HA115)</f>
        <v>237556.40000000002</v>
      </c>
      <c r="HB120" s="58">
        <f>(GB120+GM120+GY120+HA120)/AD120</f>
        <v>7874.7587165775403</v>
      </c>
      <c r="HC120" s="61"/>
      <c r="HD120" s="61">
        <f>SUBTOTAL(9,HD2:HD115)</f>
        <v>481467.2524</v>
      </c>
      <c r="HE120" s="58">
        <f>SUBTOTAL(9,HE2:HE115)</f>
        <v>0</v>
      </c>
      <c r="HF120" s="58">
        <f>SUBTOTAL(9,HF2:HF115)</f>
        <v>640000</v>
      </c>
      <c r="HG120" s="27">
        <f>SUBTOTAL(9,HG25:HG38)</f>
        <v>0</v>
      </c>
    </row>
    <row r="121" spans="1:286" x14ac:dyDescent="0.25">
      <c r="T121" s="27">
        <f>4599916/AD120</f>
        <v>4919.6962566844923</v>
      </c>
      <c r="AE121" s="62">
        <f>AE120/$AD$120</f>
        <v>8.9839572192513373E-2</v>
      </c>
      <c r="AF121" s="62">
        <f>AF120/$AD$120</f>
        <v>0.70481283422459895</v>
      </c>
      <c r="ED121" s="406">
        <f>12*30</f>
        <v>360</v>
      </c>
      <c r="GA121" s="62">
        <f>GA120/FQ120</f>
        <v>0.22260619801749162</v>
      </c>
      <c r="GL121" s="62">
        <f>GL120/FQ120</f>
        <v>0.12016015399029265</v>
      </c>
      <c r="GM121" s="250">
        <f>GM120-GM40</f>
        <v>350000</v>
      </c>
      <c r="GN121" s="250"/>
      <c r="GO121" s="27"/>
      <c r="GP121" s="27"/>
      <c r="GQ121" s="27"/>
      <c r="GR121" s="27"/>
      <c r="GS121" s="27"/>
      <c r="GT121" s="27"/>
      <c r="HE121" s="83"/>
    </row>
    <row r="122" spans="1:286" ht="60" x14ac:dyDescent="0.25">
      <c r="AP122" s="27"/>
      <c r="AQ122" s="27"/>
      <c r="BN122" s="27"/>
      <c r="BO122" s="27"/>
      <c r="BP122" s="27"/>
      <c r="BQ122" s="27"/>
      <c r="BR122" s="27"/>
      <c r="BS122" s="27"/>
      <c r="BT122" s="27"/>
      <c r="BU122" s="27"/>
      <c r="BV122" s="27"/>
      <c r="BW122" s="27"/>
      <c r="BX122" s="27"/>
      <c r="BY122" s="27"/>
      <c r="BZ122" s="27"/>
      <c r="CA122" s="27"/>
      <c r="CB122" s="27"/>
      <c r="CC122" s="27"/>
      <c r="CD122" s="27"/>
      <c r="CE122" s="27"/>
      <c r="CF122" s="27"/>
      <c r="CG122" s="27"/>
      <c r="CH122" s="27"/>
      <c r="CI122" s="27"/>
      <c r="CJ122" s="27"/>
      <c r="CK122" s="27"/>
      <c r="CL122" s="27"/>
      <c r="CM122" s="27"/>
      <c r="CN122" s="27"/>
      <c r="CO122" s="27"/>
      <c r="CP122" s="27"/>
      <c r="CQ122" s="27"/>
      <c r="CR122" s="27"/>
      <c r="CS122" s="27"/>
      <c r="CT122" s="27"/>
      <c r="CU122" s="27"/>
      <c r="CV122" s="27"/>
      <c r="CW122" s="27"/>
      <c r="CX122" s="27"/>
      <c r="CY122" s="27"/>
      <c r="CZ122" s="27"/>
      <c r="DA122" s="27"/>
      <c r="DB122" s="27"/>
      <c r="DC122" s="27"/>
      <c r="DD122" s="27"/>
      <c r="DE122" s="27"/>
      <c r="DF122" s="27"/>
      <c r="DG122" s="27"/>
      <c r="DH122" s="27"/>
      <c r="DI122" s="27"/>
      <c r="DJ122" s="27"/>
      <c r="DK122" s="27"/>
      <c r="DL122" s="27"/>
      <c r="DM122" s="27"/>
      <c r="DN122" s="27"/>
      <c r="DO122" s="27"/>
      <c r="DP122" s="27"/>
      <c r="DQ122" s="27"/>
      <c r="DR122" s="27"/>
      <c r="DS122" s="27"/>
      <c r="DT122" s="27"/>
      <c r="DU122" s="27"/>
      <c r="DV122" s="27"/>
      <c r="DW122" s="27"/>
      <c r="EC122" s="27"/>
      <c r="ED122" s="27"/>
      <c r="EX122" s="27"/>
      <c r="FP122" s="27"/>
      <c r="GE122" s="249"/>
      <c r="GM122" s="556">
        <f>5000000-GM120</f>
        <v>3550000</v>
      </c>
      <c r="GN122" s="125"/>
      <c r="GO122" s="127"/>
      <c r="GP122" s="127"/>
      <c r="GQ122" s="27"/>
      <c r="GR122" s="27"/>
      <c r="GS122" s="126"/>
      <c r="GT122" s="126"/>
      <c r="HE122" s="83"/>
      <c r="HH122" s="350" t="s">
        <v>605</v>
      </c>
      <c r="HI122" s="350"/>
    </row>
    <row r="123" spans="1:286" ht="34.15" customHeight="1" x14ac:dyDescent="0.25">
      <c r="A123" s="617"/>
      <c r="B123" s="252"/>
      <c r="AE123" s="62"/>
      <c r="AF123" s="62"/>
      <c r="AW123" s="353" t="s">
        <v>396</v>
      </c>
      <c r="AX123" s="353">
        <f>SUMPRODUCT((Avancement="OS")*Nlgts)</f>
        <v>30</v>
      </c>
      <c r="BE123" s="353" t="s">
        <v>524</v>
      </c>
      <c r="BF123" s="353">
        <f>AX123+AX124</f>
        <v>623</v>
      </c>
      <c r="EN123" s="406"/>
      <c r="EO123" s="406"/>
      <c r="GL123" s="130" t="s">
        <v>555</v>
      </c>
      <c r="GP123" s="131">
        <f>SUBTOTAL(9,GP124:GP125)</f>
        <v>5521553</v>
      </c>
      <c r="GQ123" s="131">
        <f>SUBTOTAL(9,GQ124:GQ125)</f>
        <v>358</v>
      </c>
      <c r="GS123" s="441">
        <f t="shared" ref="GS123:GS130" si="0">GP123/GQ123</f>
        <v>15423.332402234637</v>
      </c>
      <c r="GT123" s="126"/>
      <c r="HE123" s="83"/>
      <c r="HF123" s="250">
        <f>HE120+HF120</f>
        <v>640000</v>
      </c>
    </row>
    <row r="124" spans="1:286" x14ac:dyDescent="0.25">
      <c r="AE124" s="62"/>
      <c r="AF124" s="62"/>
      <c r="AW124" s="353" t="s">
        <v>244</v>
      </c>
      <c r="AX124" s="353">
        <f>SUMPRODUCT((Avancement=AW124)*Nlgts)</f>
        <v>593</v>
      </c>
      <c r="BE124" s="353" t="s">
        <v>243</v>
      </c>
      <c r="BF124" s="353">
        <f>AX125</f>
        <v>174</v>
      </c>
      <c r="EC124" s="406" t="s">
        <v>589</v>
      </c>
      <c r="EN124" s="406"/>
      <c r="EO124" s="406"/>
      <c r="GL124" s="27" t="s">
        <v>553</v>
      </c>
      <c r="GP124" s="250">
        <v>4441553</v>
      </c>
      <c r="GQ124" s="250">
        <v>304</v>
      </c>
      <c r="GS124" s="442">
        <f t="shared" si="0"/>
        <v>14610.371710526315</v>
      </c>
      <c r="GT124" s="27"/>
      <c r="HE124" s="83"/>
    </row>
    <row r="125" spans="1:286" x14ac:dyDescent="0.25">
      <c r="A125" s="618"/>
      <c r="D125" s="254"/>
      <c r="AW125" s="353" t="s">
        <v>243</v>
      </c>
      <c r="AX125" s="353">
        <f>SUMPRODUCT((Avancement=AW125)*Nlgts)</f>
        <v>174</v>
      </c>
      <c r="BF125" s="63">
        <f>SUM(BF122:BF124)</f>
        <v>797</v>
      </c>
      <c r="EC125" s="406" t="s">
        <v>396</v>
      </c>
      <c r="EE125" s="27" t="s">
        <v>590</v>
      </c>
      <c r="FN125" s="323"/>
      <c r="FO125" s="323"/>
      <c r="FP125" s="27"/>
      <c r="GL125" s="27" t="s">
        <v>554</v>
      </c>
      <c r="GP125" s="27">
        <v>1080000</v>
      </c>
      <c r="GQ125" s="440">
        <v>54</v>
      </c>
      <c r="GS125" s="442">
        <f t="shared" si="0"/>
        <v>20000</v>
      </c>
      <c r="GT125" s="27"/>
    </row>
    <row r="126" spans="1:286" ht="26.45" customHeight="1" thickBot="1" x14ac:dyDescent="0.3">
      <c r="O126" s="255"/>
      <c r="P126" s="255" t="s">
        <v>77</v>
      </c>
      <c r="R126" s="254"/>
      <c r="AC126" s="248"/>
      <c r="AD126" s="62"/>
      <c r="AJ126" s="27" t="s">
        <v>18</v>
      </c>
      <c r="AL126" s="256">
        <f>COUNTIF($BN$24:$BN$115,"*INGEPAR*")</f>
        <v>11</v>
      </c>
      <c r="AM126" s="27" t="e">
        <f>SUMPRODUCT((Arrangeur=AJ126)*(Nlgts))</f>
        <v>#N/A</v>
      </c>
      <c r="AP126" s="27"/>
      <c r="AQ126" s="27"/>
      <c r="AW126" s="352" t="s">
        <v>523</v>
      </c>
      <c r="AX126" s="352">
        <f>SUMPRODUCT((Avancement=AW126)*Nlgts)</f>
        <v>191</v>
      </c>
      <c r="CB126" s="324"/>
      <c r="CC126" s="324"/>
      <c r="CD126" s="324"/>
      <c r="CE126" s="324"/>
      <c r="CF126" s="324"/>
      <c r="CG126" s="324"/>
      <c r="CH126" s="324"/>
      <c r="CI126" s="324"/>
      <c r="CJ126" s="324"/>
      <c r="CX126" s="323"/>
      <c r="CY126" s="323"/>
      <c r="CZ126" s="323"/>
      <c r="DA126" s="323"/>
      <c r="EC126" s="531" t="s">
        <v>591</v>
      </c>
      <c r="EE126" s="531" t="s">
        <v>72</v>
      </c>
      <c r="FN126" s="323"/>
      <c r="FO126" s="323"/>
      <c r="FP126" s="27"/>
      <c r="FX126" s="132"/>
      <c r="FY126" s="132"/>
      <c r="FZ126" s="125"/>
      <c r="GA126" s="127"/>
      <c r="GD126" s="126"/>
      <c r="GE126" s="126"/>
      <c r="GL126" s="130" t="s">
        <v>552</v>
      </c>
      <c r="GP126" s="131">
        <f>SUBTOTAL(9,GP127:GP128)</f>
        <v>6045000</v>
      </c>
      <c r="GQ126" s="131">
        <f>SUBTOTAL(9,GQ127:GQ128)</f>
        <v>366</v>
      </c>
      <c r="GS126" s="441">
        <f t="shared" si="0"/>
        <v>16516.39344262295</v>
      </c>
      <c r="GT126" s="441">
        <f>376*GS127</f>
        <v>5925458.1939799329</v>
      </c>
    </row>
    <row r="127" spans="1:286" x14ac:dyDescent="0.25">
      <c r="O127" s="249"/>
      <c r="P127" s="249" t="e">
        <f t="shared" ref="P127:P136" si="1">SUMPRODUCT((Ville=A200)*($GL$4:$GL$115))</f>
        <v>#N/A</v>
      </c>
      <c r="R127" s="254"/>
      <c r="AC127" s="248"/>
      <c r="AD127" s="62"/>
      <c r="AP127" s="27"/>
      <c r="AQ127" s="27"/>
      <c r="AX127" s="63">
        <f>SUM(AX119:AX126)</f>
        <v>988</v>
      </c>
      <c r="CB127" s="324"/>
      <c r="CC127" s="324"/>
      <c r="CD127" s="324"/>
      <c r="CE127" s="324"/>
      <c r="CF127" s="324"/>
      <c r="CG127" s="324"/>
      <c r="CH127" s="324"/>
      <c r="CI127" s="324"/>
      <c r="CJ127" s="324"/>
      <c r="CX127" s="323"/>
      <c r="CY127" s="323"/>
      <c r="CZ127" s="323"/>
      <c r="DA127" s="323"/>
      <c r="EC127" s="531" t="s">
        <v>219</v>
      </c>
      <c r="EE127" s="27" t="s">
        <v>600</v>
      </c>
      <c r="EF127" s="27" t="s">
        <v>178</v>
      </c>
      <c r="FN127" s="323"/>
      <c r="FO127" s="323"/>
      <c r="FP127" s="27"/>
      <c r="FV127" s="249"/>
      <c r="FW127" s="249"/>
      <c r="FX127" s="63"/>
      <c r="FY127" s="63"/>
      <c r="FZ127" s="63"/>
      <c r="GL127" s="27" t="s">
        <v>553</v>
      </c>
      <c r="GP127" s="250">
        <v>4712000</v>
      </c>
      <c r="GQ127" s="27">
        <v>299</v>
      </c>
      <c r="GS127" s="442">
        <f t="shared" si="0"/>
        <v>15759.197324414716</v>
      </c>
      <c r="GT127" s="27"/>
    </row>
    <row r="128" spans="1:286" x14ac:dyDescent="0.25">
      <c r="E128" s="27" t="s">
        <v>237</v>
      </c>
      <c r="O128" s="249"/>
      <c r="P128" s="249" t="e">
        <f t="shared" si="1"/>
        <v>#N/A</v>
      </c>
      <c r="AC128" s="248"/>
      <c r="AD128" s="62"/>
      <c r="AP128" s="27"/>
      <c r="AQ128" s="27"/>
      <c r="CB128" s="324"/>
      <c r="CC128" s="324"/>
      <c r="CD128" s="324"/>
      <c r="CE128" s="324"/>
      <c r="CF128" s="324"/>
      <c r="CG128" s="324"/>
      <c r="CH128" s="324"/>
      <c r="CI128" s="324"/>
      <c r="CJ128" s="324"/>
      <c r="CX128" s="323"/>
      <c r="CY128" s="323"/>
      <c r="CZ128" s="323"/>
      <c r="DA128" s="323"/>
      <c r="EC128" s="406" t="s">
        <v>592</v>
      </c>
      <c r="ED128" s="406" t="s">
        <v>178</v>
      </c>
      <c r="EE128" s="27" t="s">
        <v>381</v>
      </c>
      <c r="EF128" s="27" t="s">
        <v>178</v>
      </c>
      <c r="FN128" s="323"/>
      <c r="FO128" s="323"/>
      <c r="FP128" s="27"/>
      <c r="FX128" s="63"/>
      <c r="FY128" s="63"/>
      <c r="FZ128" s="63"/>
      <c r="GL128" s="27" t="s">
        <v>554</v>
      </c>
      <c r="GP128" s="250">
        <v>1333000</v>
      </c>
      <c r="GQ128" s="27">
        <v>67</v>
      </c>
      <c r="GS128" s="442">
        <f t="shared" si="0"/>
        <v>19895.5223880597</v>
      </c>
      <c r="GT128" s="27"/>
    </row>
    <row r="129" spans="7:214" ht="28.5" customHeight="1" x14ac:dyDescent="0.25">
      <c r="O129" s="249"/>
      <c r="P129" s="249" t="e">
        <f t="shared" si="1"/>
        <v>#N/A</v>
      </c>
      <c r="AC129" s="248"/>
      <c r="AD129" s="62"/>
      <c r="AP129" s="27"/>
      <c r="AQ129" s="27"/>
      <c r="CB129" s="324"/>
      <c r="CC129" s="324"/>
      <c r="CD129" s="324"/>
      <c r="CE129" s="324"/>
      <c r="CF129" s="324"/>
      <c r="CG129" s="324"/>
      <c r="CH129" s="324"/>
      <c r="CI129" s="324"/>
      <c r="CJ129" s="324"/>
      <c r="CX129" s="323"/>
      <c r="CY129" s="323"/>
      <c r="CZ129" s="323"/>
      <c r="DA129" s="323"/>
      <c r="DC129" s="323" t="s">
        <v>293</v>
      </c>
      <c r="EC129" s="406" t="s">
        <v>593</v>
      </c>
      <c r="ED129" s="406" t="s">
        <v>178</v>
      </c>
      <c r="EE129" s="27" t="s">
        <v>601</v>
      </c>
      <c r="FN129" s="323"/>
      <c r="FO129" s="323"/>
      <c r="FP129" s="27"/>
      <c r="FX129" s="249"/>
      <c r="FY129" s="249"/>
      <c r="FZ129" s="249"/>
      <c r="GL129" s="130" t="s">
        <v>913</v>
      </c>
      <c r="GP129" s="131">
        <f>SUBTOTAL(9,GP130:GP131)</f>
        <v>5000000</v>
      </c>
      <c r="GQ129" s="63">
        <f>SUBTOTAL(9,GQ130:GQ131)</f>
        <v>298</v>
      </c>
      <c r="GS129" s="441">
        <f t="shared" si="0"/>
        <v>16778.523489932886</v>
      </c>
      <c r="GT129" s="27"/>
    </row>
    <row r="130" spans="7:214" x14ac:dyDescent="0.25">
      <c r="O130" s="249"/>
      <c r="P130" s="249" t="e">
        <f t="shared" si="1"/>
        <v>#N/A</v>
      </c>
      <c r="Q130" s="249"/>
      <c r="AC130" s="248"/>
      <c r="AD130" s="62"/>
      <c r="AP130" s="27"/>
      <c r="AQ130" s="27"/>
      <c r="CB130" s="324"/>
      <c r="CC130" s="324"/>
      <c r="CD130" s="324"/>
      <c r="CE130" s="324"/>
      <c r="CF130" s="324"/>
      <c r="CG130" s="324"/>
      <c r="CH130" s="324"/>
      <c r="CI130" s="324"/>
      <c r="CJ130" s="324"/>
      <c r="CX130" s="323"/>
      <c r="CY130" s="323"/>
      <c r="CZ130" s="323"/>
      <c r="DA130" s="323"/>
      <c r="EC130" s="406" t="s">
        <v>594</v>
      </c>
      <c r="ED130" s="406" t="s">
        <v>178</v>
      </c>
      <c r="EE130" s="27" t="s">
        <v>602</v>
      </c>
      <c r="EF130" s="27" t="s">
        <v>178</v>
      </c>
      <c r="EN130" s="406"/>
      <c r="EO130" s="406"/>
      <c r="FY130" s="250"/>
      <c r="FZ130" s="250"/>
      <c r="GA130" s="250"/>
      <c r="GL130" s="27" t="s">
        <v>553</v>
      </c>
      <c r="GP130" s="250">
        <v>5000000</v>
      </c>
      <c r="GQ130" s="27">
        <v>298</v>
      </c>
      <c r="GS130" s="442">
        <f t="shared" si="0"/>
        <v>16778.523489932886</v>
      </c>
      <c r="GT130" s="27">
        <v>298</v>
      </c>
    </row>
    <row r="131" spans="7:214" ht="15.75" thickBot="1" x14ac:dyDescent="0.3">
      <c r="O131" s="249"/>
      <c r="P131" s="249" t="e">
        <f t="shared" si="1"/>
        <v>#N/A</v>
      </c>
      <c r="Q131" s="249"/>
      <c r="AC131" s="248"/>
      <c r="AD131" s="62"/>
      <c r="AP131" s="27"/>
      <c r="AQ131" s="27"/>
      <c r="AT131" s="27" t="s">
        <v>16</v>
      </c>
      <c r="AU131" s="27" t="s">
        <v>431</v>
      </c>
      <c r="AV131" s="27" t="s">
        <v>421</v>
      </c>
      <c r="CB131" s="324"/>
      <c r="CC131" s="324"/>
      <c r="CD131" s="324"/>
      <c r="CE131" s="324"/>
      <c r="CF131" s="324"/>
      <c r="CG131" s="324"/>
      <c r="CH131" s="324"/>
      <c r="CI131" s="324"/>
      <c r="CJ131" s="324"/>
      <c r="CX131" s="323"/>
      <c r="CY131" s="323"/>
      <c r="CZ131" s="323"/>
      <c r="DA131" s="323"/>
      <c r="EC131" s="406" t="s">
        <v>595</v>
      </c>
      <c r="ED131" s="406" t="s">
        <v>178</v>
      </c>
      <c r="EE131" s="27" t="s">
        <v>603</v>
      </c>
      <c r="GL131" s="27" t="s">
        <v>554</v>
      </c>
      <c r="GP131" s="27"/>
      <c r="GQ131" s="27"/>
      <c r="GS131" s="27"/>
      <c r="GT131" s="27"/>
    </row>
    <row r="132" spans="7:214" x14ac:dyDescent="0.25">
      <c r="O132" s="249"/>
      <c r="P132" s="249" t="e">
        <f t="shared" si="1"/>
        <v>#N/A</v>
      </c>
      <c r="Q132" s="249"/>
      <c r="AC132" s="248"/>
      <c r="AD132" s="62"/>
      <c r="AP132" s="27"/>
      <c r="AQ132" s="27"/>
      <c r="AT132" s="277" t="s">
        <v>412</v>
      </c>
      <c r="AU132" s="27">
        <f t="shared" ref="AU132:AU139" si="2">SUMPRODUCT((RO=AT132)*Nlgts)</f>
        <v>58</v>
      </c>
      <c r="AV132" s="27" t="e">
        <f>AU132-#REF!</f>
        <v>#REF!</v>
      </c>
      <c r="CB132" s="324"/>
      <c r="CC132" s="324"/>
      <c r="CD132" s="324"/>
      <c r="CE132" s="324"/>
      <c r="CF132" s="324"/>
      <c r="CG132" s="324"/>
      <c r="CH132" s="324"/>
      <c r="CI132" s="324"/>
      <c r="CJ132" s="324"/>
      <c r="CX132" s="323"/>
      <c r="CY132" s="323"/>
      <c r="CZ132" s="323"/>
      <c r="DA132" s="323"/>
      <c r="EC132" s="406" t="s">
        <v>596</v>
      </c>
      <c r="EE132" s="531" t="s">
        <v>604</v>
      </c>
      <c r="GL132" s="589" t="s">
        <v>992</v>
      </c>
      <c r="GM132" s="27"/>
      <c r="GN132" s="27"/>
      <c r="GO132" s="27"/>
      <c r="GP132" s="589"/>
      <c r="GQ132" s="27"/>
      <c r="GS132" s="27"/>
      <c r="GT132" s="27"/>
    </row>
    <row r="133" spans="7:214" x14ac:dyDescent="0.25">
      <c r="O133" s="249"/>
      <c r="P133" s="249" t="e">
        <f t="shared" si="1"/>
        <v>#N/A</v>
      </c>
      <c r="Q133" s="249"/>
      <c r="AC133" s="248"/>
      <c r="AD133" s="62"/>
      <c r="AP133" s="27"/>
      <c r="AQ133" s="27"/>
      <c r="AT133" s="278" t="s">
        <v>199</v>
      </c>
      <c r="AU133" s="27">
        <f t="shared" si="2"/>
        <v>0</v>
      </c>
      <c r="AV133" s="27" t="e">
        <f>AU133-#REF!</f>
        <v>#REF!</v>
      </c>
      <c r="CB133" s="324"/>
      <c r="CC133" s="324"/>
      <c r="CD133" s="324"/>
      <c r="CE133" s="324"/>
      <c r="CF133" s="324"/>
      <c r="CG133" s="324"/>
      <c r="CH133" s="324"/>
      <c r="CI133" s="324"/>
      <c r="CJ133" s="324"/>
      <c r="CX133" s="323"/>
      <c r="CY133" s="323"/>
      <c r="CZ133" s="323"/>
      <c r="DA133" s="323"/>
      <c r="DN133" s="326"/>
      <c r="DO133" s="327"/>
      <c r="DP133" s="327"/>
      <c r="DQ133" s="399"/>
      <c r="DR133" s="399"/>
      <c r="DS133" s="399"/>
      <c r="EC133" s="406" t="s">
        <v>597</v>
      </c>
      <c r="EE133" s="27" t="s">
        <v>64</v>
      </c>
      <c r="EF133" s="27" t="s">
        <v>178</v>
      </c>
      <c r="GL133" s="27" t="s">
        <v>553</v>
      </c>
      <c r="GM133" s="27"/>
      <c r="GN133" s="27"/>
      <c r="GO133" s="27"/>
      <c r="GP133" s="566"/>
      <c r="GQ133" s="27"/>
      <c r="GS133" s="27"/>
      <c r="GT133" s="27" t="s">
        <v>1063</v>
      </c>
      <c r="GY133" s="27" t="s">
        <v>1064</v>
      </c>
    </row>
    <row r="134" spans="7:214" x14ac:dyDescent="0.25">
      <c r="O134" s="249"/>
      <c r="P134" s="249" t="e">
        <f t="shared" si="1"/>
        <v>#N/A</v>
      </c>
      <c r="Q134" s="249"/>
      <c r="AC134" s="248"/>
      <c r="AD134" s="62"/>
      <c r="AP134" s="27"/>
      <c r="AQ134" s="27"/>
      <c r="AT134" s="279" t="s">
        <v>40</v>
      </c>
      <c r="AU134" s="27">
        <f t="shared" si="2"/>
        <v>303</v>
      </c>
      <c r="AV134" s="27" t="e">
        <f>AU134-#REF!</f>
        <v>#REF!</v>
      </c>
      <c r="CB134" s="324"/>
      <c r="CC134" s="324"/>
      <c r="CD134" s="324"/>
      <c r="CE134" s="324"/>
      <c r="CF134" s="324"/>
      <c r="CG134" s="324"/>
      <c r="CH134" s="324"/>
      <c r="CI134" s="324"/>
      <c r="CJ134" s="324"/>
      <c r="CX134" s="323"/>
      <c r="CY134" s="323"/>
      <c r="CZ134" s="323"/>
      <c r="DA134" s="323"/>
      <c r="EC134" s="406" t="s">
        <v>598</v>
      </c>
      <c r="ED134" s="406" t="s">
        <v>178</v>
      </c>
      <c r="EE134" s="27" t="s">
        <v>67</v>
      </c>
      <c r="GC134" s="235"/>
      <c r="GD134" s="235"/>
      <c r="GE134" s="235"/>
      <c r="GF134" s="235"/>
      <c r="GG134" s="85"/>
      <c r="GH134" s="85"/>
      <c r="GI134" s="85"/>
      <c r="GJ134" s="27" t="s">
        <v>993</v>
      </c>
      <c r="GK134" s="235"/>
      <c r="GL134" s="27">
        <f>SUMPRODUCT((Prog=2017)*(Type&lt;&gt;"Rehab")*(Type&lt;&gt;"PLS")*(Nlgts))</f>
        <v>443</v>
      </c>
      <c r="GM134" s="235"/>
      <c r="GN134" s="235"/>
      <c r="GO134" s="235"/>
      <c r="GP134" s="250">
        <f>SUMPRODUCT((Prog=2017)*(Type&lt;&gt;"Rehab")*(Type&lt;&gt;"PLS")*(LBU))</f>
        <v>7789763</v>
      </c>
      <c r="GQ134" s="235"/>
      <c r="GS134" s="442">
        <f>GP134/GL134</f>
        <v>17584.115124153497</v>
      </c>
      <c r="GT134" s="250">
        <f>GP134-GL60-GL61-GL67-GL63</f>
        <v>5955763</v>
      </c>
      <c r="GU134" s="235"/>
      <c r="GV134" s="235"/>
      <c r="GW134" s="235"/>
      <c r="GY134" s="27" t="s">
        <v>1062</v>
      </c>
    </row>
    <row r="135" spans="7:214" x14ac:dyDescent="0.25">
      <c r="O135" s="249"/>
      <c r="P135" s="249" t="e">
        <f t="shared" si="1"/>
        <v>#N/A</v>
      </c>
      <c r="Q135" s="249"/>
      <c r="AC135" s="248"/>
      <c r="AD135" s="62"/>
      <c r="AP135" s="27"/>
      <c r="AQ135" s="27"/>
      <c r="AT135" s="280" t="s">
        <v>48</v>
      </c>
      <c r="AU135" s="27">
        <f t="shared" si="2"/>
        <v>92</v>
      </c>
      <c r="AV135" s="27" t="e">
        <f>AU135-#REF!</f>
        <v>#REF!</v>
      </c>
      <c r="CB135" s="324"/>
      <c r="CC135" s="324"/>
      <c r="CD135" s="324"/>
      <c r="CE135" s="324"/>
      <c r="CF135" s="324"/>
      <c r="CG135" s="324"/>
      <c r="CH135" s="324"/>
      <c r="CI135" s="324"/>
      <c r="CJ135" s="324"/>
      <c r="CX135" s="323"/>
      <c r="CY135" s="323"/>
      <c r="CZ135" s="323"/>
      <c r="DA135" s="323"/>
      <c r="EC135" s="406" t="s">
        <v>599</v>
      </c>
      <c r="EE135" s="27" t="s">
        <v>787</v>
      </c>
      <c r="EF135" s="27" t="s">
        <v>178</v>
      </c>
      <c r="GC135" s="257"/>
      <c r="GD135" s="258"/>
      <c r="GE135" s="258"/>
      <c r="GF135" s="258"/>
      <c r="GJ135" s="235" t="s">
        <v>833</v>
      </c>
      <c r="GK135" s="235"/>
      <c r="GL135" s="27">
        <f>SUMPRODUCT((Prog=2017)*(Type="Rehab")*(Nlgts))</f>
        <v>192</v>
      </c>
      <c r="GM135" s="235"/>
      <c r="GN135" s="235"/>
      <c r="GO135" s="235"/>
      <c r="GP135" s="250">
        <f>SUMPRODUCT((Prog=2017)*(Type="Rehab")*(LBU))</f>
        <v>1221950</v>
      </c>
      <c r="GQ135" s="235"/>
      <c r="GS135" s="442">
        <f>GP135/GL135</f>
        <v>6364.322916666667</v>
      </c>
      <c r="GT135" s="27"/>
      <c r="GU135" s="235"/>
      <c r="GV135" s="235"/>
      <c r="GW135" s="235"/>
    </row>
    <row r="136" spans="7:214" x14ac:dyDescent="0.25">
      <c r="O136" s="249"/>
      <c r="P136" s="249" t="e">
        <f t="shared" si="1"/>
        <v>#N/A</v>
      </c>
      <c r="Q136" s="249"/>
      <c r="AC136" s="248"/>
      <c r="AD136" s="62"/>
      <c r="AP136" s="27"/>
      <c r="AQ136" s="27"/>
      <c r="AT136" s="281" t="s">
        <v>380</v>
      </c>
      <c r="AU136" s="27">
        <f t="shared" si="2"/>
        <v>0</v>
      </c>
      <c r="AV136" s="27" t="e">
        <f>AU136-#REF!</f>
        <v>#REF!</v>
      </c>
      <c r="CB136" s="324"/>
      <c r="CC136" s="324"/>
      <c r="CD136" s="324"/>
      <c r="CE136" s="324"/>
      <c r="CF136" s="324"/>
      <c r="CG136" s="324"/>
      <c r="CH136" s="324"/>
      <c r="CI136" s="324"/>
      <c r="CJ136" s="324"/>
      <c r="CX136" s="323"/>
      <c r="CY136" s="323"/>
      <c r="CZ136" s="323"/>
      <c r="DA136" s="323"/>
      <c r="EC136" s="406" t="s">
        <v>788</v>
      </c>
      <c r="ED136" s="406" t="s">
        <v>178</v>
      </c>
      <c r="GC136" s="259"/>
      <c r="GD136" s="258"/>
      <c r="GE136" s="258"/>
      <c r="GF136" s="258"/>
      <c r="GG136" s="235"/>
      <c r="GH136" s="235"/>
      <c r="GI136" s="235"/>
      <c r="GJ136" s="235" t="s">
        <v>819</v>
      </c>
      <c r="GK136" s="235"/>
      <c r="GL136" s="27">
        <f>SUMPRODUCT((Prog=2017)*(Type="PLS")*(Nlgts))</f>
        <v>300</v>
      </c>
      <c r="GM136" s="235"/>
      <c r="GN136" s="235"/>
      <c r="GO136" s="235"/>
      <c r="GP136" s="250">
        <f>SUMPRODUCT((Prog=2017)*(Type="PLS")*(LBU))</f>
        <v>3000000</v>
      </c>
      <c r="GQ136" s="235"/>
      <c r="GS136" s="442">
        <f>GP136/GL136</f>
        <v>10000</v>
      </c>
      <c r="GT136" s="27"/>
      <c r="GU136" s="235"/>
      <c r="GV136" s="235"/>
      <c r="GW136" s="235"/>
    </row>
    <row r="137" spans="7:214" x14ac:dyDescent="0.25">
      <c r="O137" s="64"/>
      <c r="P137" s="64" t="e">
        <f>SUM(P127:P136)</f>
        <v>#N/A</v>
      </c>
      <c r="Q137" s="64"/>
      <c r="AC137" s="248"/>
      <c r="AD137" s="62"/>
      <c r="AP137" s="27"/>
      <c r="AQ137" s="27"/>
      <c r="AT137" s="282" t="s">
        <v>379</v>
      </c>
      <c r="AU137" s="27">
        <f t="shared" si="2"/>
        <v>0</v>
      </c>
      <c r="AV137" s="27" t="e">
        <f>AU137-#REF!</f>
        <v>#REF!</v>
      </c>
      <c r="CB137" s="324"/>
      <c r="CC137" s="324"/>
      <c r="CD137" s="324"/>
      <c r="CE137" s="324"/>
      <c r="CF137" s="324"/>
      <c r="CG137" s="324"/>
      <c r="CH137" s="324"/>
      <c r="CI137" s="324"/>
      <c r="CJ137" s="324"/>
      <c r="CX137" s="323"/>
      <c r="CY137" s="323"/>
      <c r="CZ137" s="323"/>
      <c r="DA137" s="323"/>
      <c r="GC137" s="259"/>
      <c r="GD137" s="258"/>
      <c r="GE137" s="258"/>
      <c r="GF137" s="258"/>
      <c r="GG137" s="235"/>
      <c r="GH137" s="235"/>
      <c r="GI137" s="235"/>
      <c r="GJ137" s="63" t="s">
        <v>163</v>
      </c>
      <c r="GK137" s="235"/>
      <c r="GL137" s="441">
        <f>SUBTOTAL(9,GL134:GL136)</f>
        <v>935</v>
      </c>
      <c r="GM137" s="235"/>
      <c r="GN137" s="235"/>
      <c r="GO137" s="235"/>
      <c r="GP137" s="566">
        <f>SUBTOTAL(9,GP134:GP136)</f>
        <v>12011713</v>
      </c>
      <c r="GQ137" s="235"/>
      <c r="GS137" s="441">
        <f>GP137/GL137</f>
        <v>12846.751871657754</v>
      </c>
      <c r="GT137" s="27"/>
      <c r="GU137" s="235"/>
      <c r="GV137" s="235"/>
      <c r="GW137" s="235"/>
    </row>
    <row r="138" spans="7:214" x14ac:dyDescent="0.25">
      <c r="AT138" s="283" t="s">
        <v>71</v>
      </c>
      <c r="AU138" s="27">
        <f t="shared" si="2"/>
        <v>0</v>
      </c>
      <c r="AV138" s="27" t="e">
        <f>AU138-#REF!</f>
        <v>#REF!</v>
      </c>
      <c r="AW138" s="65"/>
      <c r="AX138" s="65"/>
      <c r="AY138" s="65"/>
      <c r="AZ138" s="65"/>
      <c r="BA138" s="65"/>
      <c r="BB138" s="65"/>
      <c r="BC138" s="65"/>
      <c r="BD138" s="65"/>
      <c r="BE138" s="65"/>
      <c r="BF138" s="65"/>
      <c r="BG138" s="65"/>
      <c r="BH138" s="65"/>
      <c r="BI138" s="65"/>
      <c r="BJ138" s="65"/>
      <c r="BK138" s="65"/>
      <c r="BL138" s="65"/>
      <c r="BM138" s="65"/>
      <c r="DX138" s="65"/>
      <c r="DY138" s="65"/>
      <c r="DZ138" s="65"/>
      <c r="EA138" s="65"/>
      <c r="EB138" s="65"/>
      <c r="EC138" s="407"/>
      <c r="ED138" s="407"/>
      <c r="EE138" s="65"/>
      <c r="EF138" s="65"/>
      <c r="EG138" s="65"/>
      <c r="EH138" s="65"/>
      <c r="EI138" s="65"/>
      <c r="EJ138" s="65"/>
      <c r="EK138" s="65"/>
      <c r="EL138" s="65"/>
      <c r="EM138" s="65"/>
      <c r="EN138" s="65"/>
      <c r="EO138" s="65"/>
      <c r="EP138" s="65"/>
      <c r="EQ138" s="65"/>
      <c r="ER138" s="65"/>
      <c r="ES138" s="65"/>
      <c r="ET138" s="65"/>
      <c r="EU138" s="65"/>
      <c r="EV138" s="65"/>
      <c r="EW138" s="65"/>
      <c r="EX138" s="483"/>
      <c r="EY138" s="65"/>
      <c r="EZ138" s="65"/>
      <c r="FA138" s="65"/>
      <c r="FB138" s="65"/>
      <c r="FC138" s="65"/>
      <c r="FD138" s="65"/>
      <c r="FE138" s="65"/>
      <c r="FF138" s="65"/>
      <c r="FG138" s="65"/>
      <c r="FH138" s="65"/>
      <c r="FI138" s="65"/>
      <c r="FJ138" s="65"/>
      <c r="FK138" s="65"/>
      <c r="FL138" s="65"/>
      <c r="FM138" s="65"/>
      <c r="FN138" s="65"/>
      <c r="FO138" s="65"/>
      <c r="GM138" s="27"/>
      <c r="GN138" s="27"/>
      <c r="GO138" s="27"/>
      <c r="GP138" s="27"/>
      <c r="GQ138" s="259"/>
      <c r="GR138" s="258"/>
      <c r="GS138" s="258"/>
      <c r="GT138" s="258"/>
      <c r="GU138" s="235"/>
      <c r="GV138" s="235"/>
      <c r="GW138" s="235"/>
      <c r="GX138" s="235"/>
      <c r="GY138" s="235"/>
      <c r="GZ138" s="235"/>
      <c r="HA138" s="235"/>
      <c r="HB138" s="235"/>
      <c r="HC138" s="235"/>
      <c r="HD138" s="235"/>
      <c r="HE138" s="235"/>
      <c r="HF138" s="235"/>
    </row>
    <row r="139" spans="7:214" ht="15.75" thickBot="1" x14ac:dyDescent="0.3">
      <c r="AT139" s="284" t="s">
        <v>74</v>
      </c>
      <c r="AU139" s="27">
        <f t="shared" si="2"/>
        <v>258</v>
      </c>
      <c r="AV139" s="27" t="e">
        <f>AU139-#REF!</f>
        <v>#REF!</v>
      </c>
      <c r="GM139" s="27"/>
      <c r="GN139" s="27"/>
      <c r="GO139" s="27"/>
      <c r="GP139" s="27"/>
      <c r="GQ139" s="259"/>
      <c r="GR139" s="258"/>
      <c r="GS139" s="258"/>
      <c r="GT139" s="258"/>
      <c r="GU139" s="235"/>
      <c r="GV139" s="235"/>
      <c r="GW139" s="235"/>
      <c r="GX139" s="235"/>
      <c r="GY139" s="235"/>
      <c r="GZ139" s="235"/>
      <c r="HA139" s="235"/>
      <c r="HB139" s="235"/>
      <c r="HC139" s="235"/>
      <c r="HD139" s="235"/>
      <c r="HE139" s="235"/>
      <c r="HF139" s="235"/>
    </row>
    <row r="140" spans="7:214" x14ac:dyDescent="0.25">
      <c r="GM140" s="27"/>
      <c r="GN140" s="27"/>
      <c r="GO140" s="27"/>
      <c r="GP140" s="27"/>
      <c r="GQ140" s="259"/>
      <c r="GR140" s="258"/>
      <c r="GS140" s="258"/>
      <c r="GT140" s="258"/>
      <c r="GU140" s="235"/>
      <c r="GV140" s="235"/>
      <c r="GW140" s="235"/>
      <c r="GX140" s="235"/>
      <c r="GY140" s="235"/>
      <c r="GZ140" s="235"/>
      <c r="HA140" s="235"/>
      <c r="HB140" s="235"/>
      <c r="HC140" s="235"/>
      <c r="HD140" s="235"/>
      <c r="HE140" s="235"/>
      <c r="HF140" s="235"/>
    </row>
    <row r="141" spans="7:214" ht="15.75" thickBot="1" x14ac:dyDescent="0.3">
      <c r="O141" s="63">
        <v>2015</v>
      </c>
      <c r="P141" s="63"/>
      <c r="Q141" s="63"/>
      <c r="R141" s="63"/>
      <c r="S141" s="63"/>
      <c r="T141" s="63"/>
      <c r="U141" s="63"/>
      <c r="V141" s="63"/>
      <c r="W141" s="63"/>
      <c r="X141" s="63"/>
      <c r="Y141" s="63"/>
      <c r="AO141" s="248"/>
      <c r="AP141" s="62"/>
      <c r="AQ141" s="27"/>
      <c r="CV141" s="324"/>
      <c r="CW141" s="324"/>
      <c r="CZ141" s="323"/>
      <c r="DA141" s="323"/>
      <c r="GM141" s="27"/>
      <c r="GN141" s="27"/>
      <c r="GO141" s="259"/>
      <c r="GP141" s="259"/>
      <c r="GQ141" s="258"/>
      <c r="GR141" s="258"/>
      <c r="GS141" s="258"/>
      <c r="GT141" s="235"/>
      <c r="GU141" s="235"/>
      <c r="GV141" s="235"/>
      <c r="GW141" s="235"/>
      <c r="GX141" s="235"/>
      <c r="GY141" s="235"/>
      <c r="GZ141" s="235"/>
      <c r="HA141" s="235"/>
      <c r="HB141" s="235"/>
      <c r="HC141" s="235"/>
      <c r="HD141" s="235"/>
      <c r="HE141" s="235"/>
      <c r="HF141" s="235"/>
    </row>
    <row r="142" spans="7:214" x14ac:dyDescent="0.25">
      <c r="G142" s="463"/>
      <c r="H142" s="62"/>
      <c r="I142" s="62"/>
      <c r="J142" s="62"/>
      <c r="K142" s="625"/>
      <c r="L142" s="351"/>
      <c r="M142" s="351"/>
      <c r="N142" s="351"/>
      <c r="O142" s="286">
        <f t="shared" ref="O142:O147" si="3">SUMPRODUCT((Notaire=A213)*(Prog=$O$141))</f>
        <v>1</v>
      </c>
      <c r="Z142" s="248"/>
      <c r="AA142" s="248"/>
      <c r="AB142" s="248"/>
      <c r="AP142" s="27"/>
      <c r="AQ142" s="27"/>
      <c r="BY142" s="323">
        <f>196-32</f>
        <v>164</v>
      </c>
      <c r="BZ142" s="324"/>
      <c r="CA142" s="324"/>
      <c r="CB142" s="324"/>
      <c r="CX142" s="323"/>
      <c r="CY142" s="323"/>
      <c r="CZ142" s="323"/>
      <c r="DA142" s="323"/>
      <c r="GA142" s="259"/>
      <c r="GB142" s="258"/>
      <c r="GC142" s="258"/>
      <c r="GD142" s="258"/>
      <c r="GE142" s="235"/>
      <c r="GF142" s="235"/>
      <c r="GG142" s="235"/>
      <c r="GH142" s="235"/>
      <c r="GI142" s="235"/>
      <c r="GJ142" s="235"/>
      <c r="GK142" s="235"/>
      <c r="GL142" s="235"/>
      <c r="GM142" s="235"/>
      <c r="GN142" s="235"/>
      <c r="GO142" s="235"/>
      <c r="GP142" s="235"/>
      <c r="GQ142" s="235"/>
      <c r="GR142" s="235"/>
      <c r="GS142" s="235"/>
      <c r="GT142" s="235"/>
      <c r="GU142" s="235"/>
    </row>
    <row r="143" spans="7:214" x14ac:dyDescent="0.25">
      <c r="G143" s="463"/>
      <c r="H143" s="62"/>
      <c r="I143" s="62"/>
      <c r="J143" s="62"/>
      <c r="K143" s="625"/>
      <c r="L143" s="351"/>
      <c r="M143" s="351"/>
      <c r="N143" s="351"/>
      <c r="O143" s="288">
        <f t="shared" si="3"/>
        <v>0</v>
      </c>
      <c r="Z143" s="248"/>
      <c r="AA143" s="248"/>
      <c r="AB143" s="248"/>
      <c r="AP143" s="27"/>
      <c r="AQ143" s="27"/>
      <c r="BZ143" s="324"/>
      <c r="CA143" s="324"/>
      <c r="CB143" s="324"/>
      <c r="CX143" s="323"/>
      <c r="CY143" s="323"/>
      <c r="CZ143" s="323"/>
      <c r="DA143" s="323"/>
      <c r="GA143" s="259"/>
      <c r="GB143" s="258"/>
      <c r="GC143" s="258"/>
      <c r="GD143" s="258"/>
      <c r="GE143" s="235"/>
      <c r="GF143" s="235"/>
      <c r="GG143" s="235"/>
      <c r="GH143" s="235"/>
      <c r="GI143" s="235"/>
      <c r="GJ143" s="235"/>
      <c r="GK143" s="235"/>
      <c r="GL143" s="235"/>
      <c r="GM143" s="235"/>
      <c r="GN143" s="235"/>
      <c r="GO143" s="235"/>
      <c r="GP143" s="235"/>
      <c r="GQ143" s="235"/>
      <c r="GR143" s="235"/>
      <c r="GS143" s="235"/>
      <c r="GT143" s="235"/>
      <c r="GU143" s="235"/>
    </row>
    <row r="144" spans="7:214" x14ac:dyDescent="0.25">
      <c r="G144" s="463"/>
      <c r="H144" s="62"/>
      <c r="I144" s="62"/>
      <c r="J144" s="62"/>
      <c r="K144" s="625"/>
      <c r="L144" s="351"/>
      <c r="M144" s="351"/>
      <c r="N144" s="351"/>
      <c r="O144" s="288">
        <f t="shared" si="3"/>
        <v>3</v>
      </c>
      <c r="Z144" s="248"/>
      <c r="AA144" s="248"/>
      <c r="AB144" s="248"/>
      <c r="AP144" s="27"/>
      <c r="AQ144" s="27"/>
      <c r="BZ144" s="324"/>
      <c r="CA144" s="324"/>
      <c r="CB144" s="324"/>
      <c r="CX144" s="323"/>
      <c r="CY144" s="323"/>
      <c r="CZ144" s="323"/>
      <c r="DA144" s="323"/>
      <c r="GA144" s="257"/>
      <c r="GB144" s="258"/>
      <c r="GC144" s="258"/>
      <c r="GD144" s="258"/>
      <c r="GE144" s="235"/>
      <c r="GF144" s="235"/>
      <c r="GG144" s="235"/>
      <c r="GH144" s="235"/>
      <c r="GI144" s="235"/>
      <c r="GJ144" s="235"/>
      <c r="GK144" s="235"/>
      <c r="GL144" s="235"/>
      <c r="GM144" s="235"/>
      <c r="GN144" s="235"/>
      <c r="GO144" s="235"/>
      <c r="GP144" s="235"/>
      <c r="GQ144" s="235"/>
      <c r="GR144" s="235"/>
      <c r="GS144" s="235"/>
      <c r="GT144" s="235"/>
      <c r="GU144" s="235"/>
    </row>
    <row r="145" spans="7:203" x14ac:dyDescent="0.25">
      <c r="G145" s="463"/>
      <c r="H145" s="62"/>
      <c r="I145" s="62"/>
      <c r="J145" s="62"/>
      <c r="K145" s="625"/>
      <c r="L145" s="351"/>
      <c r="M145" s="351"/>
      <c r="N145" s="351"/>
      <c r="O145" s="288">
        <f t="shared" si="3"/>
        <v>0</v>
      </c>
      <c r="Z145" s="248"/>
      <c r="AA145" s="248"/>
      <c r="AB145" s="248"/>
      <c r="AP145" s="27"/>
      <c r="AQ145" s="27"/>
      <c r="BZ145" s="324"/>
      <c r="CA145" s="324"/>
      <c r="CB145" s="324"/>
      <c r="CX145" s="323"/>
      <c r="CY145" s="323"/>
      <c r="CZ145" s="323"/>
      <c r="DA145" s="323"/>
      <c r="GA145" s="259"/>
      <c r="GB145" s="258"/>
      <c r="GC145" s="258"/>
      <c r="GD145" s="258"/>
      <c r="GE145" s="235"/>
      <c r="GF145" s="235"/>
      <c r="GG145" s="235"/>
      <c r="GH145" s="235"/>
      <c r="GI145" s="235"/>
      <c r="GJ145" s="235"/>
      <c r="GK145" s="235"/>
      <c r="GL145" s="235"/>
      <c r="GM145" s="235"/>
      <c r="GN145" s="235"/>
      <c r="GO145" s="235"/>
      <c r="GP145" s="235"/>
      <c r="GQ145" s="235"/>
      <c r="GR145" s="235"/>
      <c r="GS145" s="235"/>
      <c r="GT145" s="235"/>
      <c r="GU145" s="235"/>
    </row>
    <row r="146" spans="7:203" x14ac:dyDescent="0.25">
      <c r="K146" s="625"/>
      <c r="L146" s="351"/>
      <c r="M146" s="351"/>
      <c r="N146" s="351"/>
      <c r="O146" s="288">
        <f t="shared" si="3"/>
        <v>2</v>
      </c>
      <c r="Z146" s="248"/>
      <c r="AA146" s="248"/>
      <c r="AB146" s="248"/>
      <c r="AP146" s="27"/>
      <c r="AQ146" s="27"/>
      <c r="BZ146" s="324"/>
      <c r="CA146" s="324"/>
      <c r="CB146" s="324"/>
      <c r="CX146" s="323"/>
      <c r="CY146" s="323"/>
      <c r="CZ146" s="323"/>
      <c r="DA146" s="323"/>
      <c r="GA146" s="257"/>
      <c r="GB146" s="258"/>
      <c r="GC146" s="258"/>
      <c r="GD146" s="258"/>
      <c r="GE146" s="235"/>
      <c r="GF146" s="235"/>
      <c r="GG146" s="235"/>
      <c r="GH146" s="235"/>
      <c r="GI146" s="235"/>
      <c r="GJ146" s="235"/>
      <c r="GK146" s="235"/>
      <c r="GL146" s="235"/>
      <c r="GM146" s="235"/>
      <c r="GN146" s="235"/>
      <c r="GO146" s="235"/>
      <c r="GP146" s="235"/>
      <c r="GQ146" s="235"/>
      <c r="GR146" s="235"/>
      <c r="GS146" s="235"/>
      <c r="GT146" s="235"/>
      <c r="GU146" s="235"/>
    </row>
    <row r="147" spans="7:203" x14ac:dyDescent="0.25">
      <c r="K147" s="625"/>
      <c r="L147" s="351"/>
      <c r="M147" s="351"/>
      <c r="N147" s="351"/>
      <c r="O147" s="288">
        <f t="shared" si="3"/>
        <v>0</v>
      </c>
      <c r="Z147" s="248"/>
      <c r="AA147" s="248"/>
      <c r="AB147" s="248"/>
      <c r="AP147" s="27"/>
      <c r="AQ147" s="27"/>
      <c r="BZ147" s="324"/>
      <c r="CA147" s="324"/>
      <c r="CB147" s="324"/>
      <c r="CX147" s="323"/>
      <c r="CY147" s="323"/>
      <c r="CZ147" s="323"/>
      <c r="DA147" s="323"/>
      <c r="GA147" s="235"/>
      <c r="GB147" s="235"/>
      <c r="GC147" s="235"/>
      <c r="GD147" s="235"/>
      <c r="GE147" s="235"/>
      <c r="GF147" s="235"/>
      <c r="GG147" s="235"/>
      <c r="GH147" s="235"/>
      <c r="GI147" s="235"/>
      <c r="GJ147" s="235"/>
      <c r="GK147" s="235"/>
      <c r="GL147" s="235"/>
      <c r="GM147" s="235"/>
      <c r="GN147" s="235"/>
      <c r="GO147" s="235"/>
      <c r="GP147" s="235"/>
      <c r="GQ147" s="235"/>
      <c r="GR147" s="235"/>
      <c r="GS147" s="235"/>
      <c r="GT147" s="235"/>
      <c r="GU147" s="235"/>
    </row>
    <row r="148" spans="7:203" x14ac:dyDescent="0.25">
      <c r="O148" s="63">
        <f>SUM(O142:O147)</f>
        <v>6</v>
      </c>
      <c r="P148" s="63"/>
      <c r="Q148" s="63"/>
      <c r="R148" s="63"/>
      <c r="S148" s="63"/>
      <c r="T148" s="63"/>
      <c r="U148" s="63"/>
      <c r="V148" s="63"/>
      <c r="W148" s="63"/>
      <c r="X148" s="63"/>
      <c r="Y148" s="63"/>
      <c r="Z148" s="63"/>
      <c r="AA148" s="63"/>
      <c r="AB148" s="63"/>
      <c r="AC148" s="63">
        <f>SUM(D213:D218)</f>
        <v>10</v>
      </c>
      <c r="AD148" s="63">
        <f>SUM(E213:E218)</f>
        <v>6</v>
      </c>
      <c r="GM148" s="27"/>
      <c r="GN148" s="27"/>
      <c r="GO148" s="27"/>
      <c r="GP148" s="27"/>
      <c r="GQ148" s="27"/>
      <c r="GR148" s="27"/>
      <c r="GS148" s="27"/>
      <c r="GT148" s="27"/>
    </row>
    <row r="149" spans="7:203" x14ac:dyDescent="0.25">
      <c r="GM149" s="27"/>
      <c r="GN149" s="27"/>
      <c r="GO149" s="27"/>
      <c r="GP149" s="27"/>
      <c r="GQ149" s="27"/>
      <c r="GR149" s="27"/>
      <c r="GS149" s="27"/>
      <c r="GT149" s="27"/>
    </row>
    <row r="150" spans="7:203" x14ac:dyDescent="0.25">
      <c r="GM150" s="27"/>
      <c r="GN150" s="27"/>
      <c r="GO150" s="27"/>
      <c r="GP150" s="27"/>
      <c r="GQ150" s="27"/>
      <c r="GR150" s="27"/>
      <c r="GS150" s="27"/>
      <c r="GT150" s="27"/>
    </row>
    <row r="151" spans="7:203" x14ac:dyDescent="0.25">
      <c r="AK151" s="248"/>
      <c r="AL151" s="62"/>
      <c r="AP151" s="27"/>
      <c r="AQ151" s="27"/>
      <c r="CQ151" s="324"/>
      <c r="CR151" s="324"/>
      <c r="CS151" s="324"/>
      <c r="CT151" s="324"/>
      <c r="CX151" s="323"/>
      <c r="CY151" s="323"/>
      <c r="CZ151" s="323"/>
      <c r="DA151" s="323"/>
      <c r="GM151" s="27"/>
      <c r="GN151" s="27"/>
      <c r="GO151" s="27"/>
      <c r="GP151" s="27"/>
      <c r="GQ151" s="27"/>
      <c r="GR151" s="27"/>
      <c r="GS151" s="27"/>
      <c r="GT151" s="27"/>
    </row>
    <row r="152" spans="7:203" x14ac:dyDescent="0.25">
      <c r="AK152" s="248"/>
      <c r="AL152" s="62"/>
      <c r="AP152" s="27"/>
      <c r="AQ152" s="27"/>
      <c r="CQ152" s="324"/>
      <c r="CR152" s="324"/>
      <c r="CS152" s="324"/>
      <c r="CT152" s="324"/>
      <c r="CX152" s="323"/>
      <c r="CY152" s="323"/>
      <c r="CZ152" s="323"/>
      <c r="DA152" s="323"/>
      <c r="GM152" s="27"/>
      <c r="GN152" s="27"/>
      <c r="GO152" s="27"/>
      <c r="GP152" s="27"/>
      <c r="GQ152" s="27"/>
      <c r="GR152" s="27"/>
      <c r="GS152" s="27"/>
      <c r="GT152" s="27"/>
    </row>
    <row r="153" spans="7:203" x14ac:dyDescent="0.25">
      <c r="AK153" s="248"/>
      <c r="AL153" s="62"/>
      <c r="AP153" s="27"/>
      <c r="AQ153" s="27"/>
      <c r="CQ153" s="324"/>
      <c r="CR153" s="324"/>
      <c r="CS153" s="324"/>
      <c r="CT153" s="324"/>
      <c r="CX153" s="323"/>
      <c r="CY153" s="323"/>
      <c r="CZ153" s="323"/>
      <c r="DA153" s="323"/>
      <c r="GM153" s="27"/>
      <c r="GN153" s="27"/>
      <c r="GO153" s="27"/>
      <c r="GP153" s="27"/>
      <c r="GQ153" s="27"/>
      <c r="GR153" s="27"/>
      <c r="GS153" s="27"/>
      <c r="GT153" s="27"/>
    </row>
    <row r="154" spans="7:203" x14ac:dyDescent="0.25">
      <c r="AK154" s="248"/>
      <c r="AL154" s="62"/>
      <c r="AP154" s="27"/>
      <c r="AQ154" s="27"/>
      <c r="CQ154" s="324"/>
      <c r="CR154" s="324"/>
      <c r="CS154" s="324"/>
      <c r="CT154" s="324"/>
      <c r="CX154" s="323"/>
      <c r="CY154" s="323"/>
      <c r="CZ154" s="323"/>
      <c r="DA154" s="323"/>
      <c r="GM154" s="27"/>
      <c r="GN154" s="27"/>
      <c r="GO154" s="27"/>
      <c r="GP154" s="27"/>
      <c r="GQ154" s="27"/>
      <c r="GR154" s="27"/>
      <c r="GS154" s="27"/>
      <c r="GT154" s="27"/>
    </row>
    <row r="155" spans="7:203" x14ac:dyDescent="0.25">
      <c r="AK155" s="248"/>
      <c r="AL155" s="62"/>
      <c r="AP155" s="27"/>
      <c r="AQ155" s="27"/>
      <c r="CQ155" s="324"/>
      <c r="CR155" s="324"/>
      <c r="CS155" s="324"/>
      <c r="CT155" s="324"/>
      <c r="CX155" s="323"/>
      <c r="CY155" s="323"/>
      <c r="CZ155" s="323"/>
      <c r="DA155" s="323"/>
      <c r="GM155" s="27"/>
      <c r="GN155" s="27"/>
      <c r="GO155" s="27"/>
      <c r="GP155" s="27"/>
      <c r="GQ155" s="27"/>
      <c r="GR155" s="27"/>
      <c r="GS155" s="27"/>
      <c r="GT155" s="27"/>
    </row>
    <row r="156" spans="7:203" x14ac:dyDescent="0.25">
      <c r="AK156" s="248"/>
      <c r="AL156" s="62"/>
      <c r="AP156" s="27"/>
      <c r="AQ156" s="27"/>
      <c r="CQ156" s="324"/>
      <c r="CR156" s="324"/>
      <c r="CS156" s="324"/>
      <c r="CT156" s="324"/>
      <c r="CX156" s="323"/>
      <c r="CY156" s="323"/>
      <c r="CZ156" s="323"/>
      <c r="DA156" s="323"/>
      <c r="GM156" s="27"/>
      <c r="GN156" s="27"/>
      <c r="GO156" s="27"/>
      <c r="GP156" s="27"/>
      <c r="GQ156" s="27"/>
      <c r="GR156" s="27"/>
      <c r="GS156" s="27"/>
      <c r="GT156" s="27"/>
    </row>
    <row r="157" spans="7:203" x14ac:dyDescent="0.25">
      <c r="AK157" s="248"/>
      <c r="AL157" s="62"/>
      <c r="AP157" s="27"/>
      <c r="AQ157" s="27"/>
      <c r="CQ157" s="324"/>
      <c r="CR157" s="324"/>
      <c r="CS157" s="324"/>
      <c r="CT157" s="324"/>
      <c r="CX157" s="323"/>
      <c r="CY157" s="323"/>
      <c r="CZ157" s="323"/>
      <c r="DA157" s="323"/>
      <c r="GM157" s="27"/>
      <c r="GN157" s="27"/>
      <c r="GO157" s="27"/>
      <c r="GP157" s="27"/>
      <c r="GQ157" s="27"/>
      <c r="GR157" s="27"/>
      <c r="GS157" s="27"/>
      <c r="GT157" s="27"/>
    </row>
    <row r="158" spans="7:203" x14ac:dyDescent="0.25">
      <c r="AK158" s="248"/>
      <c r="AL158" s="62"/>
      <c r="AP158" s="27"/>
      <c r="AQ158" s="27"/>
      <c r="CQ158" s="324"/>
      <c r="CR158" s="324"/>
      <c r="CS158" s="324"/>
      <c r="CT158" s="324"/>
      <c r="CX158" s="323"/>
      <c r="CY158" s="323"/>
      <c r="CZ158" s="323"/>
      <c r="DA158" s="323"/>
      <c r="GM158" s="27"/>
      <c r="GN158" s="27"/>
      <c r="GO158" s="27"/>
      <c r="GP158" s="27"/>
      <c r="GQ158" s="27"/>
      <c r="GR158" s="27"/>
      <c r="GS158" s="27"/>
      <c r="GT158" s="27"/>
    </row>
    <row r="159" spans="7:203" x14ac:dyDescent="0.25">
      <c r="AK159" s="248"/>
      <c r="AL159" s="62"/>
      <c r="AP159" s="27"/>
      <c r="AQ159" s="27"/>
      <c r="CQ159" s="324"/>
      <c r="CR159" s="324"/>
      <c r="CS159" s="324"/>
      <c r="CT159" s="324"/>
      <c r="CX159" s="323"/>
      <c r="CY159" s="323"/>
      <c r="CZ159" s="323"/>
      <c r="DA159" s="323"/>
      <c r="GM159" s="27"/>
      <c r="GN159" s="27"/>
      <c r="GO159" s="27"/>
      <c r="GP159" s="27"/>
      <c r="GQ159" s="27"/>
      <c r="GR159" s="27"/>
      <c r="GS159" s="27"/>
      <c r="GT159" s="27"/>
    </row>
    <row r="160" spans="7:203" x14ac:dyDescent="0.25">
      <c r="AK160" s="248"/>
      <c r="AL160" s="62"/>
      <c r="AP160" s="27"/>
      <c r="AQ160" s="27"/>
      <c r="CQ160" s="324"/>
      <c r="CR160" s="324"/>
      <c r="CS160" s="324"/>
      <c r="CT160" s="324"/>
      <c r="CX160" s="323"/>
      <c r="CY160" s="323"/>
      <c r="CZ160" s="323"/>
      <c r="DA160" s="323"/>
      <c r="GM160" s="27"/>
      <c r="GN160" s="27"/>
      <c r="GO160" s="27"/>
      <c r="GP160" s="27"/>
      <c r="GQ160" s="27"/>
      <c r="GR160" s="27"/>
      <c r="GS160" s="27"/>
      <c r="GT160" s="27"/>
    </row>
    <row r="161" spans="37:202" x14ac:dyDescent="0.25">
      <c r="AK161" s="248"/>
      <c r="AL161" s="62"/>
      <c r="AP161" s="27"/>
      <c r="AQ161" s="27"/>
      <c r="CQ161" s="324"/>
      <c r="CR161" s="324"/>
      <c r="CS161" s="324"/>
      <c r="CT161" s="324"/>
      <c r="CX161" s="323"/>
      <c r="CY161" s="323"/>
      <c r="CZ161" s="323"/>
      <c r="DA161" s="323"/>
      <c r="GM161" s="27"/>
      <c r="GN161" s="27"/>
      <c r="GO161" s="27"/>
      <c r="GP161" s="27"/>
      <c r="GQ161" s="27"/>
      <c r="GR161" s="27"/>
      <c r="GS161" s="27"/>
      <c r="GT161" s="27"/>
    </row>
    <row r="162" spans="37:202" x14ac:dyDescent="0.25">
      <c r="GM162" s="27"/>
      <c r="GN162" s="27"/>
      <c r="GO162" s="27"/>
      <c r="GP162" s="27"/>
      <c r="GQ162" s="27"/>
      <c r="GR162" s="27"/>
      <c r="GS162" s="27"/>
      <c r="GT162" s="27"/>
    </row>
    <row r="163" spans="37:202" x14ac:dyDescent="0.25">
      <c r="GM163" s="27"/>
      <c r="GN163" s="27"/>
      <c r="GO163" s="27"/>
      <c r="GP163" s="27"/>
      <c r="GQ163" s="27"/>
      <c r="GR163" s="27"/>
      <c r="GS163" s="27"/>
      <c r="GT163" s="27"/>
    </row>
    <row r="164" spans="37:202" x14ac:dyDescent="0.25">
      <c r="GM164" s="27"/>
      <c r="GN164" s="27"/>
      <c r="GO164" s="27"/>
      <c r="GP164" s="27"/>
      <c r="GQ164" s="27"/>
      <c r="GR164" s="27"/>
      <c r="GS164" s="27"/>
      <c r="GT164" s="27"/>
    </row>
    <row r="165" spans="37:202" x14ac:dyDescent="0.25">
      <c r="GM165" s="27"/>
      <c r="GN165" s="27"/>
      <c r="GO165" s="27"/>
      <c r="GP165" s="27"/>
      <c r="GQ165" s="27"/>
      <c r="GR165" s="27"/>
      <c r="GS165" s="27"/>
      <c r="GT165" s="27"/>
    </row>
    <row r="166" spans="37:202" x14ac:dyDescent="0.25">
      <c r="GM166" s="27"/>
      <c r="GN166" s="27"/>
      <c r="GO166" s="27"/>
      <c r="GP166" s="27"/>
      <c r="GQ166" s="27"/>
      <c r="GR166" s="27"/>
      <c r="GS166" s="27"/>
      <c r="GT166" s="27"/>
    </row>
    <row r="167" spans="37:202" x14ac:dyDescent="0.25">
      <c r="GM167" s="27"/>
      <c r="GN167" s="27"/>
      <c r="GO167" s="27"/>
      <c r="GP167" s="27"/>
      <c r="GQ167" s="27"/>
      <c r="GR167" s="27"/>
      <c r="GS167" s="27"/>
      <c r="GT167" s="27"/>
    </row>
    <row r="168" spans="37:202" x14ac:dyDescent="0.25">
      <c r="GM168" s="27"/>
      <c r="GN168" s="27"/>
      <c r="GO168" s="27"/>
      <c r="GP168" s="27"/>
      <c r="GQ168" s="27"/>
      <c r="GR168" s="27"/>
      <c r="GS168" s="27"/>
      <c r="GT168" s="27"/>
    </row>
    <row r="169" spans="37:202" x14ac:dyDescent="0.25">
      <c r="GM169" s="27"/>
      <c r="GN169" s="27"/>
      <c r="GO169" s="27"/>
      <c r="GP169" s="27"/>
      <c r="GQ169" s="27"/>
      <c r="GR169" s="27"/>
      <c r="GS169" s="27"/>
      <c r="GT169" s="27"/>
    </row>
    <row r="170" spans="37:202" x14ac:dyDescent="0.25">
      <c r="GM170" s="27"/>
      <c r="GN170" s="27"/>
      <c r="GO170" s="27"/>
      <c r="GP170" s="27"/>
      <c r="GQ170" s="27"/>
      <c r="GR170" s="27"/>
      <c r="GS170" s="27"/>
      <c r="GT170" s="27"/>
    </row>
    <row r="171" spans="37:202" x14ac:dyDescent="0.25">
      <c r="GM171" s="27"/>
      <c r="GN171" s="27"/>
      <c r="GO171" s="27"/>
      <c r="GP171" s="27"/>
      <c r="GQ171" s="27"/>
      <c r="GR171" s="27"/>
      <c r="GS171" s="27"/>
      <c r="GT171" s="27"/>
    </row>
    <row r="172" spans="37:202" x14ac:dyDescent="0.25">
      <c r="GM172" s="27"/>
      <c r="GN172" s="27"/>
      <c r="GO172" s="27"/>
      <c r="GP172" s="27"/>
      <c r="GQ172" s="27"/>
      <c r="GR172" s="27"/>
      <c r="GS172" s="27"/>
      <c r="GT172" s="27"/>
    </row>
    <row r="173" spans="37:202" x14ac:dyDescent="0.25">
      <c r="GM173" s="27"/>
      <c r="GN173" s="27"/>
      <c r="GO173" s="27"/>
      <c r="GP173" s="27"/>
      <c r="GQ173" s="27"/>
      <c r="GR173" s="27"/>
      <c r="GS173" s="27"/>
      <c r="GT173" s="27"/>
    </row>
    <row r="174" spans="37:202" x14ac:dyDescent="0.25">
      <c r="GM174" s="27"/>
      <c r="GN174" s="27"/>
      <c r="GO174" s="27"/>
      <c r="GP174" s="27"/>
      <c r="GQ174" s="27"/>
      <c r="GR174" s="27"/>
      <c r="GS174" s="27"/>
      <c r="GT174" s="27"/>
    </row>
    <row r="175" spans="37:202" x14ac:dyDescent="0.25">
      <c r="GM175" s="27"/>
      <c r="GN175" s="27"/>
      <c r="GO175" s="27"/>
      <c r="GP175" s="27"/>
      <c r="GQ175" s="27"/>
      <c r="GR175" s="27"/>
      <c r="GS175" s="27"/>
      <c r="GT175" s="27"/>
    </row>
    <row r="176" spans="37:202" x14ac:dyDescent="0.25">
      <c r="GM176" s="27"/>
      <c r="GN176" s="27"/>
      <c r="GO176" s="27"/>
      <c r="GP176" s="27"/>
      <c r="GQ176" s="27"/>
      <c r="GR176" s="27"/>
      <c r="GS176" s="27"/>
      <c r="GT176" s="27"/>
    </row>
    <row r="177" spans="195:202" x14ac:dyDescent="0.25">
      <c r="GM177" s="27"/>
      <c r="GN177" s="27"/>
      <c r="GO177" s="27"/>
      <c r="GP177" s="27"/>
      <c r="GQ177" s="27"/>
      <c r="GR177" s="27"/>
      <c r="GS177" s="27"/>
      <c r="GT177" s="27"/>
    </row>
    <row r="178" spans="195:202" x14ac:dyDescent="0.25">
      <c r="GM178" s="27"/>
      <c r="GN178" s="27"/>
      <c r="GO178" s="27"/>
      <c r="GP178" s="27"/>
      <c r="GQ178" s="27"/>
      <c r="GR178" s="27"/>
      <c r="GS178" s="27"/>
      <c r="GT178" s="27"/>
    </row>
    <row r="179" spans="195:202" x14ac:dyDescent="0.25">
      <c r="GM179" s="27"/>
      <c r="GN179" s="27"/>
      <c r="GO179" s="27"/>
      <c r="GP179" s="27"/>
      <c r="GQ179" s="27"/>
      <c r="GR179" s="27"/>
      <c r="GS179" s="27"/>
      <c r="GT179" s="27"/>
    </row>
    <row r="180" spans="195:202" x14ac:dyDescent="0.25">
      <c r="GM180" s="27"/>
      <c r="GN180" s="27"/>
      <c r="GO180" s="27"/>
      <c r="GP180" s="27"/>
      <c r="GQ180" s="27"/>
      <c r="GR180" s="27"/>
      <c r="GS180" s="27"/>
      <c r="GT180" s="27"/>
    </row>
    <row r="181" spans="195:202" x14ac:dyDescent="0.25">
      <c r="GM181" s="27"/>
      <c r="GN181" s="27"/>
      <c r="GO181" s="27"/>
      <c r="GP181" s="27"/>
      <c r="GQ181" s="27"/>
      <c r="GR181" s="27"/>
      <c r="GS181" s="27"/>
      <c r="GT181" s="27"/>
    </row>
    <row r="182" spans="195:202" x14ac:dyDescent="0.25">
      <c r="GM182" s="27"/>
      <c r="GN182" s="27"/>
      <c r="GO182" s="27"/>
      <c r="GP182" s="27"/>
      <c r="GQ182" s="27"/>
      <c r="GR182" s="27"/>
      <c r="GS182" s="27"/>
      <c r="GT182" s="27"/>
    </row>
    <row r="183" spans="195:202" x14ac:dyDescent="0.25">
      <c r="GM183" s="27"/>
      <c r="GN183" s="27"/>
      <c r="GO183" s="27"/>
      <c r="GP183" s="27"/>
      <c r="GQ183" s="27"/>
      <c r="GR183" s="27"/>
      <c r="GS183" s="27"/>
      <c r="GT183" s="27"/>
    </row>
    <row r="184" spans="195:202" x14ac:dyDescent="0.25">
      <c r="GM184" s="27"/>
      <c r="GN184" s="27"/>
      <c r="GO184" s="27"/>
      <c r="GP184" s="27"/>
      <c r="GQ184" s="27"/>
      <c r="GR184" s="27"/>
      <c r="GS184" s="27"/>
      <c r="GT184" s="27"/>
    </row>
    <row r="185" spans="195:202" x14ac:dyDescent="0.25">
      <c r="GM185" s="27"/>
      <c r="GN185" s="27"/>
      <c r="GO185" s="27"/>
      <c r="GP185" s="27"/>
      <c r="GQ185" s="27"/>
      <c r="GR185" s="27"/>
      <c r="GS185" s="27"/>
      <c r="GT185" s="27"/>
    </row>
    <row r="186" spans="195:202" x14ac:dyDescent="0.25">
      <c r="GM186" s="27"/>
      <c r="GN186" s="27"/>
      <c r="GO186" s="27"/>
      <c r="GP186" s="27"/>
      <c r="GQ186" s="27"/>
      <c r="GR186" s="27"/>
      <c r="GS186" s="27"/>
      <c r="GT186" s="27"/>
    </row>
    <row r="187" spans="195:202" x14ac:dyDescent="0.25">
      <c r="GM187" s="27"/>
      <c r="GN187" s="27"/>
      <c r="GO187" s="27"/>
      <c r="GP187" s="27"/>
      <c r="GQ187" s="27"/>
      <c r="GR187" s="27"/>
      <c r="GS187" s="27"/>
      <c r="GT187" s="27"/>
    </row>
    <row r="188" spans="195:202" x14ac:dyDescent="0.25">
      <c r="GM188" s="27"/>
      <c r="GN188" s="27"/>
      <c r="GO188" s="27"/>
      <c r="GP188" s="27"/>
      <c r="GQ188" s="27"/>
      <c r="GR188" s="27"/>
      <c r="GS188" s="27"/>
      <c r="GT188" s="27"/>
    </row>
    <row r="189" spans="195:202" x14ac:dyDescent="0.25">
      <c r="GM189" s="27"/>
      <c r="GN189" s="27"/>
      <c r="GO189" s="27"/>
      <c r="GP189" s="27"/>
      <c r="GQ189" s="27"/>
      <c r="GR189" s="27"/>
      <c r="GS189" s="27"/>
      <c r="GT189" s="27"/>
    </row>
    <row r="190" spans="195:202" x14ac:dyDescent="0.25">
      <c r="GM190" s="27"/>
      <c r="GN190" s="27"/>
      <c r="GO190" s="27"/>
      <c r="GP190" s="27"/>
      <c r="GQ190" s="27"/>
      <c r="GR190" s="27"/>
      <c r="GS190" s="27"/>
      <c r="GT190" s="27"/>
    </row>
    <row r="191" spans="195:202" x14ac:dyDescent="0.25">
      <c r="GM191" s="27"/>
      <c r="GN191" s="27"/>
      <c r="GO191" s="27"/>
      <c r="GP191" s="27"/>
      <c r="GQ191" s="27"/>
      <c r="GR191" s="27"/>
      <c r="GS191" s="27"/>
      <c r="GT191" s="27"/>
    </row>
    <row r="192" spans="195:202" x14ac:dyDescent="0.25">
      <c r="GM192" s="27"/>
      <c r="GN192" s="27"/>
      <c r="GO192" s="27"/>
      <c r="GP192" s="27"/>
      <c r="GQ192" s="27"/>
      <c r="GR192" s="27"/>
      <c r="GS192" s="27"/>
      <c r="GT192" s="27"/>
    </row>
    <row r="193" spans="1:202" x14ac:dyDescent="0.25">
      <c r="GM193" s="27"/>
      <c r="GN193" s="27"/>
      <c r="GO193" s="27"/>
      <c r="GP193" s="27"/>
      <c r="GQ193" s="27"/>
      <c r="GR193" s="27"/>
      <c r="GS193" s="27"/>
      <c r="GT193" s="27"/>
    </row>
    <row r="194" spans="1:202" x14ac:dyDescent="0.25">
      <c r="GM194" s="27"/>
      <c r="GN194" s="27"/>
      <c r="GO194" s="27"/>
      <c r="GP194" s="27"/>
      <c r="GQ194" s="27"/>
      <c r="GR194" s="27"/>
      <c r="GS194" s="27"/>
      <c r="GT194" s="27"/>
    </row>
    <row r="195" spans="1:202" x14ac:dyDescent="0.25">
      <c r="GM195" s="27"/>
      <c r="GN195" s="27"/>
      <c r="GO195" s="27"/>
      <c r="GP195" s="27"/>
      <c r="GQ195" s="27"/>
      <c r="GR195" s="27"/>
      <c r="GS195" s="27"/>
      <c r="GT195" s="27"/>
    </row>
    <row r="196" spans="1:202" x14ac:dyDescent="0.25">
      <c r="GM196" s="27"/>
      <c r="GN196" s="27"/>
      <c r="GO196" s="27"/>
      <c r="GP196" s="27"/>
      <c r="GQ196" s="27"/>
      <c r="GR196" s="27"/>
      <c r="GS196" s="27"/>
      <c r="GT196" s="27"/>
    </row>
    <row r="197" spans="1:202" x14ac:dyDescent="0.25">
      <c r="GM197" s="27"/>
      <c r="GN197" s="27"/>
      <c r="GO197" s="27"/>
      <c r="GP197" s="27"/>
      <c r="GQ197" s="27"/>
      <c r="GR197" s="27"/>
      <c r="GS197" s="27"/>
      <c r="GT197" s="27"/>
    </row>
    <row r="198" spans="1:202" x14ac:dyDescent="0.25">
      <c r="GM198" s="27"/>
      <c r="GN198" s="27"/>
      <c r="GO198" s="27"/>
      <c r="GP198" s="27"/>
      <c r="GQ198" s="27"/>
      <c r="GR198" s="27"/>
      <c r="GS198" s="27"/>
      <c r="GT198" s="27"/>
    </row>
    <row r="199" spans="1:202" x14ac:dyDescent="0.25">
      <c r="A199" s="618"/>
      <c r="B199" s="255" t="s">
        <v>75</v>
      </c>
      <c r="C199" s="255" t="s">
        <v>76</v>
      </c>
      <c r="G199" s="463"/>
      <c r="H199" s="62"/>
      <c r="I199" s="62"/>
      <c r="J199" s="62"/>
      <c r="GM199" s="27"/>
      <c r="GN199" s="27"/>
      <c r="GO199" s="27"/>
      <c r="GP199" s="27"/>
      <c r="GQ199" s="27"/>
      <c r="GR199" s="27"/>
      <c r="GS199" s="27"/>
      <c r="GT199" s="27"/>
    </row>
    <row r="200" spans="1:202" x14ac:dyDescent="0.25">
      <c r="A200" s="618" t="s">
        <v>59</v>
      </c>
      <c r="B200" s="27">
        <f>COUNTIF(Ville,"*Entre-Deux*")</f>
        <v>6</v>
      </c>
      <c r="C200" s="27">
        <f>SUMPRODUCT((Ville=A200)*(Nlgts))</f>
        <v>127</v>
      </c>
      <c r="G200" s="463"/>
      <c r="H200" s="62"/>
      <c r="I200" s="62"/>
      <c r="J200" s="62"/>
      <c r="GM200" s="27"/>
      <c r="GN200" s="27"/>
      <c r="GO200" s="27"/>
      <c r="GP200" s="27"/>
      <c r="GQ200" s="27"/>
      <c r="GR200" s="27"/>
      <c r="GS200" s="27"/>
      <c r="GT200" s="27"/>
    </row>
    <row r="201" spans="1:202" x14ac:dyDescent="0.25">
      <c r="A201" s="618" t="s">
        <v>53</v>
      </c>
      <c r="B201" s="27">
        <f>COUNTIF(Ville,"*Etang-Salé*")</f>
        <v>6</v>
      </c>
      <c r="C201" s="27">
        <f t="shared" ref="C201:C209" si="4">SUMPRODUCT((Ville=A201)*(Nlgts))</f>
        <v>117</v>
      </c>
      <c r="GM201" s="27"/>
      <c r="GN201" s="27"/>
      <c r="GO201" s="27"/>
      <c r="GP201" s="27"/>
      <c r="GQ201" s="27"/>
      <c r="GR201" s="27"/>
      <c r="GS201" s="27"/>
      <c r="GT201" s="27"/>
    </row>
    <row r="202" spans="1:202" x14ac:dyDescent="0.25">
      <c r="A202" s="618" t="s">
        <v>101</v>
      </c>
      <c r="B202" s="27">
        <f>COUNTIF(Ville,"*Petite-Ile*")</f>
        <v>4</v>
      </c>
      <c r="C202" s="27">
        <f t="shared" si="4"/>
        <v>92</v>
      </c>
      <c r="GM202" s="27"/>
      <c r="GN202" s="27"/>
      <c r="GO202" s="27"/>
      <c r="GP202" s="27"/>
      <c r="GQ202" s="27"/>
      <c r="GR202" s="27"/>
      <c r="GS202" s="27"/>
      <c r="GT202" s="27"/>
    </row>
    <row r="203" spans="1:202" x14ac:dyDescent="0.25">
      <c r="A203" s="618" t="s">
        <v>38</v>
      </c>
      <c r="B203" s="27">
        <f>COUNTIF(Ville,"*St Joseph*")</f>
        <v>19</v>
      </c>
      <c r="C203" s="27">
        <f t="shared" si="4"/>
        <v>488</v>
      </c>
      <c r="GM203" s="27"/>
      <c r="GN203" s="27"/>
      <c r="GO203" s="27"/>
      <c r="GP203" s="27"/>
      <c r="GQ203" s="27"/>
      <c r="GR203" s="27"/>
      <c r="GS203" s="27"/>
      <c r="GT203" s="27"/>
    </row>
    <row r="204" spans="1:202" x14ac:dyDescent="0.25">
      <c r="A204" s="618" t="s">
        <v>44</v>
      </c>
      <c r="B204" s="27">
        <f>COUNTIF(Ville,"*St Leu*")</f>
        <v>14</v>
      </c>
      <c r="C204" s="27">
        <f t="shared" si="4"/>
        <v>393</v>
      </c>
      <c r="GM204" s="27"/>
      <c r="GN204" s="27"/>
      <c r="GO204" s="27"/>
      <c r="GP204" s="27"/>
      <c r="GQ204" s="27"/>
      <c r="GR204" s="27"/>
      <c r="GS204" s="27"/>
      <c r="GT204" s="27"/>
    </row>
    <row r="205" spans="1:202" x14ac:dyDescent="0.25">
      <c r="A205" s="618" t="s">
        <v>62</v>
      </c>
      <c r="B205" s="27">
        <f>COUNTIF(Ville,"*St Paul*")</f>
        <v>9</v>
      </c>
      <c r="C205" s="27">
        <f t="shared" si="4"/>
        <v>324</v>
      </c>
      <c r="GM205" s="27"/>
      <c r="GN205" s="27"/>
      <c r="GO205" s="27"/>
      <c r="GP205" s="27"/>
      <c r="GQ205" s="27"/>
      <c r="GR205" s="27"/>
      <c r="GS205" s="27"/>
      <c r="GT205" s="27"/>
    </row>
    <row r="206" spans="1:202" x14ac:dyDescent="0.25">
      <c r="A206" s="618" t="s">
        <v>41</v>
      </c>
      <c r="B206" s="27">
        <f>COUNTIF(Ville,"*St Philippe*")</f>
        <v>3</v>
      </c>
      <c r="C206" s="27">
        <f t="shared" si="4"/>
        <v>51</v>
      </c>
      <c r="GM206" s="27"/>
      <c r="GN206" s="27"/>
      <c r="GO206" s="27"/>
      <c r="GP206" s="27"/>
      <c r="GQ206" s="27"/>
      <c r="GR206" s="27"/>
      <c r="GS206" s="27"/>
      <c r="GT206" s="27"/>
    </row>
    <row r="207" spans="1:202" x14ac:dyDescent="0.25">
      <c r="A207" s="618" t="s">
        <v>130</v>
      </c>
      <c r="B207" s="27">
        <f>COUNTIF(Ville,"*St Pierre*")</f>
        <v>5</v>
      </c>
      <c r="C207" s="27">
        <f t="shared" si="4"/>
        <v>303</v>
      </c>
      <c r="GM207" s="27"/>
      <c r="GN207" s="27"/>
      <c r="GO207" s="27"/>
      <c r="GP207" s="27"/>
      <c r="GQ207" s="27"/>
      <c r="GR207" s="27"/>
      <c r="GS207" s="27"/>
      <c r="GT207" s="27"/>
    </row>
    <row r="208" spans="1:202" x14ac:dyDescent="0.25">
      <c r="A208" s="618" t="s">
        <v>46</v>
      </c>
      <c r="B208" s="27">
        <f>COUNTIF(Ville,"*Tampon*")</f>
        <v>37</v>
      </c>
      <c r="C208" s="27">
        <f t="shared" si="4"/>
        <v>1688</v>
      </c>
      <c r="GM208" s="27"/>
      <c r="GN208" s="27"/>
      <c r="GO208" s="27"/>
      <c r="GP208" s="27"/>
      <c r="GQ208" s="27"/>
      <c r="GR208" s="27"/>
      <c r="GS208" s="27"/>
      <c r="GT208" s="27"/>
    </row>
    <row r="209" spans="1:202" x14ac:dyDescent="0.25">
      <c r="A209" s="618" t="s">
        <v>54</v>
      </c>
      <c r="B209" s="27">
        <f>COUNTIF(Ville,"*Trois Bassins*")</f>
        <v>1</v>
      </c>
      <c r="C209" s="27">
        <f t="shared" si="4"/>
        <v>24</v>
      </c>
      <c r="GM209" s="27"/>
      <c r="GN209" s="27"/>
      <c r="GO209" s="27"/>
      <c r="GP209" s="27"/>
      <c r="GQ209" s="27"/>
      <c r="GR209" s="27"/>
      <c r="GS209" s="27"/>
      <c r="GT209" s="27"/>
    </row>
    <row r="210" spans="1:202" x14ac:dyDescent="0.25">
      <c r="B210" s="63">
        <f>SUM(B200:B209)</f>
        <v>104</v>
      </c>
      <c r="C210" s="63">
        <f>SUM(C200:C209)</f>
        <v>3607</v>
      </c>
      <c r="GM210" s="27"/>
      <c r="GN210" s="27"/>
      <c r="GO210" s="27"/>
      <c r="GP210" s="27"/>
      <c r="GQ210" s="27"/>
      <c r="GR210" s="27"/>
      <c r="GS210" s="27"/>
      <c r="GT210" s="27"/>
    </row>
    <row r="211" spans="1:202" x14ac:dyDescent="0.25">
      <c r="GM211" s="27"/>
      <c r="GN211" s="27"/>
      <c r="GO211" s="27"/>
      <c r="GP211" s="27"/>
      <c r="GQ211" s="27"/>
      <c r="GR211" s="27"/>
      <c r="GS211" s="27"/>
      <c r="GT211" s="27"/>
    </row>
    <row r="212" spans="1:202" ht="15.75" thickBot="1" x14ac:dyDescent="0.3">
      <c r="B212" s="63">
        <v>2011</v>
      </c>
      <c r="C212" s="63">
        <v>2012</v>
      </c>
      <c r="D212" s="63">
        <v>2013</v>
      </c>
      <c r="E212" s="63">
        <v>2014</v>
      </c>
      <c r="F212" s="63">
        <v>2015</v>
      </c>
      <c r="GM212" s="27"/>
      <c r="GN212" s="27"/>
      <c r="GO212" s="27"/>
      <c r="GP212" s="27"/>
      <c r="GQ212" s="27"/>
      <c r="GR212" s="27"/>
      <c r="GS212" s="27"/>
      <c r="GT212" s="27"/>
    </row>
    <row r="213" spans="1:202" x14ac:dyDescent="0.25">
      <c r="A213" s="619" t="s">
        <v>84</v>
      </c>
      <c r="B213" s="286">
        <f t="shared" ref="B213:B218" si="5">SUMPRODUCT((Notaire=A213)*(Prog=$B$212))</f>
        <v>0</v>
      </c>
      <c r="C213" s="286">
        <f t="shared" ref="C213:C218" si="6">SUMPRODUCT((Notaire=A213)*(Prog=$C$212))</f>
        <v>0</v>
      </c>
      <c r="D213" s="286">
        <f t="shared" ref="D213:D218" si="7">SUMPRODUCT((Notaire=A213)*(Prog=$D$212))</f>
        <v>0</v>
      </c>
      <c r="E213" s="286">
        <f t="shared" ref="E213:E218" si="8">SUMPRODUCT((Notaire=A213)*(Prog=$E$212))</f>
        <v>2</v>
      </c>
      <c r="F213" s="286">
        <f t="shared" ref="F213:F218" si="9">SUMPRODUCT((Notaire=A213)*(Prog=$F$212))</f>
        <v>1</v>
      </c>
      <c r="GM213" s="27"/>
      <c r="GN213" s="27"/>
      <c r="GO213" s="27"/>
      <c r="GP213" s="27"/>
      <c r="GQ213" s="27"/>
      <c r="GR213" s="27"/>
      <c r="GS213" s="27"/>
      <c r="GT213" s="27"/>
    </row>
    <row r="214" spans="1:202" x14ac:dyDescent="0.25">
      <c r="A214" s="620" t="s">
        <v>279</v>
      </c>
      <c r="B214" s="288">
        <f t="shared" si="5"/>
        <v>1</v>
      </c>
      <c r="C214" s="288">
        <f t="shared" si="6"/>
        <v>0</v>
      </c>
      <c r="D214" s="288">
        <f t="shared" si="7"/>
        <v>0</v>
      </c>
      <c r="E214" s="288">
        <f t="shared" si="8"/>
        <v>0</v>
      </c>
      <c r="F214" s="288">
        <f t="shared" si="9"/>
        <v>0</v>
      </c>
      <c r="GM214" s="27"/>
      <c r="GN214" s="27"/>
      <c r="GO214" s="27"/>
      <c r="GP214" s="27"/>
      <c r="GQ214" s="27"/>
      <c r="GR214" s="27"/>
      <c r="GS214" s="27"/>
      <c r="GT214" s="27"/>
    </row>
    <row r="215" spans="1:202" x14ac:dyDescent="0.25">
      <c r="A215" s="620" t="s">
        <v>195</v>
      </c>
      <c r="B215" s="288">
        <f t="shared" si="5"/>
        <v>1</v>
      </c>
      <c r="C215" s="288">
        <f t="shared" si="6"/>
        <v>3</v>
      </c>
      <c r="D215" s="288">
        <f t="shared" si="7"/>
        <v>3</v>
      </c>
      <c r="E215" s="288">
        <f t="shared" si="8"/>
        <v>1</v>
      </c>
      <c r="F215" s="288">
        <f t="shared" si="9"/>
        <v>3</v>
      </c>
      <c r="GM215" s="27"/>
      <c r="GN215" s="27"/>
      <c r="GO215" s="27"/>
      <c r="GP215" s="27"/>
      <c r="GQ215" s="27"/>
      <c r="GR215" s="27"/>
      <c r="GS215" s="27"/>
      <c r="GT215" s="27"/>
    </row>
    <row r="216" spans="1:202" x14ac:dyDescent="0.25">
      <c r="A216" s="620" t="s">
        <v>188</v>
      </c>
      <c r="B216" s="288">
        <f t="shared" si="5"/>
        <v>1</v>
      </c>
      <c r="C216" s="288">
        <f t="shared" si="6"/>
        <v>1</v>
      </c>
      <c r="D216" s="288">
        <f t="shared" si="7"/>
        <v>2</v>
      </c>
      <c r="E216" s="288">
        <f t="shared" si="8"/>
        <v>1</v>
      </c>
      <c r="F216" s="288">
        <f t="shared" si="9"/>
        <v>0</v>
      </c>
      <c r="GM216" s="27"/>
      <c r="GN216" s="27"/>
      <c r="GO216" s="27"/>
      <c r="GP216" s="27"/>
      <c r="GQ216" s="27"/>
      <c r="GR216" s="27"/>
      <c r="GS216" s="27"/>
      <c r="GT216" s="27"/>
    </row>
    <row r="217" spans="1:202" x14ac:dyDescent="0.25">
      <c r="A217" s="620" t="s">
        <v>88</v>
      </c>
      <c r="B217" s="288">
        <f t="shared" si="5"/>
        <v>1</v>
      </c>
      <c r="C217" s="288">
        <f t="shared" si="6"/>
        <v>4</v>
      </c>
      <c r="D217" s="288">
        <f t="shared" si="7"/>
        <v>2</v>
      </c>
      <c r="E217" s="288">
        <f t="shared" si="8"/>
        <v>1</v>
      </c>
      <c r="F217" s="288">
        <f t="shared" si="9"/>
        <v>2</v>
      </c>
      <c r="GM217" s="27"/>
      <c r="GN217" s="27"/>
      <c r="GO217" s="27"/>
      <c r="GP217" s="27"/>
      <c r="GQ217" s="27"/>
      <c r="GR217" s="27"/>
      <c r="GS217" s="27"/>
      <c r="GT217" s="27"/>
    </row>
    <row r="218" spans="1:202" x14ac:dyDescent="0.25">
      <c r="A218" s="620" t="s">
        <v>202</v>
      </c>
      <c r="B218" s="288">
        <f t="shared" si="5"/>
        <v>0</v>
      </c>
      <c r="C218" s="288">
        <f t="shared" si="6"/>
        <v>3</v>
      </c>
      <c r="D218" s="288">
        <f t="shared" si="7"/>
        <v>3</v>
      </c>
      <c r="E218" s="288">
        <f t="shared" si="8"/>
        <v>1</v>
      </c>
      <c r="F218" s="288">
        <f t="shared" si="9"/>
        <v>0</v>
      </c>
      <c r="GM218" s="27"/>
      <c r="GN218" s="27"/>
      <c r="GO218" s="27"/>
      <c r="GP218" s="27"/>
      <c r="GQ218" s="27"/>
      <c r="GR218" s="27"/>
      <c r="GS218" s="27"/>
      <c r="GT218" s="27"/>
    </row>
    <row r="219" spans="1:202" x14ac:dyDescent="0.25">
      <c r="B219" s="63">
        <f>SUBTOTAL(9,B213:B218)</f>
        <v>4</v>
      </c>
      <c r="C219" s="63">
        <f>SUM(C213:C218)</f>
        <v>11</v>
      </c>
      <c r="D219" s="63">
        <f>SUM(D213:D218)</f>
        <v>10</v>
      </c>
      <c r="E219" s="63">
        <f>SUM(E213:E218)</f>
        <v>6</v>
      </c>
      <c r="F219" s="63">
        <f>SUM(F213:F218)</f>
        <v>6</v>
      </c>
      <c r="GM219" s="27"/>
      <c r="GN219" s="27"/>
      <c r="GO219" s="27"/>
      <c r="GP219" s="27"/>
      <c r="GQ219" s="27"/>
      <c r="GR219" s="27"/>
      <c r="GS219" s="27"/>
      <c r="GT219" s="27"/>
    </row>
    <row r="220" spans="1:202" x14ac:dyDescent="0.25">
      <c r="GM220" s="27"/>
      <c r="GN220" s="27"/>
      <c r="GO220" s="27"/>
      <c r="GP220" s="27"/>
      <c r="GQ220" s="27"/>
      <c r="GR220" s="27"/>
      <c r="GS220" s="27"/>
      <c r="GT220" s="27"/>
    </row>
    <row r="221" spans="1:202" x14ac:dyDescent="0.25">
      <c r="GM221" s="27"/>
      <c r="GN221" s="27"/>
      <c r="GO221" s="27"/>
      <c r="GP221" s="27"/>
      <c r="GQ221" s="27"/>
      <c r="GR221" s="27"/>
      <c r="GS221" s="27"/>
      <c r="GT221" s="27"/>
    </row>
    <row r="222" spans="1:202" x14ac:dyDescent="0.25">
      <c r="C222" s="467"/>
      <c r="D222" s="468" t="s">
        <v>278</v>
      </c>
      <c r="E222" s="468" t="s">
        <v>439</v>
      </c>
      <c r="F222" s="468" t="s">
        <v>277</v>
      </c>
      <c r="G222" s="469" t="s">
        <v>274</v>
      </c>
      <c r="H222" s="469" t="s">
        <v>276</v>
      </c>
      <c r="I222" s="469" t="s">
        <v>273</v>
      </c>
      <c r="J222" s="469" t="s">
        <v>275</v>
      </c>
      <c r="GM222" s="27"/>
      <c r="GN222" s="27"/>
      <c r="GO222" s="27"/>
      <c r="GP222" s="27"/>
      <c r="GQ222" s="27"/>
      <c r="GR222" s="27"/>
      <c r="GS222" s="27"/>
      <c r="GT222" s="27"/>
    </row>
    <row r="223" spans="1:202" x14ac:dyDescent="0.25">
      <c r="C223" s="468" t="s">
        <v>412</v>
      </c>
      <c r="D223" s="470">
        <f t="shared" ref="D223:D232" si="10">SUMPRODUCT((RO=C223)*(Ass=$D$222)*(Avancement&lt;&gt;"patrimoine"))</f>
        <v>1</v>
      </c>
      <c r="E223" s="470">
        <f t="shared" ref="E223:E232" si="11">SUMPRODUCT((RO=C223)*(Ass=$E$222)*(Avancement&lt;&gt;"patrimoine"))</f>
        <v>0</v>
      </c>
      <c r="F223" s="470">
        <f t="shared" ref="F223:F232" si="12">SUMPRODUCT((RO=C223)*(Ass=$F$222)*(Avancement&lt;&gt;"patrimoine"))</f>
        <v>0</v>
      </c>
      <c r="G223" s="470">
        <f t="shared" ref="G223:G232" si="13">SUMPRODUCT((RO=C223)*(Ass=$G$222)*(Avancement&lt;&gt;"patrimoine"))</f>
        <v>0</v>
      </c>
      <c r="H223" s="470">
        <f t="shared" ref="H223:H232" si="14">SUMPRODUCT((RO=C223)*(Ass=$H$222)*(Avancement&lt;&gt;"patrimoine"))</f>
        <v>0</v>
      </c>
      <c r="I223" s="470">
        <f t="shared" ref="I223:I232" si="15">SUMPRODUCT((RO=C223)*(Ass=$I$222)*(Avancement&lt;&gt;"patrimoine"))</f>
        <v>1</v>
      </c>
      <c r="J223" s="470">
        <f t="shared" ref="J223:J232" si="16">SUMPRODUCT((RO=C223)*(Ass=$J$222)*(Avancement&lt;&gt;"patrimoine"))</f>
        <v>0</v>
      </c>
      <c r="GM223" s="27"/>
      <c r="GN223" s="27"/>
      <c r="GO223" s="27"/>
      <c r="GP223" s="27"/>
      <c r="GQ223" s="27"/>
      <c r="GR223" s="27"/>
      <c r="GS223" s="27"/>
      <c r="GT223" s="27"/>
    </row>
    <row r="224" spans="1:202" x14ac:dyDescent="0.25">
      <c r="C224" s="468" t="s">
        <v>199</v>
      </c>
      <c r="D224" s="470">
        <f t="shared" si="10"/>
        <v>0</v>
      </c>
      <c r="E224" s="470">
        <f t="shared" si="11"/>
        <v>0</v>
      </c>
      <c r="F224" s="470">
        <f t="shared" si="12"/>
        <v>0</v>
      </c>
      <c r="G224" s="470">
        <f t="shared" si="13"/>
        <v>0</v>
      </c>
      <c r="H224" s="470">
        <f t="shared" si="14"/>
        <v>0</v>
      </c>
      <c r="I224" s="470">
        <f t="shared" si="15"/>
        <v>0</v>
      </c>
      <c r="J224" s="470">
        <f t="shared" si="16"/>
        <v>0</v>
      </c>
      <c r="GM224" s="27"/>
      <c r="GN224" s="27"/>
      <c r="GO224" s="27"/>
      <c r="GP224" s="27"/>
      <c r="GQ224" s="27"/>
      <c r="GR224" s="27"/>
      <c r="GS224" s="27"/>
      <c r="GT224" s="27"/>
    </row>
    <row r="225" spans="3:202" x14ac:dyDescent="0.25">
      <c r="C225" s="468" t="s">
        <v>511</v>
      </c>
      <c r="D225" s="470">
        <f t="shared" si="10"/>
        <v>2</v>
      </c>
      <c r="E225" s="470">
        <f t="shared" si="11"/>
        <v>0</v>
      </c>
      <c r="F225" s="470">
        <f t="shared" si="12"/>
        <v>0</v>
      </c>
      <c r="G225" s="470">
        <f t="shared" si="13"/>
        <v>0</v>
      </c>
      <c r="H225" s="470">
        <f t="shared" si="14"/>
        <v>0</v>
      </c>
      <c r="I225" s="470">
        <f t="shared" si="15"/>
        <v>1</v>
      </c>
      <c r="J225" s="470">
        <f t="shared" si="16"/>
        <v>2</v>
      </c>
      <c r="GM225" s="27"/>
      <c r="GN225" s="27"/>
      <c r="GO225" s="27"/>
      <c r="GP225" s="27"/>
      <c r="GQ225" s="27"/>
      <c r="GR225" s="27"/>
      <c r="GS225" s="27"/>
      <c r="GT225" s="27"/>
    </row>
    <row r="226" spans="3:202" x14ac:dyDescent="0.25">
      <c r="C226" s="468" t="s">
        <v>40</v>
      </c>
      <c r="D226" s="470">
        <f t="shared" si="10"/>
        <v>1</v>
      </c>
      <c r="E226" s="470">
        <f t="shared" si="11"/>
        <v>0</v>
      </c>
      <c r="F226" s="470">
        <f t="shared" si="12"/>
        <v>2</v>
      </c>
      <c r="G226" s="470">
        <f t="shared" si="13"/>
        <v>0</v>
      </c>
      <c r="H226" s="470">
        <f t="shared" si="14"/>
        <v>1</v>
      </c>
      <c r="I226" s="470">
        <f t="shared" si="15"/>
        <v>3</v>
      </c>
      <c r="J226" s="470">
        <f t="shared" si="16"/>
        <v>0</v>
      </c>
      <c r="GM226" s="27"/>
      <c r="GN226" s="27"/>
      <c r="GO226" s="27"/>
      <c r="GP226" s="27"/>
      <c r="GQ226" s="27"/>
      <c r="GR226" s="27"/>
      <c r="GS226" s="27"/>
      <c r="GT226" s="27"/>
    </row>
    <row r="227" spans="3:202" x14ac:dyDescent="0.25">
      <c r="C227" s="468" t="s">
        <v>48</v>
      </c>
      <c r="D227" s="470">
        <f t="shared" si="10"/>
        <v>0</v>
      </c>
      <c r="E227" s="470">
        <f t="shared" si="11"/>
        <v>0</v>
      </c>
      <c r="F227" s="470">
        <f t="shared" si="12"/>
        <v>0</v>
      </c>
      <c r="G227" s="470">
        <f t="shared" si="13"/>
        <v>0</v>
      </c>
      <c r="H227" s="470">
        <f t="shared" si="14"/>
        <v>2</v>
      </c>
      <c r="I227" s="470">
        <f t="shared" si="15"/>
        <v>0</v>
      </c>
      <c r="J227" s="470">
        <f t="shared" si="16"/>
        <v>0</v>
      </c>
      <c r="GM227" s="27"/>
      <c r="GN227" s="27"/>
      <c r="GO227" s="27"/>
      <c r="GP227" s="27"/>
      <c r="GQ227" s="27"/>
      <c r="GR227" s="27"/>
      <c r="GS227" s="27"/>
      <c r="GT227" s="27"/>
    </row>
    <row r="228" spans="3:202" x14ac:dyDescent="0.25">
      <c r="C228" s="468" t="s">
        <v>637</v>
      </c>
      <c r="D228" s="470">
        <f t="shared" si="10"/>
        <v>4</v>
      </c>
      <c r="E228" s="470">
        <f t="shared" si="11"/>
        <v>0</v>
      </c>
      <c r="F228" s="470">
        <f t="shared" si="12"/>
        <v>0</v>
      </c>
      <c r="G228" s="470">
        <f t="shared" si="13"/>
        <v>0</v>
      </c>
      <c r="H228" s="470">
        <f t="shared" si="14"/>
        <v>0</v>
      </c>
      <c r="I228" s="470">
        <f t="shared" si="15"/>
        <v>2</v>
      </c>
      <c r="J228" s="470">
        <f t="shared" si="16"/>
        <v>0</v>
      </c>
      <c r="GM228" s="27"/>
      <c r="GN228" s="27"/>
      <c r="GO228" s="27"/>
      <c r="GP228" s="27"/>
      <c r="GQ228" s="27"/>
      <c r="GR228" s="27"/>
      <c r="GS228" s="27"/>
      <c r="GT228" s="27"/>
    </row>
    <row r="229" spans="3:202" x14ac:dyDescent="0.25">
      <c r="C229" s="468" t="s">
        <v>630</v>
      </c>
      <c r="D229" s="470">
        <f t="shared" si="10"/>
        <v>2</v>
      </c>
      <c r="E229" s="470">
        <f t="shared" si="11"/>
        <v>0</v>
      </c>
      <c r="F229" s="470">
        <f t="shared" si="12"/>
        <v>0</v>
      </c>
      <c r="G229" s="470">
        <f t="shared" si="13"/>
        <v>0</v>
      </c>
      <c r="H229" s="470">
        <f t="shared" si="14"/>
        <v>1</v>
      </c>
      <c r="I229" s="470">
        <f t="shared" si="15"/>
        <v>2</v>
      </c>
      <c r="J229" s="470">
        <f t="shared" si="16"/>
        <v>0</v>
      </c>
      <c r="GM229" s="27"/>
      <c r="GN229" s="27"/>
      <c r="GO229" s="27"/>
      <c r="GP229" s="27"/>
      <c r="GQ229" s="27"/>
      <c r="GR229" s="27"/>
      <c r="GS229" s="27"/>
      <c r="GT229" s="27"/>
    </row>
    <row r="230" spans="3:202" x14ac:dyDescent="0.25">
      <c r="C230" s="468" t="s">
        <v>113</v>
      </c>
      <c r="D230" s="470">
        <f t="shared" si="10"/>
        <v>0</v>
      </c>
      <c r="E230" s="470">
        <f t="shared" si="11"/>
        <v>1</v>
      </c>
      <c r="F230" s="470">
        <f t="shared" si="12"/>
        <v>0</v>
      </c>
      <c r="G230" s="470">
        <f t="shared" si="13"/>
        <v>0</v>
      </c>
      <c r="H230" s="470">
        <f t="shared" si="14"/>
        <v>0</v>
      </c>
      <c r="I230" s="470">
        <f t="shared" si="15"/>
        <v>0</v>
      </c>
      <c r="J230" s="470">
        <f t="shared" si="16"/>
        <v>0</v>
      </c>
      <c r="GM230" s="27"/>
      <c r="GN230" s="27"/>
      <c r="GO230" s="27"/>
      <c r="GP230" s="27"/>
      <c r="GQ230" s="27"/>
      <c r="GR230" s="27"/>
      <c r="GS230" s="27"/>
      <c r="GT230" s="27"/>
    </row>
    <row r="231" spans="3:202" x14ac:dyDescent="0.25">
      <c r="C231" s="468" t="s">
        <v>74</v>
      </c>
      <c r="D231" s="470">
        <f t="shared" si="10"/>
        <v>0</v>
      </c>
      <c r="E231" s="470">
        <f t="shared" si="11"/>
        <v>1</v>
      </c>
      <c r="F231" s="470">
        <f t="shared" si="12"/>
        <v>1</v>
      </c>
      <c r="G231" s="470">
        <f t="shared" si="13"/>
        <v>0</v>
      </c>
      <c r="H231" s="470">
        <f t="shared" si="14"/>
        <v>0</v>
      </c>
      <c r="I231" s="470">
        <f t="shared" si="15"/>
        <v>3</v>
      </c>
      <c r="J231" s="470">
        <f t="shared" si="16"/>
        <v>0</v>
      </c>
      <c r="GM231" s="27"/>
      <c r="GN231" s="27"/>
      <c r="GO231" s="27"/>
      <c r="GP231" s="27"/>
      <c r="GQ231" s="27"/>
      <c r="GR231" s="27"/>
      <c r="GS231" s="27"/>
      <c r="GT231" s="27"/>
    </row>
    <row r="232" spans="3:202" x14ac:dyDescent="0.25">
      <c r="C232" s="468" t="s">
        <v>638</v>
      </c>
      <c r="D232" s="470">
        <f t="shared" si="10"/>
        <v>2</v>
      </c>
      <c r="E232" s="470">
        <f t="shared" si="11"/>
        <v>1</v>
      </c>
      <c r="F232" s="470">
        <f t="shared" si="12"/>
        <v>1</v>
      </c>
      <c r="G232" s="470">
        <f t="shared" si="13"/>
        <v>0</v>
      </c>
      <c r="H232" s="470">
        <f t="shared" si="14"/>
        <v>0</v>
      </c>
      <c r="I232" s="470">
        <f t="shared" si="15"/>
        <v>0</v>
      </c>
      <c r="J232" s="470">
        <f t="shared" si="16"/>
        <v>0</v>
      </c>
      <c r="GM232" s="27"/>
      <c r="GN232" s="27"/>
      <c r="GO232" s="27"/>
      <c r="GP232" s="27"/>
      <c r="GQ232" s="27"/>
      <c r="GR232" s="27"/>
      <c r="GS232" s="27"/>
      <c r="GT232" s="27"/>
    </row>
    <row r="233" spans="3:202" x14ac:dyDescent="0.25">
      <c r="C233" s="467"/>
      <c r="D233" s="470">
        <f t="shared" ref="D233:J233" si="17">SUM(D223:D232)</f>
        <v>12</v>
      </c>
      <c r="E233" s="470">
        <f t="shared" si="17"/>
        <v>3</v>
      </c>
      <c r="F233" s="470">
        <f t="shared" si="17"/>
        <v>4</v>
      </c>
      <c r="G233" s="470">
        <f t="shared" si="17"/>
        <v>0</v>
      </c>
      <c r="H233" s="470">
        <f t="shared" si="17"/>
        <v>4</v>
      </c>
      <c r="I233" s="470">
        <f t="shared" si="17"/>
        <v>12</v>
      </c>
      <c r="J233" s="470">
        <f t="shared" si="17"/>
        <v>2</v>
      </c>
      <c r="GM233" s="27"/>
      <c r="GN233" s="27"/>
      <c r="GO233" s="27"/>
      <c r="GP233" s="27"/>
      <c r="GQ233" s="27"/>
      <c r="GR233" s="27"/>
      <c r="GS233" s="27"/>
      <c r="GT233" s="27"/>
    </row>
    <row r="234" spans="3:202" x14ac:dyDescent="0.25">
      <c r="C234" s="467"/>
      <c r="D234" s="467"/>
      <c r="E234" s="467"/>
      <c r="F234" s="467"/>
      <c r="G234" s="467">
        <v>-2</v>
      </c>
      <c r="H234" s="467">
        <v>-1</v>
      </c>
      <c r="I234" s="467">
        <v>-1</v>
      </c>
      <c r="J234" s="467">
        <v>-1</v>
      </c>
      <c r="GM234" s="27"/>
      <c r="GN234" s="27"/>
      <c r="GO234" s="27"/>
      <c r="GP234" s="27"/>
      <c r="GQ234" s="27"/>
      <c r="GR234" s="27"/>
      <c r="GS234" s="27"/>
      <c r="GT234" s="27"/>
    </row>
    <row r="235" spans="3:202" x14ac:dyDescent="0.25">
      <c r="C235" s="467"/>
      <c r="D235" s="468">
        <f>D233+D234</f>
        <v>12</v>
      </c>
      <c r="E235" s="468">
        <f t="shared" ref="E235:J235" si="18">E233+E234</f>
        <v>3</v>
      </c>
      <c r="F235" s="468">
        <f t="shared" si="18"/>
        <v>4</v>
      </c>
      <c r="G235" s="468">
        <f t="shared" si="18"/>
        <v>-2</v>
      </c>
      <c r="H235" s="468">
        <f t="shared" si="18"/>
        <v>3</v>
      </c>
      <c r="I235" s="468">
        <f t="shared" si="18"/>
        <v>11</v>
      </c>
      <c r="J235" s="468">
        <f t="shared" si="18"/>
        <v>1</v>
      </c>
      <c r="GM235" s="27"/>
      <c r="GN235" s="27"/>
      <c r="GO235" s="27"/>
      <c r="GP235" s="27"/>
      <c r="GQ235" s="27"/>
      <c r="GR235" s="27"/>
      <c r="GS235" s="27"/>
      <c r="GT235" s="27"/>
    </row>
    <row r="236" spans="3:202" x14ac:dyDescent="0.25">
      <c r="GM236" s="27"/>
      <c r="GN236" s="27"/>
      <c r="GO236" s="27"/>
      <c r="GP236" s="27"/>
      <c r="GQ236" s="27"/>
      <c r="GR236" s="27"/>
      <c r="GS236" s="27"/>
      <c r="GT236" s="27"/>
    </row>
    <row r="237" spans="3:202" x14ac:dyDescent="0.25">
      <c r="GM237" s="27"/>
      <c r="GN237" s="27"/>
      <c r="GO237" s="27"/>
      <c r="GP237" s="27"/>
      <c r="GQ237" s="27"/>
      <c r="GR237" s="27"/>
      <c r="GS237" s="27"/>
      <c r="GT237" s="27"/>
    </row>
    <row r="238" spans="3:202" x14ac:dyDescent="0.25">
      <c r="C238" s="467"/>
      <c r="D238" s="471" t="s">
        <v>420</v>
      </c>
      <c r="E238" s="471" t="s">
        <v>16</v>
      </c>
      <c r="F238" s="471" t="s">
        <v>646</v>
      </c>
      <c r="GM238" s="27"/>
      <c r="GN238" s="27"/>
      <c r="GO238" s="27"/>
      <c r="GP238" s="27"/>
      <c r="GQ238" s="27"/>
      <c r="GR238" s="27"/>
      <c r="GS238" s="27"/>
      <c r="GT238" s="27"/>
    </row>
    <row r="239" spans="3:202" x14ac:dyDescent="0.2">
      <c r="C239" s="472" t="s">
        <v>617</v>
      </c>
      <c r="D239" s="471" t="s">
        <v>645</v>
      </c>
      <c r="E239" s="471" t="s">
        <v>199</v>
      </c>
      <c r="F239" s="471" t="s">
        <v>278</v>
      </c>
      <c r="GM239" s="27"/>
      <c r="GN239" s="27"/>
      <c r="GO239" s="27"/>
      <c r="GP239" s="27"/>
      <c r="GQ239" s="27"/>
      <c r="GR239" s="27"/>
      <c r="GS239" s="27"/>
      <c r="GT239" s="27"/>
    </row>
    <row r="240" spans="3:202" x14ac:dyDescent="0.2">
      <c r="C240" s="472" t="s">
        <v>613</v>
      </c>
      <c r="D240" s="471" t="s">
        <v>647</v>
      </c>
      <c r="E240" s="471" t="s">
        <v>199</v>
      </c>
      <c r="F240" s="471" t="s">
        <v>273</v>
      </c>
      <c r="GM240" s="27"/>
      <c r="GN240" s="27"/>
      <c r="GO240" s="27"/>
      <c r="GP240" s="27"/>
      <c r="GQ240" s="27"/>
      <c r="GR240" s="27"/>
      <c r="GS240" s="27"/>
      <c r="GT240" s="27"/>
    </row>
    <row r="241" spans="3:202" x14ac:dyDescent="0.2">
      <c r="C241" s="472" t="s">
        <v>614</v>
      </c>
      <c r="D241" s="471" t="s">
        <v>243</v>
      </c>
      <c r="E241" s="471" t="s">
        <v>199</v>
      </c>
      <c r="F241" s="471" t="s">
        <v>273</v>
      </c>
      <c r="GM241" s="27"/>
      <c r="GN241" s="27"/>
      <c r="GO241" s="27"/>
      <c r="GP241" s="27"/>
      <c r="GQ241" s="27"/>
      <c r="GR241" s="27"/>
      <c r="GS241" s="27"/>
      <c r="GT241" s="27"/>
    </row>
    <row r="242" spans="3:202" x14ac:dyDescent="0.2">
      <c r="C242" s="472" t="s">
        <v>615</v>
      </c>
      <c r="D242" s="471" t="s">
        <v>243</v>
      </c>
      <c r="E242" s="471" t="s">
        <v>199</v>
      </c>
      <c r="F242" s="471" t="s">
        <v>370</v>
      </c>
      <c r="GM242" s="27"/>
      <c r="GN242" s="27"/>
      <c r="GO242" s="27"/>
      <c r="GP242" s="27"/>
      <c r="GQ242" s="27"/>
      <c r="GR242" s="27"/>
      <c r="GS242" s="27"/>
      <c r="GT242" s="27"/>
    </row>
    <row r="243" spans="3:202" x14ac:dyDescent="0.2">
      <c r="C243" s="473" t="s">
        <v>616</v>
      </c>
      <c r="D243" s="471" t="s">
        <v>243</v>
      </c>
      <c r="E243" s="471" t="s">
        <v>48</v>
      </c>
      <c r="F243" s="471" t="s">
        <v>370</v>
      </c>
      <c r="GM243" s="27"/>
      <c r="GN243" s="27"/>
      <c r="GO243" s="27"/>
      <c r="GP243" s="27"/>
      <c r="GQ243" s="27"/>
      <c r="GR243" s="27"/>
      <c r="GS243" s="27"/>
      <c r="GT243" s="27"/>
    </row>
    <row r="244" spans="3:202" x14ac:dyDescent="0.2">
      <c r="C244" s="473" t="s">
        <v>648</v>
      </c>
      <c r="D244" s="471" t="s">
        <v>649</v>
      </c>
      <c r="E244" s="471" t="s">
        <v>199</v>
      </c>
      <c r="F244" s="471"/>
      <c r="GM244" s="27"/>
      <c r="GN244" s="27"/>
      <c r="GO244" s="27"/>
      <c r="GP244" s="27"/>
      <c r="GQ244" s="27"/>
      <c r="GR244" s="27"/>
      <c r="GS244" s="27"/>
      <c r="GT244" s="27"/>
    </row>
    <row r="245" spans="3:202" x14ac:dyDescent="0.25">
      <c r="GM245" s="27"/>
      <c r="GN245" s="27"/>
      <c r="GO245" s="27"/>
      <c r="GP245" s="27"/>
      <c r="GQ245" s="27"/>
      <c r="GR245" s="27"/>
      <c r="GS245" s="27"/>
      <c r="GT245" s="27"/>
    </row>
    <row r="246" spans="3:202" x14ac:dyDescent="0.25">
      <c r="GM246" s="27"/>
      <c r="GN246" s="27"/>
      <c r="GO246" s="27"/>
      <c r="GP246" s="27"/>
      <c r="GQ246" s="27"/>
      <c r="GR246" s="27"/>
      <c r="GS246" s="27"/>
      <c r="GT246" s="27"/>
    </row>
    <row r="247" spans="3:202" x14ac:dyDescent="0.25">
      <c r="GM247" s="27"/>
      <c r="GN247" s="27"/>
      <c r="GO247" s="27"/>
      <c r="GP247" s="27"/>
      <c r="GQ247" s="27"/>
      <c r="GR247" s="27"/>
      <c r="GS247" s="27"/>
      <c r="GT247" s="27"/>
    </row>
    <row r="248" spans="3:202" x14ac:dyDescent="0.25">
      <c r="GM248" s="27"/>
      <c r="GN248" s="27"/>
      <c r="GO248" s="27"/>
      <c r="GP248" s="27"/>
      <c r="GQ248" s="27"/>
      <c r="GR248" s="27"/>
      <c r="GS248" s="27"/>
      <c r="GT248" s="27"/>
    </row>
    <row r="249" spans="3:202" x14ac:dyDescent="0.25">
      <c r="GM249" s="27"/>
      <c r="GN249" s="27"/>
      <c r="GO249" s="27"/>
      <c r="GP249" s="27"/>
      <c r="GQ249" s="27"/>
      <c r="GR249" s="27"/>
      <c r="GS249" s="27"/>
      <c r="GT249" s="27"/>
    </row>
    <row r="250" spans="3:202" x14ac:dyDescent="0.25">
      <c r="GM250" s="27"/>
      <c r="GN250" s="27"/>
      <c r="GO250" s="27"/>
      <c r="GP250" s="27"/>
      <c r="GQ250" s="27"/>
      <c r="GR250" s="27"/>
      <c r="GS250" s="27"/>
      <c r="GT250" s="27"/>
    </row>
    <row r="251" spans="3:202" x14ac:dyDescent="0.25">
      <c r="GM251" s="27"/>
      <c r="GN251" s="27"/>
      <c r="GO251" s="27"/>
      <c r="GP251" s="27"/>
      <c r="GQ251" s="27"/>
      <c r="GR251" s="27"/>
      <c r="GS251" s="27"/>
      <c r="GT251" s="27"/>
    </row>
    <row r="252" spans="3:202" x14ac:dyDescent="0.25">
      <c r="GM252" s="27"/>
      <c r="GN252" s="27"/>
      <c r="GO252" s="27"/>
      <c r="GP252" s="27"/>
      <c r="GQ252" s="27"/>
      <c r="GR252" s="27"/>
      <c r="GS252" s="27"/>
      <c r="GT252" s="27"/>
    </row>
    <row r="253" spans="3:202" x14ac:dyDescent="0.25">
      <c r="GM253" s="27"/>
      <c r="GN253" s="27"/>
      <c r="GO253" s="27"/>
      <c r="GP253" s="27"/>
      <c r="GQ253" s="27"/>
      <c r="GR253" s="27"/>
      <c r="GS253" s="27"/>
      <c r="GT253" s="27"/>
    </row>
    <row r="254" spans="3:202" x14ac:dyDescent="0.25">
      <c r="GM254" s="27"/>
      <c r="GN254" s="27"/>
      <c r="GO254" s="27"/>
      <c r="GP254" s="27"/>
      <c r="GQ254" s="27"/>
      <c r="GR254" s="27"/>
      <c r="GS254" s="27"/>
      <c r="GT254" s="27"/>
    </row>
    <row r="255" spans="3:202" x14ac:dyDescent="0.25">
      <c r="GM255" s="27"/>
      <c r="GN255" s="27"/>
      <c r="GO255" s="27"/>
      <c r="GP255" s="27"/>
      <c r="GQ255" s="27"/>
      <c r="GR255" s="27"/>
      <c r="GS255" s="27"/>
      <c r="GT255" s="27"/>
    </row>
    <row r="256" spans="3:202" x14ac:dyDescent="0.25">
      <c r="GM256" s="27"/>
      <c r="GN256" s="27"/>
      <c r="GO256" s="27"/>
      <c r="GP256" s="27"/>
      <c r="GQ256" s="27"/>
      <c r="GR256" s="27"/>
      <c r="GS256" s="27"/>
      <c r="GT256" s="27"/>
    </row>
    <row r="257" spans="195:202" x14ac:dyDescent="0.25">
      <c r="GM257" s="27"/>
      <c r="GN257" s="27"/>
      <c r="GO257" s="27"/>
      <c r="GP257" s="27"/>
      <c r="GQ257" s="27"/>
      <c r="GR257" s="27"/>
      <c r="GS257" s="27"/>
      <c r="GT257" s="27"/>
    </row>
    <row r="258" spans="195:202" x14ac:dyDescent="0.25">
      <c r="GM258" s="27"/>
      <c r="GN258" s="27"/>
      <c r="GO258" s="27"/>
      <c r="GP258" s="27"/>
      <c r="GQ258" s="27"/>
      <c r="GR258" s="27"/>
      <c r="GS258" s="27"/>
      <c r="GT258" s="27"/>
    </row>
    <row r="259" spans="195:202" x14ac:dyDescent="0.25">
      <c r="GM259" s="27"/>
      <c r="GN259" s="27"/>
      <c r="GO259" s="27"/>
      <c r="GP259" s="27"/>
      <c r="GQ259" s="27"/>
      <c r="GR259" s="27"/>
      <c r="GS259" s="27"/>
      <c r="GT259" s="27"/>
    </row>
    <row r="260" spans="195:202" x14ac:dyDescent="0.25">
      <c r="GM260" s="27"/>
      <c r="GN260" s="27"/>
      <c r="GO260" s="27"/>
      <c r="GP260" s="27"/>
      <c r="GQ260" s="27"/>
      <c r="GR260" s="27"/>
      <c r="GS260" s="27"/>
      <c r="GT260" s="27"/>
    </row>
    <row r="261" spans="195:202" x14ac:dyDescent="0.25">
      <c r="GM261" s="27"/>
      <c r="GN261" s="27"/>
      <c r="GO261" s="27"/>
      <c r="GP261" s="27"/>
      <c r="GQ261" s="27"/>
      <c r="GR261" s="27"/>
      <c r="GS261" s="27"/>
      <c r="GT261" s="27"/>
    </row>
    <row r="262" spans="195:202" x14ac:dyDescent="0.25">
      <c r="GM262" s="27"/>
      <c r="GN262" s="27"/>
      <c r="GO262" s="27"/>
      <c r="GP262" s="27"/>
      <c r="GQ262" s="27"/>
      <c r="GR262" s="27"/>
      <c r="GS262" s="27"/>
      <c r="GT262" s="27"/>
    </row>
    <row r="263" spans="195:202" x14ac:dyDescent="0.25">
      <c r="GM263" s="27"/>
      <c r="GN263" s="27"/>
      <c r="GO263" s="27"/>
      <c r="GP263" s="27"/>
      <c r="GQ263" s="27"/>
      <c r="GR263" s="27"/>
      <c r="GS263" s="27"/>
      <c r="GT263" s="27"/>
    </row>
    <row r="264" spans="195:202" x14ac:dyDescent="0.25">
      <c r="GM264" s="27"/>
      <c r="GN264" s="27"/>
      <c r="GO264" s="27"/>
      <c r="GP264" s="27"/>
      <c r="GQ264" s="27"/>
      <c r="GR264" s="27"/>
      <c r="GS264" s="27"/>
      <c r="GT264" s="27"/>
    </row>
    <row r="265" spans="195:202" x14ac:dyDescent="0.25">
      <c r="GM265" s="27"/>
      <c r="GN265" s="27"/>
      <c r="GO265" s="27"/>
      <c r="GP265" s="27"/>
      <c r="GQ265" s="27"/>
      <c r="GR265" s="27"/>
      <c r="GS265" s="27"/>
      <c r="GT265" s="27"/>
    </row>
    <row r="266" spans="195:202" x14ac:dyDescent="0.25">
      <c r="GM266" s="27"/>
      <c r="GN266" s="27"/>
      <c r="GO266" s="27"/>
      <c r="GP266" s="27"/>
      <c r="GQ266" s="27"/>
      <c r="GR266" s="27"/>
      <c r="GS266" s="27"/>
      <c r="GT266" s="27"/>
    </row>
    <row r="267" spans="195:202" x14ac:dyDescent="0.25">
      <c r="GM267" s="27"/>
      <c r="GN267" s="27"/>
      <c r="GO267" s="27"/>
      <c r="GP267" s="27"/>
      <c r="GQ267" s="27"/>
      <c r="GR267" s="27"/>
      <c r="GS267" s="27"/>
      <c r="GT267" s="27"/>
    </row>
    <row r="268" spans="195:202" x14ac:dyDescent="0.25">
      <c r="GM268" s="27"/>
      <c r="GN268" s="27"/>
      <c r="GO268" s="27"/>
      <c r="GP268" s="27"/>
      <c r="GQ268" s="27"/>
      <c r="GR268" s="27"/>
      <c r="GS268" s="27"/>
      <c r="GT268" s="27"/>
    </row>
    <row r="269" spans="195:202" x14ac:dyDescent="0.25">
      <c r="GM269" s="27"/>
      <c r="GN269" s="27"/>
      <c r="GO269" s="27"/>
      <c r="GP269" s="27"/>
      <c r="GQ269" s="27"/>
      <c r="GR269" s="27"/>
      <c r="GS269" s="27"/>
      <c r="GT269" s="27"/>
    </row>
    <row r="270" spans="195:202" x14ac:dyDescent="0.25">
      <c r="GM270" s="27"/>
      <c r="GN270" s="27"/>
      <c r="GO270" s="27"/>
      <c r="GP270" s="27"/>
      <c r="GQ270" s="27"/>
      <c r="GR270" s="27"/>
      <c r="GS270" s="27"/>
      <c r="GT270" s="27"/>
    </row>
    <row r="271" spans="195:202" x14ac:dyDescent="0.25">
      <c r="GM271" s="27"/>
      <c r="GN271" s="27"/>
      <c r="GO271" s="27"/>
      <c r="GP271" s="27"/>
      <c r="GQ271" s="27"/>
      <c r="GR271" s="27"/>
      <c r="GS271" s="27"/>
      <c r="GT271" s="27"/>
    </row>
    <row r="272" spans="195:202" x14ac:dyDescent="0.25">
      <c r="GM272" s="27"/>
      <c r="GN272" s="27"/>
      <c r="GO272" s="27"/>
      <c r="GP272" s="27"/>
      <c r="GQ272" s="27"/>
      <c r="GR272" s="27"/>
      <c r="GS272" s="27"/>
      <c r="GT272" s="27"/>
    </row>
    <row r="273" spans="195:202" x14ac:dyDescent="0.25">
      <c r="GM273" s="27"/>
      <c r="GN273" s="27"/>
      <c r="GO273" s="27"/>
      <c r="GP273" s="27"/>
      <c r="GQ273" s="27"/>
      <c r="GR273" s="27"/>
      <c r="GS273" s="27"/>
      <c r="GT273" s="27"/>
    </row>
    <row r="274" spans="195:202" x14ac:dyDescent="0.25">
      <c r="GM274" s="27"/>
      <c r="GN274" s="27"/>
      <c r="GO274" s="27"/>
      <c r="GP274" s="27"/>
      <c r="GQ274" s="27"/>
      <c r="GR274" s="27"/>
      <c r="GS274" s="27"/>
      <c r="GT274" s="27"/>
    </row>
    <row r="275" spans="195:202" x14ac:dyDescent="0.25">
      <c r="GM275" s="27"/>
      <c r="GN275" s="27"/>
      <c r="GO275" s="27"/>
      <c r="GP275" s="27"/>
      <c r="GQ275" s="27"/>
      <c r="GR275" s="27"/>
      <c r="GS275" s="27"/>
      <c r="GT275" s="27"/>
    </row>
    <row r="276" spans="195:202" x14ac:dyDescent="0.25">
      <c r="GM276" s="27"/>
      <c r="GN276" s="27"/>
      <c r="GO276" s="27"/>
      <c r="GP276" s="27"/>
      <c r="GQ276" s="27"/>
      <c r="GR276" s="27"/>
      <c r="GS276" s="27"/>
      <c r="GT276" s="27"/>
    </row>
    <row r="277" spans="195:202" x14ac:dyDescent="0.25">
      <c r="GM277" s="27"/>
      <c r="GN277" s="27"/>
      <c r="GO277" s="27"/>
      <c r="GP277" s="27"/>
      <c r="GQ277" s="27"/>
      <c r="GR277" s="27"/>
      <c r="GS277" s="27"/>
      <c r="GT277" s="27"/>
    </row>
    <row r="278" spans="195:202" x14ac:dyDescent="0.25">
      <c r="GM278" s="27"/>
      <c r="GN278" s="27"/>
      <c r="GO278" s="27"/>
      <c r="GP278" s="27"/>
      <c r="GQ278" s="27"/>
      <c r="GR278" s="27"/>
      <c r="GS278" s="27"/>
      <c r="GT278" s="27"/>
    </row>
    <row r="279" spans="195:202" x14ac:dyDescent="0.25">
      <c r="GM279" s="27"/>
      <c r="GN279" s="27"/>
      <c r="GO279" s="27"/>
      <c r="GP279" s="27"/>
      <c r="GQ279" s="27"/>
      <c r="GR279" s="27"/>
      <c r="GS279" s="27"/>
      <c r="GT279" s="27"/>
    </row>
    <row r="280" spans="195:202" x14ac:dyDescent="0.25">
      <c r="GM280" s="27"/>
      <c r="GN280" s="27"/>
      <c r="GO280" s="27"/>
      <c r="GP280" s="27"/>
      <c r="GQ280" s="27"/>
      <c r="GR280" s="27"/>
      <c r="GS280" s="27"/>
      <c r="GT280" s="27"/>
    </row>
    <row r="281" spans="195:202" x14ac:dyDescent="0.25">
      <c r="GM281" s="27"/>
      <c r="GN281" s="27"/>
      <c r="GO281" s="27"/>
      <c r="GP281" s="27"/>
      <c r="GQ281" s="27"/>
      <c r="GR281" s="27"/>
      <c r="GS281" s="27"/>
      <c r="GT281" s="27"/>
    </row>
    <row r="282" spans="195:202" x14ac:dyDescent="0.25">
      <c r="GM282" s="27"/>
      <c r="GN282" s="27"/>
      <c r="GO282" s="27"/>
      <c r="GP282" s="27"/>
      <c r="GQ282" s="27"/>
      <c r="GR282" s="27"/>
      <c r="GS282" s="27"/>
      <c r="GT282" s="27"/>
    </row>
    <row r="283" spans="195:202" x14ac:dyDescent="0.25">
      <c r="GM283" s="27"/>
      <c r="GN283" s="27"/>
      <c r="GO283" s="27"/>
      <c r="GP283" s="27"/>
      <c r="GQ283" s="27"/>
      <c r="GR283" s="27"/>
      <c r="GS283" s="27"/>
      <c r="GT283" s="27"/>
    </row>
    <row r="284" spans="195:202" x14ac:dyDescent="0.25">
      <c r="GM284" s="27"/>
      <c r="GN284" s="27"/>
      <c r="GO284" s="27"/>
      <c r="GP284" s="27"/>
      <c r="GQ284" s="27"/>
      <c r="GR284" s="27"/>
      <c r="GS284" s="27"/>
      <c r="GT284" s="27"/>
    </row>
    <row r="285" spans="195:202" x14ac:dyDescent="0.25">
      <c r="GM285" s="27"/>
      <c r="GN285" s="27"/>
      <c r="GO285" s="27"/>
      <c r="GP285" s="27"/>
      <c r="GQ285" s="27"/>
      <c r="GR285" s="27"/>
      <c r="GS285" s="27"/>
      <c r="GT285" s="27"/>
    </row>
    <row r="286" spans="195:202" x14ac:dyDescent="0.25">
      <c r="GM286" s="27"/>
      <c r="GN286" s="27"/>
      <c r="GO286" s="27"/>
      <c r="GP286" s="27"/>
      <c r="GQ286" s="27"/>
      <c r="GR286" s="27"/>
      <c r="GS286" s="27"/>
      <c r="GT286" s="27"/>
    </row>
    <row r="287" spans="195:202" x14ac:dyDescent="0.25">
      <c r="GM287" s="27"/>
      <c r="GN287" s="27"/>
      <c r="GO287" s="27"/>
      <c r="GP287" s="27"/>
      <c r="GQ287" s="27"/>
      <c r="GR287" s="27"/>
      <c r="GS287" s="27"/>
      <c r="GT287" s="27"/>
    </row>
    <row r="288" spans="195:202" x14ac:dyDescent="0.25">
      <c r="GM288" s="27"/>
      <c r="GN288" s="27"/>
      <c r="GO288" s="27"/>
      <c r="GP288" s="27"/>
      <c r="GQ288" s="27"/>
      <c r="GR288" s="27"/>
      <c r="GS288" s="27"/>
      <c r="GT288" s="27"/>
    </row>
    <row r="289" spans="195:202" x14ac:dyDescent="0.25">
      <c r="GM289" s="27"/>
      <c r="GN289" s="27"/>
      <c r="GO289" s="27"/>
      <c r="GP289" s="27"/>
      <c r="GQ289" s="27"/>
      <c r="GR289" s="27"/>
      <c r="GS289" s="27"/>
      <c r="GT289" s="27"/>
    </row>
    <row r="290" spans="195:202" x14ac:dyDescent="0.25">
      <c r="GM290" s="27"/>
      <c r="GN290" s="27"/>
      <c r="GO290" s="27"/>
      <c r="GP290" s="27"/>
      <c r="GQ290" s="27"/>
      <c r="GR290" s="27"/>
      <c r="GS290" s="27"/>
      <c r="GT290" s="27"/>
    </row>
    <row r="291" spans="195:202" x14ac:dyDescent="0.25">
      <c r="GM291" s="27"/>
      <c r="GN291" s="27"/>
      <c r="GO291" s="27"/>
      <c r="GP291" s="27"/>
      <c r="GQ291" s="27"/>
      <c r="GR291" s="27"/>
      <c r="GS291" s="27"/>
      <c r="GT291" s="27"/>
    </row>
    <row r="292" spans="195:202" x14ac:dyDescent="0.25">
      <c r="GM292" s="27"/>
      <c r="GN292" s="27"/>
      <c r="GO292" s="27"/>
      <c r="GP292" s="27"/>
      <c r="GQ292" s="27"/>
      <c r="GR292" s="27"/>
      <c r="GS292" s="27"/>
      <c r="GT292" s="27"/>
    </row>
    <row r="293" spans="195:202" x14ac:dyDescent="0.25">
      <c r="GM293" s="27"/>
      <c r="GN293" s="27"/>
      <c r="GO293" s="27"/>
      <c r="GP293" s="27"/>
      <c r="GQ293" s="27"/>
      <c r="GR293" s="27"/>
      <c r="GS293" s="27"/>
      <c r="GT293" s="27"/>
    </row>
    <row r="294" spans="195:202" x14ac:dyDescent="0.25">
      <c r="GM294" s="27"/>
      <c r="GN294" s="27"/>
      <c r="GO294" s="27"/>
      <c r="GP294" s="27"/>
      <c r="GQ294" s="27"/>
      <c r="GR294" s="27"/>
      <c r="GS294" s="27"/>
      <c r="GT294" s="27"/>
    </row>
    <row r="295" spans="195:202" x14ac:dyDescent="0.25">
      <c r="GM295" s="27"/>
      <c r="GN295" s="27"/>
      <c r="GO295" s="27"/>
      <c r="GP295" s="27"/>
      <c r="GQ295" s="27"/>
      <c r="GR295" s="27"/>
      <c r="GS295" s="27"/>
      <c r="GT295" s="27"/>
    </row>
    <row r="296" spans="195:202" x14ac:dyDescent="0.25">
      <c r="GM296" s="27"/>
      <c r="GN296" s="27"/>
      <c r="GO296" s="27"/>
      <c r="GP296" s="27"/>
      <c r="GQ296" s="27"/>
      <c r="GR296" s="27"/>
      <c r="GS296" s="27"/>
      <c r="GT296" s="27"/>
    </row>
    <row r="297" spans="195:202" x14ac:dyDescent="0.25">
      <c r="GM297" s="27"/>
      <c r="GN297" s="27"/>
      <c r="GO297" s="27"/>
      <c r="GP297" s="27"/>
      <c r="GQ297" s="27"/>
      <c r="GR297" s="27"/>
      <c r="GS297" s="27"/>
      <c r="GT297" s="27"/>
    </row>
    <row r="298" spans="195:202" x14ac:dyDescent="0.25">
      <c r="GM298" s="27"/>
      <c r="GN298" s="27"/>
      <c r="GO298" s="27"/>
      <c r="GP298" s="27"/>
      <c r="GQ298" s="27"/>
      <c r="GR298" s="27"/>
      <c r="GS298" s="27"/>
      <c r="GT298" s="27"/>
    </row>
    <row r="299" spans="195:202" x14ac:dyDescent="0.25">
      <c r="GM299" s="27"/>
      <c r="GN299" s="27"/>
      <c r="GO299" s="27"/>
      <c r="GP299" s="27"/>
      <c r="GQ299" s="27"/>
      <c r="GR299" s="27"/>
      <c r="GS299" s="27"/>
      <c r="GT299" s="27"/>
    </row>
    <row r="300" spans="195:202" x14ac:dyDescent="0.25">
      <c r="GM300" s="27"/>
      <c r="GN300" s="27"/>
      <c r="GO300" s="27"/>
      <c r="GP300" s="27"/>
      <c r="GQ300" s="27"/>
      <c r="GR300" s="27"/>
      <c r="GS300" s="27"/>
      <c r="GT300" s="27"/>
    </row>
    <row r="301" spans="195:202" x14ac:dyDescent="0.25">
      <c r="GM301" s="27"/>
      <c r="GN301" s="27"/>
      <c r="GO301" s="27"/>
      <c r="GP301" s="27"/>
      <c r="GQ301" s="27"/>
      <c r="GR301" s="27"/>
      <c r="GS301" s="27"/>
      <c r="GT301" s="27"/>
    </row>
    <row r="302" spans="195:202" x14ac:dyDescent="0.25">
      <c r="GM302" s="27"/>
      <c r="GN302" s="27"/>
      <c r="GO302" s="27"/>
      <c r="GP302" s="27"/>
      <c r="GQ302" s="27"/>
      <c r="GR302" s="27"/>
      <c r="GS302" s="27"/>
      <c r="GT302" s="27"/>
    </row>
    <row r="303" spans="195:202" x14ac:dyDescent="0.25">
      <c r="GM303" s="27"/>
      <c r="GN303" s="27"/>
      <c r="GO303" s="27"/>
      <c r="GP303" s="27"/>
      <c r="GQ303" s="27"/>
      <c r="GR303" s="27"/>
      <c r="GS303" s="27"/>
      <c r="GT303" s="27"/>
    </row>
    <row r="304" spans="195:202" x14ac:dyDescent="0.25">
      <c r="GM304" s="27"/>
      <c r="GN304" s="27"/>
      <c r="GO304" s="27"/>
      <c r="GP304" s="27"/>
      <c r="GQ304" s="27"/>
      <c r="GR304" s="27"/>
      <c r="GS304" s="27"/>
      <c r="GT304" s="27"/>
    </row>
    <row r="305" spans="195:202" x14ac:dyDescent="0.25">
      <c r="GM305" s="27"/>
      <c r="GN305" s="27"/>
      <c r="GO305" s="27"/>
      <c r="GP305" s="27"/>
      <c r="GQ305" s="27"/>
      <c r="GR305" s="27"/>
      <c r="GS305" s="27"/>
      <c r="GT305" s="27"/>
    </row>
    <row r="306" spans="195:202" x14ac:dyDescent="0.25">
      <c r="GM306" s="27"/>
      <c r="GN306" s="27"/>
      <c r="GO306" s="27"/>
      <c r="GP306" s="27"/>
      <c r="GQ306" s="27"/>
      <c r="GR306" s="27"/>
      <c r="GS306" s="27"/>
      <c r="GT306" s="27"/>
    </row>
    <row r="307" spans="195:202" x14ac:dyDescent="0.25">
      <c r="GM307" s="27"/>
      <c r="GN307" s="27"/>
      <c r="GO307" s="27"/>
      <c r="GP307" s="27"/>
      <c r="GQ307" s="27"/>
      <c r="GR307" s="27"/>
      <c r="GS307" s="27"/>
      <c r="GT307" s="27"/>
    </row>
    <row r="308" spans="195:202" x14ac:dyDescent="0.25">
      <c r="GM308" s="27"/>
      <c r="GN308" s="27"/>
      <c r="GO308" s="27"/>
      <c r="GP308" s="27"/>
      <c r="GQ308" s="27"/>
      <c r="GR308" s="27"/>
      <c r="GS308" s="27"/>
      <c r="GT308" s="27"/>
    </row>
    <row r="309" spans="195:202" x14ac:dyDescent="0.25">
      <c r="GM309" s="27"/>
      <c r="GN309" s="27"/>
      <c r="GO309" s="27"/>
      <c r="GP309" s="27"/>
      <c r="GQ309" s="27"/>
      <c r="GR309" s="27"/>
      <c r="GS309" s="27"/>
      <c r="GT309" s="27"/>
    </row>
    <row r="310" spans="195:202" x14ac:dyDescent="0.25">
      <c r="GM310" s="27"/>
      <c r="GN310" s="27"/>
      <c r="GO310" s="27"/>
      <c r="GP310" s="27"/>
      <c r="GQ310" s="27"/>
      <c r="GR310" s="27"/>
      <c r="GS310" s="27"/>
      <c r="GT310" s="27"/>
    </row>
    <row r="311" spans="195:202" x14ac:dyDescent="0.25">
      <c r="GM311" s="27"/>
      <c r="GN311" s="27"/>
      <c r="GO311" s="27"/>
      <c r="GP311" s="27"/>
      <c r="GQ311" s="27"/>
      <c r="GR311" s="27"/>
      <c r="GS311" s="27"/>
      <c r="GT311" s="27"/>
    </row>
    <row r="312" spans="195:202" x14ac:dyDescent="0.25">
      <c r="GM312" s="27"/>
      <c r="GN312" s="27"/>
      <c r="GO312" s="27"/>
      <c r="GP312" s="27"/>
      <c r="GQ312" s="27"/>
      <c r="GR312" s="27"/>
      <c r="GS312" s="27"/>
      <c r="GT312" s="27"/>
    </row>
    <row r="313" spans="195:202" x14ac:dyDescent="0.25">
      <c r="GM313" s="27"/>
      <c r="GN313" s="27"/>
      <c r="GO313" s="27"/>
      <c r="GP313" s="27"/>
      <c r="GQ313" s="27"/>
      <c r="GR313" s="27"/>
      <c r="GS313" s="27"/>
      <c r="GT313" s="27"/>
    </row>
    <row r="314" spans="195:202" x14ac:dyDescent="0.25">
      <c r="GM314" s="27"/>
      <c r="GN314" s="27"/>
      <c r="GO314" s="27"/>
      <c r="GP314" s="27"/>
      <c r="GQ314" s="27"/>
      <c r="GR314" s="27"/>
      <c r="GS314" s="27"/>
      <c r="GT314" s="27"/>
    </row>
    <row r="315" spans="195:202" x14ac:dyDescent="0.25">
      <c r="GM315" s="27"/>
      <c r="GN315" s="27"/>
      <c r="GO315" s="27"/>
      <c r="GP315" s="27"/>
      <c r="GQ315" s="27"/>
      <c r="GR315" s="27"/>
      <c r="GS315" s="27"/>
      <c r="GT315" s="27"/>
    </row>
    <row r="316" spans="195:202" x14ac:dyDescent="0.25">
      <c r="GM316" s="27"/>
      <c r="GN316" s="27"/>
      <c r="GO316" s="27"/>
      <c r="GP316" s="27"/>
      <c r="GQ316" s="27"/>
      <c r="GR316" s="27"/>
      <c r="GS316" s="27"/>
      <c r="GT316" s="27"/>
    </row>
    <row r="317" spans="195:202" x14ac:dyDescent="0.25">
      <c r="GM317" s="27"/>
      <c r="GN317" s="27"/>
      <c r="GO317" s="27"/>
      <c r="GP317" s="27"/>
      <c r="GQ317" s="27"/>
      <c r="GR317" s="27"/>
      <c r="GS317" s="27"/>
      <c r="GT317" s="27"/>
    </row>
    <row r="318" spans="195:202" x14ac:dyDescent="0.25">
      <c r="GM318" s="27"/>
      <c r="GN318" s="27"/>
      <c r="GO318" s="27"/>
      <c r="GP318" s="27"/>
      <c r="GQ318" s="27"/>
      <c r="GR318" s="27"/>
      <c r="GS318" s="27"/>
      <c r="GT318" s="27"/>
    </row>
    <row r="319" spans="195:202" x14ac:dyDescent="0.25">
      <c r="GM319" s="27"/>
      <c r="GN319" s="27"/>
      <c r="GO319" s="27"/>
      <c r="GP319" s="27"/>
      <c r="GQ319" s="27"/>
      <c r="GR319" s="27"/>
      <c r="GS319" s="27"/>
      <c r="GT319" s="27"/>
    </row>
    <row r="320" spans="195:202" x14ac:dyDescent="0.25">
      <c r="GM320" s="27"/>
      <c r="GN320" s="27"/>
      <c r="GO320" s="27"/>
      <c r="GP320" s="27"/>
      <c r="GQ320" s="27"/>
      <c r="GR320" s="27"/>
      <c r="GS320" s="27"/>
      <c r="GT320" s="27"/>
    </row>
    <row r="321" spans="195:202" x14ac:dyDescent="0.25">
      <c r="GM321" s="27"/>
      <c r="GN321" s="27"/>
      <c r="GO321" s="27"/>
      <c r="GP321" s="27"/>
      <c r="GQ321" s="27"/>
      <c r="GR321" s="27"/>
      <c r="GS321" s="27"/>
      <c r="GT321" s="27"/>
    </row>
    <row r="322" spans="195:202" x14ac:dyDescent="0.25">
      <c r="GM322" s="27"/>
      <c r="GN322" s="27"/>
      <c r="GO322" s="27"/>
      <c r="GP322" s="27"/>
      <c r="GQ322" s="27"/>
      <c r="GR322" s="27"/>
      <c r="GS322" s="27"/>
      <c r="GT322" s="27"/>
    </row>
    <row r="323" spans="195:202" x14ac:dyDescent="0.25">
      <c r="GM323" s="27"/>
      <c r="GN323" s="27"/>
      <c r="GO323" s="27"/>
      <c r="GP323" s="27"/>
      <c r="GQ323" s="27"/>
      <c r="GR323" s="27"/>
      <c r="GS323" s="27"/>
      <c r="GT323" s="27"/>
    </row>
    <row r="324" spans="195:202" x14ac:dyDescent="0.25">
      <c r="GM324" s="27"/>
      <c r="GN324" s="27"/>
      <c r="GO324" s="27"/>
      <c r="GP324" s="27"/>
      <c r="GQ324" s="27"/>
      <c r="GR324" s="27"/>
      <c r="GS324" s="27"/>
      <c r="GT324" s="27"/>
    </row>
    <row r="325" spans="195:202" x14ac:dyDescent="0.25">
      <c r="GM325" s="27"/>
      <c r="GN325" s="27"/>
      <c r="GO325" s="27"/>
      <c r="GP325" s="27"/>
      <c r="GQ325" s="27"/>
      <c r="GR325" s="27"/>
      <c r="GS325" s="27"/>
      <c r="GT325" s="27"/>
    </row>
    <row r="326" spans="195:202" x14ac:dyDescent="0.25">
      <c r="GM326" s="27"/>
      <c r="GN326" s="27"/>
      <c r="GO326" s="27"/>
      <c r="GP326" s="27"/>
      <c r="GQ326" s="27"/>
      <c r="GR326" s="27"/>
      <c r="GS326" s="27"/>
      <c r="GT326" s="27"/>
    </row>
    <row r="327" spans="195:202" x14ac:dyDescent="0.25">
      <c r="GM327" s="27"/>
      <c r="GN327" s="27"/>
      <c r="GO327" s="27"/>
      <c r="GP327" s="27"/>
      <c r="GQ327" s="27"/>
      <c r="GR327" s="27"/>
      <c r="GS327" s="27"/>
      <c r="GT327" s="27"/>
    </row>
    <row r="328" spans="195:202" x14ac:dyDescent="0.25">
      <c r="GM328" s="27"/>
      <c r="GN328" s="27"/>
      <c r="GO328" s="27"/>
      <c r="GP328" s="27"/>
      <c r="GQ328" s="27"/>
      <c r="GR328" s="27"/>
      <c r="GS328" s="27"/>
      <c r="GT328" s="27"/>
    </row>
    <row r="329" spans="195:202" x14ac:dyDescent="0.25">
      <c r="GM329" s="27"/>
      <c r="GN329" s="27"/>
      <c r="GO329" s="27"/>
      <c r="GP329" s="27"/>
      <c r="GQ329" s="27"/>
      <c r="GR329" s="27"/>
      <c r="GS329" s="27"/>
      <c r="GT329" s="27"/>
    </row>
    <row r="330" spans="195:202" x14ac:dyDescent="0.25">
      <c r="GM330" s="27"/>
      <c r="GN330" s="27"/>
      <c r="GO330" s="27"/>
      <c r="GP330" s="27"/>
      <c r="GQ330" s="27"/>
      <c r="GR330" s="27"/>
      <c r="GS330" s="27"/>
      <c r="GT330" s="27"/>
    </row>
    <row r="331" spans="195:202" x14ac:dyDescent="0.25">
      <c r="GM331" s="27"/>
      <c r="GN331" s="27"/>
      <c r="GO331" s="27"/>
      <c r="GP331" s="27"/>
      <c r="GQ331" s="27"/>
      <c r="GR331" s="27"/>
      <c r="GS331" s="27"/>
      <c r="GT331" s="27"/>
    </row>
    <row r="332" spans="195:202" x14ac:dyDescent="0.25">
      <c r="GM332" s="27"/>
      <c r="GN332" s="27"/>
      <c r="GO332" s="27"/>
      <c r="GP332" s="27"/>
      <c r="GQ332" s="27"/>
      <c r="GR332" s="27"/>
      <c r="GS332" s="27"/>
      <c r="GT332" s="27"/>
    </row>
    <row r="333" spans="195:202" x14ac:dyDescent="0.25">
      <c r="GM333" s="27"/>
      <c r="GN333" s="27"/>
      <c r="GO333" s="27"/>
      <c r="GP333" s="27"/>
      <c r="GQ333" s="27"/>
      <c r="GR333" s="27"/>
      <c r="GS333" s="27"/>
      <c r="GT333" s="27"/>
    </row>
    <row r="334" spans="195:202" x14ac:dyDescent="0.25">
      <c r="GM334" s="27"/>
      <c r="GN334" s="27"/>
      <c r="GO334" s="27"/>
      <c r="GP334" s="27"/>
      <c r="GQ334" s="27"/>
      <c r="GR334" s="27"/>
      <c r="GS334" s="27"/>
      <c r="GT334" s="27"/>
    </row>
    <row r="335" spans="195:202" x14ac:dyDescent="0.25">
      <c r="GM335" s="27"/>
      <c r="GN335" s="27"/>
      <c r="GO335" s="27"/>
      <c r="GP335" s="27"/>
      <c r="GQ335" s="27"/>
      <c r="GR335" s="27"/>
      <c r="GS335" s="27"/>
      <c r="GT335" s="27"/>
    </row>
    <row r="336" spans="195:202" x14ac:dyDescent="0.25">
      <c r="GM336" s="27"/>
      <c r="GN336" s="27"/>
      <c r="GO336" s="27"/>
      <c r="GP336" s="27"/>
      <c r="GQ336" s="27"/>
      <c r="GR336" s="27"/>
      <c r="GS336" s="27"/>
      <c r="GT336" s="27"/>
    </row>
    <row r="337" spans="195:202" x14ac:dyDescent="0.25">
      <c r="GM337" s="27"/>
      <c r="GN337" s="27"/>
      <c r="GO337" s="27"/>
      <c r="GP337" s="27"/>
      <c r="GQ337" s="27"/>
      <c r="GR337" s="27"/>
      <c r="GS337" s="27"/>
      <c r="GT337" s="27"/>
    </row>
    <row r="338" spans="195:202" x14ac:dyDescent="0.25">
      <c r="GM338" s="27"/>
      <c r="GN338" s="27"/>
      <c r="GO338" s="27"/>
      <c r="GP338" s="27"/>
      <c r="GQ338" s="27"/>
      <c r="GR338" s="27"/>
      <c r="GS338" s="27"/>
      <c r="GT338" s="27"/>
    </row>
    <row r="339" spans="195:202" x14ac:dyDescent="0.25">
      <c r="GM339" s="27"/>
      <c r="GN339" s="27"/>
      <c r="GO339" s="27"/>
      <c r="GP339" s="27"/>
      <c r="GQ339" s="27"/>
      <c r="GR339" s="27"/>
      <c r="GS339" s="27"/>
      <c r="GT339" s="27"/>
    </row>
    <row r="340" spans="195:202" x14ac:dyDescent="0.25">
      <c r="GM340" s="27"/>
      <c r="GN340" s="27"/>
      <c r="GO340" s="27"/>
      <c r="GP340" s="27"/>
      <c r="GQ340" s="27"/>
      <c r="GR340" s="27"/>
      <c r="GS340" s="27"/>
      <c r="GT340" s="27"/>
    </row>
    <row r="341" spans="195:202" x14ac:dyDescent="0.25">
      <c r="GM341" s="27"/>
      <c r="GN341" s="27"/>
      <c r="GO341" s="27"/>
      <c r="GP341" s="27"/>
      <c r="GQ341" s="27"/>
      <c r="GR341" s="27"/>
      <c r="GS341" s="27"/>
      <c r="GT341" s="27"/>
    </row>
    <row r="342" spans="195:202" x14ac:dyDescent="0.25">
      <c r="GM342" s="27"/>
      <c r="GN342" s="27"/>
      <c r="GO342" s="27"/>
      <c r="GP342" s="27"/>
      <c r="GQ342" s="27"/>
      <c r="GR342" s="27"/>
      <c r="GS342" s="27"/>
      <c r="GT342" s="27"/>
    </row>
    <row r="343" spans="195:202" x14ac:dyDescent="0.25">
      <c r="GM343" s="27"/>
      <c r="GN343" s="27"/>
      <c r="GO343" s="27"/>
      <c r="GP343" s="27"/>
      <c r="GQ343" s="27"/>
      <c r="GR343" s="27"/>
      <c r="GS343" s="27"/>
      <c r="GT343" s="27"/>
    </row>
    <row r="344" spans="195:202" x14ac:dyDescent="0.25">
      <c r="GM344" s="27"/>
      <c r="GN344" s="27"/>
      <c r="GO344" s="27"/>
      <c r="GP344" s="27"/>
      <c r="GQ344" s="27"/>
      <c r="GR344" s="27"/>
      <c r="GS344" s="27"/>
      <c r="GT344" s="27"/>
    </row>
    <row r="345" spans="195:202" x14ac:dyDescent="0.25">
      <c r="GM345" s="27"/>
      <c r="GN345" s="27"/>
      <c r="GO345" s="27"/>
      <c r="GP345" s="27"/>
      <c r="GQ345" s="27"/>
      <c r="GR345" s="27"/>
      <c r="GS345" s="27"/>
      <c r="GT345" s="27"/>
    </row>
    <row r="346" spans="195:202" x14ac:dyDescent="0.25">
      <c r="GM346" s="27"/>
      <c r="GN346" s="27"/>
      <c r="GO346" s="27"/>
      <c r="GP346" s="27"/>
      <c r="GQ346" s="27"/>
      <c r="GR346" s="27"/>
      <c r="GS346" s="27"/>
      <c r="GT346" s="27"/>
    </row>
    <row r="347" spans="195:202" x14ac:dyDescent="0.25">
      <c r="GM347" s="27"/>
      <c r="GN347" s="27"/>
      <c r="GO347" s="27"/>
      <c r="GP347" s="27"/>
      <c r="GQ347" s="27"/>
      <c r="GR347" s="27"/>
      <c r="GS347" s="27"/>
      <c r="GT347" s="27"/>
    </row>
    <row r="348" spans="195:202" x14ac:dyDescent="0.25">
      <c r="GM348" s="27"/>
      <c r="GN348" s="27"/>
      <c r="GO348" s="27"/>
      <c r="GP348" s="27"/>
      <c r="GQ348" s="27"/>
      <c r="GR348" s="27"/>
      <c r="GS348" s="27"/>
      <c r="GT348" s="27"/>
    </row>
    <row r="349" spans="195:202" x14ac:dyDescent="0.25">
      <c r="GM349" s="27"/>
      <c r="GN349" s="27"/>
      <c r="GO349" s="27"/>
      <c r="GP349" s="27"/>
      <c r="GQ349" s="27"/>
      <c r="GR349" s="27"/>
      <c r="GS349" s="27"/>
      <c r="GT349" s="27"/>
    </row>
    <row r="350" spans="195:202" x14ac:dyDescent="0.25">
      <c r="GM350" s="27"/>
      <c r="GN350" s="27"/>
      <c r="GO350" s="27"/>
      <c r="GP350" s="27"/>
      <c r="GQ350" s="27"/>
      <c r="GR350" s="27"/>
      <c r="GS350" s="27"/>
      <c r="GT350" s="27"/>
    </row>
    <row r="351" spans="195:202" x14ac:dyDescent="0.25">
      <c r="GM351" s="27"/>
      <c r="GN351" s="27"/>
      <c r="GO351" s="27"/>
      <c r="GP351" s="27"/>
      <c r="GQ351" s="27"/>
      <c r="GR351" s="27"/>
      <c r="GS351" s="27"/>
      <c r="GT351" s="27"/>
    </row>
    <row r="352" spans="195:202" x14ac:dyDescent="0.25">
      <c r="GM352" s="27"/>
      <c r="GN352" s="27"/>
      <c r="GO352" s="27"/>
      <c r="GP352" s="27"/>
      <c r="GQ352" s="27"/>
      <c r="GR352" s="27"/>
      <c r="GS352" s="27"/>
      <c r="GT352" s="27"/>
    </row>
    <row r="353" spans="195:202" x14ac:dyDescent="0.25">
      <c r="GM353" s="27"/>
      <c r="GN353" s="27"/>
      <c r="GO353" s="27"/>
      <c r="GP353" s="27"/>
      <c r="GQ353" s="27"/>
      <c r="GR353" s="27"/>
      <c r="GS353" s="27"/>
      <c r="GT353" s="27"/>
    </row>
    <row r="354" spans="195:202" x14ac:dyDescent="0.25">
      <c r="GM354" s="27"/>
      <c r="GN354" s="27"/>
      <c r="GO354" s="27"/>
      <c r="GP354" s="27"/>
      <c r="GQ354" s="27"/>
      <c r="GR354" s="27"/>
      <c r="GS354" s="27"/>
      <c r="GT354" s="27"/>
    </row>
    <row r="355" spans="195:202" x14ac:dyDescent="0.25">
      <c r="GM355" s="27"/>
      <c r="GN355" s="27"/>
      <c r="GO355" s="27"/>
      <c r="GP355" s="27"/>
      <c r="GQ355" s="27"/>
      <c r="GR355" s="27"/>
      <c r="GS355" s="27"/>
      <c r="GT355" s="27"/>
    </row>
    <row r="356" spans="195:202" x14ac:dyDescent="0.25">
      <c r="GM356" s="27"/>
      <c r="GN356" s="27"/>
      <c r="GO356" s="27"/>
      <c r="GP356" s="27"/>
      <c r="GQ356" s="27"/>
      <c r="GR356" s="27"/>
      <c r="GS356" s="27"/>
      <c r="GT356" s="27"/>
    </row>
    <row r="357" spans="195:202" x14ac:dyDescent="0.25">
      <c r="GM357" s="27"/>
      <c r="GN357" s="27"/>
      <c r="GO357" s="27"/>
      <c r="GP357" s="27"/>
      <c r="GQ357" s="27"/>
      <c r="GR357" s="27"/>
      <c r="GS357" s="27"/>
      <c r="GT357" s="27"/>
    </row>
    <row r="358" spans="195:202" x14ac:dyDescent="0.25">
      <c r="GM358" s="27"/>
      <c r="GN358" s="27"/>
      <c r="GO358" s="27"/>
      <c r="GP358" s="27"/>
      <c r="GQ358" s="27"/>
      <c r="GR358" s="27"/>
      <c r="GS358" s="27"/>
      <c r="GT358" s="27"/>
    </row>
    <row r="359" spans="195:202" x14ac:dyDescent="0.25">
      <c r="GM359" s="27"/>
      <c r="GN359" s="27"/>
      <c r="GO359" s="27"/>
      <c r="GP359" s="27"/>
      <c r="GQ359" s="27"/>
      <c r="GR359" s="27"/>
      <c r="GS359" s="27"/>
      <c r="GT359" s="27"/>
    </row>
    <row r="360" spans="195:202" x14ac:dyDescent="0.25">
      <c r="GM360" s="27"/>
      <c r="GN360" s="27"/>
      <c r="GO360" s="27"/>
      <c r="GP360" s="27"/>
      <c r="GQ360" s="27"/>
      <c r="GR360" s="27"/>
      <c r="GS360" s="27"/>
      <c r="GT360" s="27"/>
    </row>
    <row r="361" spans="195:202" x14ac:dyDescent="0.25">
      <c r="GM361" s="27"/>
      <c r="GN361" s="27"/>
      <c r="GO361" s="27"/>
      <c r="GP361" s="27"/>
      <c r="GQ361" s="27"/>
      <c r="GR361" s="27"/>
      <c r="GS361" s="27"/>
      <c r="GT361" s="27"/>
    </row>
    <row r="362" spans="195:202" x14ac:dyDescent="0.25">
      <c r="GM362" s="27"/>
      <c r="GN362" s="27"/>
      <c r="GO362" s="27"/>
      <c r="GP362" s="27"/>
      <c r="GQ362" s="27"/>
      <c r="GR362" s="27"/>
      <c r="GS362" s="27"/>
      <c r="GT362" s="27"/>
    </row>
    <row r="363" spans="195:202" x14ac:dyDescent="0.25">
      <c r="GM363" s="27"/>
      <c r="GN363" s="27"/>
      <c r="GO363" s="27"/>
      <c r="GP363" s="27"/>
      <c r="GQ363" s="27"/>
      <c r="GR363" s="27"/>
      <c r="GS363" s="27"/>
      <c r="GT363" s="27"/>
    </row>
    <row r="364" spans="195:202" x14ac:dyDescent="0.25">
      <c r="GM364" s="27"/>
      <c r="GN364" s="27"/>
      <c r="GO364" s="27"/>
      <c r="GP364" s="27"/>
      <c r="GQ364" s="27"/>
      <c r="GR364" s="27"/>
      <c r="GS364" s="27"/>
      <c r="GT364" s="27"/>
    </row>
    <row r="365" spans="195:202" x14ac:dyDescent="0.25">
      <c r="GM365" s="27"/>
      <c r="GN365" s="27"/>
      <c r="GO365" s="27"/>
      <c r="GP365" s="27"/>
      <c r="GQ365" s="27"/>
      <c r="GR365" s="27"/>
      <c r="GS365" s="27"/>
      <c r="GT365" s="27"/>
    </row>
    <row r="366" spans="195:202" x14ac:dyDescent="0.25">
      <c r="GM366" s="27"/>
      <c r="GN366" s="27"/>
      <c r="GO366" s="27"/>
      <c r="GP366" s="27"/>
      <c r="GQ366" s="27"/>
      <c r="GR366" s="27"/>
      <c r="GS366" s="27"/>
      <c r="GT366" s="27"/>
    </row>
    <row r="367" spans="195:202" x14ac:dyDescent="0.25">
      <c r="GM367" s="27"/>
      <c r="GN367" s="27"/>
      <c r="GO367" s="27"/>
      <c r="GP367" s="27"/>
      <c r="GQ367" s="27"/>
      <c r="GR367" s="27"/>
      <c r="GS367" s="27"/>
      <c r="GT367" s="27"/>
    </row>
    <row r="368" spans="195:202" x14ac:dyDescent="0.25">
      <c r="GM368" s="27"/>
      <c r="GN368" s="27"/>
      <c r="GO368" s="27"/>
      <c r="GP368" s="27"/>
      <c r="GQ368" s="27"/>
      <c r="GR368" s="27"/>
      <c r="GS368" s="27"/>
      <c r="GT368" s="27"/>
    </row>
    <row r="369" spans="195:202" x14ac:dyDescent="0.25">
      <c r="GM369" s="27"/>
      <c r="GN369" s="27"/>
      <c r="GO369" s="27"/>
      <c r="GP369" s="27"/>
      <c r="GQ369" s="27"/>
      <c r="GR369" s="27"/>
      <c r="GS369" s="27"/>
      <c r="GT369" s="27"/>
    </row>
    <row r="370" spans="195:202" x14ac:dyDescent="0.25">
      <c r="GM370" s="27"/>
      <c r="GN370" s="27"/>
      <c r="GO370" s="27"/>
      <c r="GP370" s="27"/>
      <c r="GQ370" s="27"/>
      <c r="GR370" s="27"/>
      <c r="GS370" s="27"/>
      <c r="GT370" s="27"/>
    </row>
    <row r="371" spans="195:202" x14ac:dyDescent="0.25">
      <c r="GM371" s="27"/>
      <c r="GN371" s="27"/>
      <c r="GO371" s="27"/>
      <c r="GP371" s="27"/>
      <c r="GQ371" s="27"/>
      <c r="GR371" s="27"/>
      <c r="GS371" s="27"/>
      <c r="GT371" s="27"/>
    </row>
    <row r="372" spans="195:202" x14ac:dyDescent="0.25">
      <c r="GM372" s="27"/>
      <c r="GN372" s="27"/>
      <c r="GO372" s="27"/>
      <c r="GP372" s="27"/>
      <c r="GQ372" s="27"/>
      <c r="GR372" s="27"/>
      <c r="GS372" s="27"/>
      <c r="GT372" s="27"/>
    </row>
    <row r="373" spans="195:202" x14ac:dyDescent="0.25">
      <c r="GM373" s="27"/>
      <c r="GN373" s="27"/>
      <c r="GO373" s="27"/>
      <c r="GP373" s="27"/>
      <c r="GQ373" s="27"/>
      <c r="GR373" s="27"/>
      <c r="GS373" s="27"/>
      <c r="GT373" s="27"/>
    </row>
    <row r="374" spans="195:202" x14ac:dyDescent="0.25">
      <c r="GM374" s="27"/>
      <c r="GN374" s="27"/>
      <c r="GO374" s="27"/>
      <c r="GP374" s="27"/>
      <c r="GQ374" s="27"/>
      <c r="GR374" s="27"/>
      <c r="GS374" s="27"/>
      <c r="GT374" s="27"/>
    </row>
    <row r="375" spans="195:202" x14ac:dyDescent="0.25">
      <c r="GM375" s="27"/>
      <c r="GN375" s="27"/>
      <c r="GO375" s="27"/>
      <c r="GP375" s="27"/>
      <c r="GQ375" s="27"/>
      <c r="GR375" s="27"/>
      <c r="GS375" s="27"/>
      <c r="GT375" s="27"/>
    </row>
    <row r="376" spans="195:202" x14ac:dyDescent="0.25">
      <c r="GM376" s="27"/>
      <c r="GN376" s="27"/>
      <c r="GO376" s="27"/>
      <c r="GP376" s="27"/>
      <c r="GQ376" s="27"/>
      <c r="GR376" s="27"/>
      <c r="GS376" s="27"/>
      <c r="GT376" s="27"/>
    </row>
    <row r="377" spans="195:202" x14ac:dyDescent="0.25">
      <c r="GM377" s="27"/>
      <c r="GN377" s="27"/>
      <c r="GO377" s="27"/>
      <c r="GP377" s="27"/>
      <c r="GQ377" s="27"/>
      <c r="GR377" s="27"/>
      <c r="GS377" s="27"/>
      <c r="GT377" s="27"/>
    </row>
    <row r="378" spans="195:202" x14ac:dyDescent="0.25">
      <c r="GM378" s="27"/>
      <c r="GN378" s="27"/>
      <c r="GO378" s="27"/>
      <c r="GP378" s="27"/>
      <c r="GQ378" s="27"/>
      <c r="GR378" s="27"/>
      <c r="GS378" s="27"/>
      <c r="GT378" s="27"/>
    </row>
    <row r="379" spans="195:202" x14ac:dyDescent="0.25">
      <c r="GM379" s="27"/>
      <c r="GN379" s="27"/>
      <c r="GO379" s="27"/>
      <c r="GP379" s="27"/>
      <c r="GQ379" s="27"/>
      <c r="GR379" s="27"/>
      <c r="GS379" s="27"/>
      <c r="GT379" s="27"/>
    </row>
    <row r="380" spans="195:202" x14ac:dyDescent="0.25">
      <c r="GM380" s="27"/>
      <c r="GN380" s="27"/>
      <c r="GO380" s="27"/>
      <c r="GP380" s="27"/>
      <c r="GQ380" s="27"/>
      <c r="GR380" s="27"/>
      <c r="GS380" s="27"/>
      <c r="GT380" s="27"/>
    </row>
    <row r="381" spans="195:202" x14ac:dyDescent="0.25">
      <c r="GM381" s="27"/>
      <c r="GN381" s="27"/>
      <c r="GO381" s="27"/>
      <c r="GP381" s="27"/>
      <c r="GQ381" s="27"/>
      <c r="GR381" s="27"/>
      <c r="GS381" s="27"/>
      <c r="GT381" s="27"/>
    </row>
    <row r="382" spans="195:202" x14ac:dyDescent="0.25">
      <c r="GM382" s="27"/>
      <c r="GN382" s="27"/>
      <c r="GO382" s="27"/>
      <c r="GP382" s="27"/>
      <c r="GQ382" s="27"/>
      <c r="GR382" s="27"/>
      <c r="GS382" s="27"/>
      <c r="GT382" s="27"/>
    </row>
    <row r="383" spans="195:202" x14ac:dyDescent="0.25">
      <c r="GM383" s="27"/>
      <c r="GN383" s="27"/>
      <c r="GO383" s="27"/>
      <c r="GP383" s="27"/>
      <c r="GQ383" s="27"/>
      <c r="GR383" s="27"/>
      <c r="GS383" s="27"/>
      <c r="GT383" s="27"/>
    </row>
    <row r="384" spans="195:202" x14ac:dyDescent="0.25">
      <c r="GM384" s="27"/>
      <c r="GN384" s="27"/>
      <c r="GO384" s="27"/>
      <c r="GP384" s="27"/>
      <c r="GQ384" s="27"/>
      <c r="GR384" s="27"/>
      <c r="GS384" s="27"/>
      <c r="GT384" s="27"/>
    </row>
    <row r="385" spans="195:202" x14ac:dyDescent="0.25">
      <c r="GM385" s="27"/>
      <c r="GN385" s="27"/>
      <c r="GO385" s="27"/>
      <c r="GP385" s="27"/>
      <c r="GQ385" s="27"/>
      <c r="GR385" s="27"/>
      <c r="GS385" s="27"/>
      <c r="GT385" s="27"/>
    </row>
    <row r="386" spans="195:202" x14ac:dyDescent="0.25">
      <c r="GM386" s="27"/>
      <c r="GN386" s="27"/>
      <c r="GO386" s="27"/>
      <c r="GP386" s="27"/>
      <c r="GQ386" s="27"/>
      <c r="GR386" s="27"/>
      <c r="GS386" s="27"/>
      <c r="GT386" s="27"/>
    </row>
    <row r="387" spans="195:202" x14ac:dyDescent="0.25">
      <c r="GM387" s="27"/>
      <c r="GN387" s="27"/>
      <c r="GO387" s="27"/>
      <c r="GP387" s="27"/>
      <c r="GQ387" s="27"/>
      <c r="GR387" s="27"/>
      <c r="GS387" s="27"/>
      <c r="GT387" s="27"/>
    </row>
    <row r="388" spans="195:202" x14ac:dyDescent="0.25">
      <c r="GM388" s="27"/>
      <c r="GN388" s="27"/>
      <c r="GO388" s="27"/>
      <c r="GP388" s="27"/>
      <c r="GQ388" s="27"/>
      <c r="GR388" s="27"/>
      <c r="GS388" s="27"/>
      <c r="GT388" s="27"/>
    </row>
    <row r="389" spans="195:202" x14ac:dyDescent="0.25">
      <c r="GM389" s="27"/>
      <c r="GN389" s="27"/>
      <c r="GO389" s="27"/>
      <c r="GP389" s="27"/>
      <c r="GQ389" s="27"/>
      <c r="GR389" s="27"/>
      <c r="GS389" s="27"/>
      <c r="GT389" s="27"/>
    </row>
    <row r="390" spans="195:202" x14ac:dyDescent="0.25">
      <c r="GM390" s="27"/>
      <c r="GN390" s="27"/>
      <c r="GO390" s="27"/>
      <c r="GP390" s="27"/>
      <c r="GQ390" s="27"/>
      <c r="GR390" s="27"/>
      <c r="GS390" s="27"/>
      <c r="GT390" s="27"/>
    </row>
    <row r="391" spans="195:202" x14ac:dyDescent="0.25">
      <c r="GM391" s="27"/>
      <c r="GN391" s="27"/>
      <c r="GO391" s="27"/>
      <c r="GP391" s="27"/>
      <c r="GQ391" s="27"/>
      <c r="GR391" s="27"/>
      <c r="GS391" s="27"/>
      <c r="GT391" s="27"/>
    </row>
    <row r="392" spans="195:202" x14ac:dyDescent="0.25">
      <c r="GM392" s="27"/>
      <c r="GN392" s="27"/>
      <c r="GO392" s="27"/>
      <c r="GP392" s="27"/>
      <c r="GQ392" s="27"/>
      <c r="GR392" s="27"/>
      <c r="GS392" s="27"/>
      <c r="GT392" s="27"/>
    </row>
    <row r="393" spans="195:202" x14ac:dyDescent="0.25">
      <c r="GM393" s="27"/>
      <c r="GN393" s="27"/>
      <c r="GO393" s="27"/>
      <c r="GP393" s="27"/>
      <c r="GQ393" s="27"/>
      <c r="GR393" s="27"/>
      <c r="GS393" s="27"/>
      <c r="GT393" s="27"/>
    </row>
    <row r="394" spans="195:202" x14ac:dyDescent="0.25">
      <c r="GM394" s="27"/>
      <c r="GN394" s="27"/>
      <c r="GO394" s="27"/>
      <c r="GP394" s="27"/>
      <c r="GQ394" s="27"/>
      <c r="GR394" s="27"/>
      <c r="GS394" s="27"/>
      <c r="GT394" s="27"/>
    </row>
    <row r="395" spans="195:202" x14ac:dyDescent="0.25">
      <c r="GM395" s="27"/>
      <c r="GN395" s="27"/>
      <c r="GO395" s="27"/>
      <c r="GP395" s="27"/>
      <c r="GQ395" s="27"/>
      <c r="GR395" s="27"/>
      <c r="GS395" s="27"/>
      <c r="GT395" s="27"/>
    </row>
    <row r="396" spans="195:202" x14ac:dyDescent="0.25">
      <c r="GM396" s="27"/>
      <c r="GN396" s="27"/>
      <c r="GO396" s="27"/>
      <c r="GP396" s="27"/>
      <c r="GQ396" s="27"/>
      <c r="GR396" s="27"/>
      <c r="GS396" s="27"/>
      <c r="GT396" s="27"/>
    </row>
    <row r="397" spans="195:202" x14ac:dyDescent="0.25">
      <c r="GM397" s="27"/>
      <c r="GN397" s="27"/>
      <c r="GO397" s="27"/>
      <c r="GP397" s="27"/>
      <c r="GQ397" s="27"/>
      <c r="GR397" s="27"/>
      <c r="GS397" s="27"/>
      <c r="GT397" s="27"/>
    </row>
    <row r="398" spans="195:202" x14ac:dyDescent="0.25">
      <c r="GM398" s="27"/>
      <c r="GN398" s="27"/>
      <c r="GO398" s="27"/>
      <c r="GP398" s="27"/>
      <c r="GQ398" s="27"/>
      <c r="GR398" s="27"/>
      <c r="GS398" s="27"/>
      <c r="GT398" s="27"/>
    </row>
    <row r="399" spans="195:202" x14ac:dyDescent="0.25">
      <c r="GM399" s="27"/>
      <c r="GN399" s="27"/>
      <c r="GO399" s="27"/>
      <c r="GP399" s="27"/>
      <c r="GQ399" s="27"/>
      <c r="GR399" s="27"/>
      <c r="GS399" s="27"/>
      <c r="GT399" s="27"/>
    </row>
    <row r="400" spans="195:202" x14ac:dyDescent="0.25">
      <c r="GM400" s="27"/>
      <c r="GN400" s="27"/>
      <c r="GO400" s="27"/>
      <c r="GP400" s="27"/>
      <c r="GQ400" s="27"/>
      <c r="GR400" s="27"/>
      <c r="GS400" s="27"/>
      <c r="GT400" s="27"/>
    </row>
    <row r="401" spans="195:202" x14ac:dyDescent="0.25">
      <c r="GM401" s="27"/>
      <c r="GN401" s="27"/>
      <c r="GO401" s="27"/>
      <c r="GP401" s="27"/>
      <c r="GQ401" s="27"/>
      <c r="GR401" s="27"/>
      <c r="GS401" s="27"/>
      <c r="GT401" s="27"/>
    </row>
    <row r="402" spans="195:202" x14ac:dyDescent="0.25">
      <c r="GM402" s="27"/>
      <c r="GN402" s="27"/>
      <c r="GO402" s="27"/>
      <c r="GP402" s="27"/>
      <c r="GQ402" s="27"/>
      <c r="GR402" s="27"/>
      <c r="GS402" s="27"/>
      <c r="GT402" s="27"/>
    </row>
    <row r="403" spans="195:202" x14ac:dyDescent="0.25">
      <c r="GM403" s="27"/>
      <c r="GN403" s="27"/>
      <c r="GO403" s="27"/>
      <c r="GP403" s="27"/>
      <c r="GQ403" s="27"/>
      <c r="GR403" s="27"/>
      <c r="GS403" s="27"/>
      <c r="GT403" s="27"/>
    </row>
    <row r="404" spans="195:202" x14ac:dyDescent="0.25">
      <c r="GM404" s="27"/>
      <c r="GN404" s="27"/>
      <c r="GO404" s="27"/>
      <c r="GP404" s="27"/>
      <c r="GQ404" s="27"/>
      <c r="GR404" s="27"/>
      <c r="GS404" s="27"/>
      <c r="GT404" s="27"/>
    </row>
    <row r="405" spans="195:202" x14ac:dyDescent="0.25">
      <c r="GM405" s="27"/>
      <c r="GN405" s="27"/>
      <c r="GO405" s="27"/>
      <c r="GP405" s="27"/>
      <c r="GQ405" s="27"/>
      <c r="GR405" s="27"/>
      <c r="GS405" s="27"/>
      <c r="GT405" s="27"/>
    </row>
    <row r="406" spans="195:202" x14ac:dyDescent="0.25">
      <c r="GM406" s="27"/>
      <c r="GN406" s="27"/>
      <c r="GO406" s="27"/>
      <c r="GP406" s="27"/>
      <c r="GQ406" s="27"/>
      <c r="GR406" s="27"/>
      <c r="GS406" s="27"/>
      <c r="GT406" s="27"/>
    </row>
    <row r="407" spans="195:202" x14ac:dyDescent="0.25">
      <c r="GM407" s="27"/>
      <c r="GN407" s="27"/>
      <c r="GO407" s="27"/>
      <c r="GP407" s="27"/>
      <c r="GQ407" s="27"/>
      <c r="GR407" s="27"/>
      <c r="GS407" s="27"/>
      <c r="GT407" s="27"/>
    </row>
    <row r="408" spans="195:202" x14ac:dyDescent="0.25">
      <c r="GM408" s="27"/>
      <c r="GN408" s="27"/>
      <c r="GO408" s="27"/>
      <c r="GP408" s="27"/>
      <c r="GQ408" s="27"/>
      <c r="GR408" s="27"/>
      <c r="GS408" s="27"/>
      <c r="GT408" s="27"/>
    </row>
    <row r="409" spans="195:202" x14ac:dyDescent="0.25">
      <c r="GM409" s="27"/>
      <c r="GN409" s="27"/>
      <c r="GO409" s="27"/>
      <c r="GP409" s="27"/>
      <c r="GQ409" s="27"/>
      <c r="GR409" s="27"/>
      <c r="GS409" s="27"/>
      <c r="GT409" s="27"/>
    </row>
    <row r="410" spans="195:202" x14ac:dyDescent="0.25">
      <c r="GM410" s="27"/>
      <c r="GN410" s="27"/>
      <c r="GO410" s="27"/>
      <c r="GP410" s="27"/>
      <c r="GQ410" s="27"/>
      <c r="GR410" s="27"/>
      <c r="GS410" s="27"/>
      <c r="GT410" s="27"/>
    </row>
    <row r="411" spans="195:202" x14ac:dyDescent="0.25">
      <c r="GM411" s="27"/>
      <c r="GN411" s="27"/>
      <c r="GO411" s="27"/>
      <c r="GP411" s="27"/>
      <c r="GQ411" s="27"/>
      <c r="GR411" s="27"/>
      <c r="GS411" s="27"/>
      <c r="GT411" s="27"/>
    </row>
    <row r="412" spans="195:202" x14ac:dyDescent="0.25">
      <c r="GM412" s="27"/>
      <c r="GN412" s="27"/>
      <c r="GO412" s="27"/>
      <c r="GP412" s="27"/>
      <c r="GQ412" s="27"/>
      <c r="GR412" s="27"/>
      <c r="GS412" s="27"/>
      <c r="GT412" s="27"/>
    </row>
    <row r="413" spans="195:202" x14ac:dyDescent="0.25">
      <c r="GM413" s="27"/>
      <c r="GN413" s="27"/>
      <c r="GO413" s="27"/>
      <c r="GP413" s="27"/>
      <c r="GQ413" s="27"/>
      <c r="GR413" s="27"/>
      <c r="GS413" s="27"/>
      <c r="GT413" s="27"/>
    </row>
    <row r="414" spans="195:202" x14ac:dyDescent="0.25">
      <c r="GM414" s="27"/>
      <c r="GN414" s="27"/>
      <c r="GO414" s="27"/>
      <c r="GP414" s="27"/>
      <c r="GQ414" s="27"/>
      <c r="GR414" s="27"/>
      <c r="GS414" s="27"/>
      <c r="GT414" s="27"/>
    </row>
    <row r="415" spans="195:202" x14ac:dyDescent="0.25">
      <c r="GM415" s="27"/>
      <c r="GN415" s="27"/>
      <c r="GO415" s="27"/>
      <c r="GP415" s="27"/>
      <c r="GQ415" s="27"/>
      <c r="GR415" s="27"/>
      <c r="GS415" s="27"/>
      <c r="GT415" s="27"/>
    </row>
    <row r="416" spans="195:202" x14ac:dyDescent="0.25">
      <c r="GM416" s="27"/>
      <c r="GN416" s="27"/>
      <c r="GO416" s="27"/>
      <c r="GP416" s="27"/>
      <c r="GQ416" s="27"/>
      <c r="GR416" s="27"/>
      <c r="GS416" s="27"/>
      <c r="GT416" s="27"/>
    </row>
    <row r="417" spans="195:202" x14ac:dyDescent="0.25">
      <c r="GM417" s="27"/>
      <c r="GN417" s="27"/>
      <c r="GO417" s="27"/>
      <c r="GP417" s="27"/>
      <c r="GQ417" s="27"/>
      <c r="GR417" s="27"/>
      <c r="GS417" s="27"/>
      <c r="GT417" s="27"/>
    </row>
    <row r="418" spans="195:202" x14ac:dyDescent="0.25">
      <c r="GM418" s="27"/>
      <c r="GN418" s="27"/>
      <c r="GO418" s="27"/>
      <c r="GP418" s="27"/>
      <c r="GQ418" s="27"/>
      <c r="GR418" s="27"/>
      <c r="GS418" s="27"/>
      <c r="GT418" s="27"/>
    </row>
    <row r="419" spans="195:202" x14ac:dyDescent="0.25">
      <c r="GM419" s="27"/>
      <c r="GN419" s="27"/>
      <c r="GO419" s="27"/>
      <c r="GP419" s="27"/>
      <c r="GQ419" s="27"/>
      <c r="GR419" s="27"/>
      <c r="GS419" s="27"/>
      <c r="GT419" s="27"/>
    </row>
    <row r="420" spans="195:202" x14ac:dyDescent="0.25">
      <c r="GM420" s="27"/>
      <c r="GN420" s="27"/>
      <c r="GO420" s="27"/>
      <c r="GP420" s="27"/>
      <c r="GQ420" s="27"/>
      <c r="GR420" s="27"/>
      <c r="GS420" s="27"/>
      <c r="GT420" s="27"/>
    </row>
    <row r="421" spans="195:202" x14ac:dyDescent="0.25">
      <c r="GM421" s="27"/>
      <c r="GN421" s="27"/>
      <c r="GO421" s="27"/>
      <c r="GP421" s="27"/>
      <c r="GQ421" s="27"/>
      <c r="GR421" s="27"/>
      <c r="GS421" s="27"/>
      <c r="GT421" s="27"/>
    </row>
    <row r="422" spans="195:202" x14ac:dyDescent="0.25">
      <c r="GM422" s="27"/>
      <c r="GN422" s="27"/>
      <c r="GO422" s="27"/>
      <c r="GP422" s="27"/>
      <c r="GQ422" s="27"/>
      <c r="GR422" s="27"/>
      <c r="GS422" s="27"/>
      <c r="GT422" s="27"/>
    </row>
    <row r="423" spans="195:202" x14ac:dyDescent="0.25">
      <c r="GM423" s="27"/>
      <c r="GN423" s="27"/>
      <c r="GO423" s="27"/>
      <c r="GP423" s="27"/>
      <c r="GQ423" s="27"/>
      <c r="GR423" s="27"/>
      <c r="GS423" s="27"/>
      <c r="GT423" s="27"/>
    </row>
    <row r="424" spans="195:202" x14ac:dyDescent="0.25">
      <c r="GM424" s="27"/>
      <c r="GN424" s="27"/>
      <c r="GO424" s="27"/>
      <c r="GP424" s="27"/>
      <c r="GQ424" s="27"/>
      <c r="GR424" s="27"/>
      <c r="GS424" s="27"/>
      <c r="GT424" s="27"/>
    </row>
    <row r="425" spans="195:202" x14ac:dyDescent="0.25">
      <c r="GM425" s="27"/>
      <c r="GN425" s="27"/>
      <c r="GO425" s="27"/>
      <c r="GP425" s="27"/>
      <c r="GQ425" s="27"/>
      <c r="GR425" s="27"/>
      <c r="GS425" s="27"/>
      <c r="GT425" s="27"/>
    </row>
    <row r="426" spans="195:202" x14ac:dyDescent="0.25">
      <c r="GM426" s="27"/>
      <c r="GN426" s="27"/>
      <c r="GO426" s="27"/>
      <c r="GP426" s="27"/>
      <c r="GQ426" s="27"/>
      <c r="GR426" s="27"/>
      <c r="GS426" s="27"/>
      <c r="GT426" s="27"/>
    </row>
    <row r="427" spans="195:202" x14ac:dyDescent="0.25">
      <c r="GM427" s="27"/>
      <c r="GN427" s="27"/>
      <c r="GO427" s="27"/>
      <c r="GP427" s="27"/>
      <c r="GQ427" s="27"/>
      <c r="GR427" s="27"/>
      <c r="GS427" s="27"/>
      <c r="GT427" s="27"/>
    </row>
    <row r="428" spans="195:202" x14ac:dyDescent="0.25">
      <c r="GM428" s="27"/>
      <c r="GN428" s="27"/>
      <c r="GO428" s="27"/>
      <c r="GP428" s="27"/>
      <c r="GQ428" s="27"/>
      <c r="GR428" s="27"/>
      <c r="GS428" s="27"/>
      <c r="GT428" s="27"/>
    </row>
    <row r="429" spans="195:202" x14ac:dyDescent="0.25">
      <c r="GM429" s="27"/>
      <c r="GN429" s="27"/>
      <c r="GO429" s="27"/>
      <c r="GP429" s="27"/>
      <c r="GQ429" s="27"/>
      <c r="GR429" s="27"/>
      <c r="GS429" s="27"/>
      <c r="GT429" s="27"/>
    </row>
    <row r="430" spans="195:202" x14ac:dyDescent="0.25">
      <c r="GM430" s="27"/>
      <c r="GN430" s="27"/>
      <c r="GO430" s="27"/>
      <c r="GP430" s="27"/>
      <c r="GQ430" s="27"/>
      <c r="GR430" s="27"/>
      <c r="GS430" s="27"/>
      <c r="GT430" s="27"/>
    </row>
    <row r="431" spans="195:202" x14ac:dyDescent="0.25">
      <c r="GM431" s="27"/>
      <c r="GN431" s="27"/>
      <c r="GO431" s="27"/>
      <c r="GP431" s="27"/>
      <c r="GQ431" s="27"/>
      <c r="GR431" s="27"/>
      <c r="GS431" s="27"/>
      <c r="GT431" s="27"/>
    </row>
    <row r="432" spans="195:202" x14ac:dyDescent="0.25">
      <c r="GM432" s="27"/>
      <c r="GN432" s="27"/>
      <c r="GO432" s="27"/>
      <c r="GP432" s="27"/>
      <c r="GQ432" s="27"/>
      <c r="GR432" s="27"/>
      <c r="GS432" s="27"/>
      <c r="GT432" s="27"/>
    </row>
    <row r="433" spans="195:202" x14ac:dyDescent="0.25">
      <c r="GM433" s="27"/>
      <c r="GN433" s="27"/>
      <c r="GO433" s="27"/>
      <c r="GP433" s="27"/>
      <c r="GQ433" s="27"/>
      <c r="GR433" s="27"/>
      <c r="GS433" s="27"/>
      <c r="GT433" s="27"/>
    </row>
    <row r="434" spans="195:202" x14ac:dyDescent="0.25">
      <c r="GM434" s="27"/>
      <c r="GN434" s="27"/>
      <c r="GO434" s="27"/>
      <c r="GP434" s="27"/>
      <c r="GQ434" s="27"/>
      <c r="GR434" s="27"/>
      <c r="GS434" s="27"/>
      <c r="GT434" s="27"/>
    </row>
    <row r="435" spans="195:202" x14ac:dyDescent="0.25">
      <c r="GM435" s="27"/>
      <c r="GN435" s="27"/>
      <c r="GO435" s="27"/>
      <c r="GP435" s="27"/>
      <c r="GQ435" s="27"/>
      <c r="GR435" s="27"/>
      <c r="GS435" s="27"/>
      <c r="GT435" s="27"/>
    </row>
    <row r="436" spans="195:202" x14ac:dyDescent="0.25">
      <c r="GM436" s="27"/>
      <c r="GN436" s="27"/>
      <c r="GO436" s="27"/>
      <c r="GP436" s="27"/>
      <c r="GQ436" s="27"/>
      <c r="GR436" s="27"/>
      <c r="GS436" s="27"/>
      <c r="GT436" s="27"/>
    </row>
    <row r="437" spans="195:202" x14ac:dyDescent="0.25">
      <c r="GM437" s="27"/>
      <c r="GN437" s="27"/>
      <c r="GO437" s="27"/>
      <c r="GP437" s="27"/>
      <c r="GQ437" s="27"/>
      <c r="GR437" s="27"/>
      <c r="GS437" s="27"/>
      <c r="GT437" s="27"/>
    </row>
    <row r="438" spans="195:202" x14ac:dyDescent="0.25">
      <c r="GM438" s="27"/>
      <c r="GN438" s="27"/>
      <c r="GO438" s="27"/>
      <c r="GP438" s="27"/>
      <c r="GQ438" s="27"/>
      <c r="GR438" s="27"/>
      <c r="GS438" s="27"/>
      <c r="GT438" s="27"/>
    </row>
    <row r="439" spans="195:202" x14ac:dyDescent="0.25">
      <c r="GM439" s="27"/>
      <c r="GN439" s="27"/>
      <c r="GO439" s="27"/>
      <c r="GP439" s="27"/>
      <c r="GQ439" s="27"/>
      <c r="GR439" s="27"/>
      <c r="GS439" s="27"/>
      <c r="GT439" s="27"/>
    </row>
    <row r="440" spans="195:202" x14ac:dyDescent="0.25">
      <c r="GM440" s="27"/>
      <c r="GN440" s="27"/>
      <c r="GO440" s="27"/>
      <c r="GP440" s="27"/>
      <c r="GQ440" s="27"/>
      <c r="GR440" s="27"/>
      <c r="GS440" s="27"/>
      <c r="GT440" s="27"/>
    </row>
    <row r="441" spans="195:202" x14ac:dyDescent="0.25">
      <c r="GM441" s="27"/>
      <c r="GN441" s="27"/>
      <c r="GO441" s="27"/>
      <c r="GP441" s="27"/>
      <c r="GQ441" s="27"/>
      <c r="GR441" s="27"/>
      <c r="GS441" s="27"/>
      <c r="GT441" s="27"/>
    </row>
    <row r="442" spans="195:202" x14ac:dyDescent="0.25">
      <c r="GM442" s="27"/>
      <c r="GN442" s="27"/>
      <c r="GO442" s="27"/>
      <c r="GP442" s="27"/>
      <c r="GQ442" s="27"/>
      <c r="GR442" s="27"/>
      <c r="GS442" s="27"/>
      <c r="GT442" s="27"/>
    </row>
    <row r="443" spans="195:202" x14ac:dyDescent="0.25">
      <c r="GM443" s="27"/>
      <c r="GN443" s="27"/>
      <c r="GO443" s="27"/>
      <c r="GP443" s="27"/>
      <c r="GQ443" s="27"/>
      <c r="GR443" s="27"/>
      <c r="GS443" s="27"/>
      <c r="GT443" s="27"/>
    </row>
    <row r="444" spans="195:202" x14ac:dyDescent="0.25">
      <c r="GM444" s="27"/>
      <c r="GN444" s="27"/>
      <c r="GO444" s="27"/>
      <c r="GP444" s="27"/>
      <c r="GQ444" s="27"/>
      <c r="GR444" s="27"/>
      <c r="GS444" s="27"/>
      <c r="GT444" s="27"/>
    </row>
    <row r="445" spans="195:202" x14ac:dyDescent="0.25">
      <c r="GM445" s="27"/>
      <c r="GN445" s="27"/>
      <c r="GO445" s="27"/>
      <c r="GP445" s="27"/>
      <c r="GQ445" s="27"/>
      <c r="GR445" s="27"/>
      <c r="GS445" s="27"/>
      <c r="GT445" s="27"/>
    </row>
    <row r="446" spans="195:202" x14ac:dyDescent="0.25">
      <c r="GM446" s="27"/>
      <c r="GN446" s="27"/>
      <c r="GO446" s="27"/>
      <c r="GP446" s="27"/>
      <c r="GQ446" s="27"/>
      <c r="GR446" s="27"/>
      <c r="GS446" s="27"/>
      <c r="GT446" s="27"/>
    </row>
    <row r="447" spans="195:202" x14ac:dyDescent="0.25">
      <c r="GM447" s="27"/>
      <c r="GN447" s="27"/>
      <c r="GO447" s="27"/>
      <c r="GP447" s="27"/>
      <c r="GQ447" s="27"/>
      <c r="GR447" s="27"/>
      <c r="GS447" s="27"/>
      <c r="GT447" s="27"/>
    </row>
    <row r="448" spans="195:202" x14ac:dyDescent="0.25">
      <c r="GM448" s="27"/>
      <c r="GN448" s="27"/>
      <c r="GO448" s="27"/>
      <c r="GP448" s="27"/>
      <c r="GQ448" s="27"/>
      <c r="GR448" s="27"/>
      <c r="GS448" s="27"/>
      <c r="GT448" s="27"/>
    </row>
    <row r="449" spans="195:202" x14ac:dyDescent="0.25">
      <c r="GM449" s="27"/>
      <c r="GN449" s="27"/>
      <c r="GO449" s="27"/>
      <c r="GP449" s="27"/>
      <c r="GQ449" s="27"/>
      <c r="GR449" s="27"/>
      <c r="GS449" s="27"/>
      <c r="GT449" s="27"/>
    </row>
    <row r="450" spans="195:202" x14ac:dyDescent="0.25">
      <c r="GM450" s="27"/>
      <c r="GN450" s="27"/>
      <c r="GO450" s="27"/>
      <c r="GP450" s="27"/>
      <c r="GQ450" s="27"/>
      <c r="GR450" s="27"/>
      <c r="GS450" s="27"/>
      <c r="GT450" s="27"/>
    </row>
    <row r="451" spans="195:202" x14ac:dyDescent="0.25">
      <c r="GM451" s="27"/>
      <c r="GN451" s="27"/>
      <c r="GO451" s="27"/>
      <c r="GP451" s="27"/>
      <c r="GQ451" s="27"/>
      <c r="GR451" s="27"/>
      <c r="GS451" s="27"/>
      <c r="GT451" s="27"/>
    </row>
    <row r="452" spans="195:202" x14ac:dyDescent="0.25">
      <c r="GM452" s="27"/>
      <c r="GN452" s="27"/>
      <c r="GO452" s="27"/>
      <c r="GP452" s="27"/>
      <c r="GQ452" s="27"/>
      <c r="GR452" s="27"/>
      <c r="GS452" s="27"/>
      <c r="GT452" s="27"/>
    </row>
    <row r="453" spans="195:202" x14ac:dyDescent="0.25">
      <c r="GM453" s="27"/>
      <c r="GN453" s="27"/>
      <c r="GO453" s="27"/>
      <c r="GP453" s="27"/>
      <c r="GQ453" s="27"/>
      <c r="GR453" s="27"/>
      <c r="GS453" s="27"/>
      <c r="GT453" s="27"/>
    </row>
    <row r="454" spans="195:202" x14ac:dyDescent="0.25">
      <c r="GM454" s="27"/>
      <c r="GN454" s="27"/>
      <c r="GO454" s="27"/>
      <c r="GP454" s="27"/>
      <c r="GQ454" s="27"/>
      <c r="GR454" s="27"/>
      <c r="GS454" s="27"/>
      <c r="GT454" s="27"/>
    </row>
    <row r="455" spans="195:202" x14ac:dyDescent="0.25">
      <c r="GM455" s="27"/>
      <c r="GN455" s="27"/>
      <c r="GO455" s="27"/>
      <c r="GP455" s="27"/>
      <c r="GQ455" s="27"/>
      <c r="GR455" s="27"/>
      <c r="GS455" s="27"/>
      <c r="GT455" s="27"/>
    </row>
    <row r="456" spans="195:202" x14ac:dyDescent="0.25">
      <c r="GM456" s="27"/>
      <c r="GN456" s="27"/>
      <c r="GO456" s="27"/>
      <c r="GP456" s="27"/>
      <c r="GQ456" s="27"/>
      <c r="GR456" s="27"/>
      <c r="GS456" s="27"/>
      <c r="GT456" s="27"/>
    </row>
    <row r="457" spans="195:202" x14ac:dyDescent="0.25">
      <c r="GM457" s="27"/>
      <c r="GN457" s="27"/>
      <c r="GO457" s="27"/>
      <c r="GP457" s="27"/>
      <c r="GQ457" s="27"/>
      <c r="GR457" s="27"/>
      <c r="GS457" s="27"/>
      <c r="GT457" s="27"/>
    </row>
    <row r="458" spans="195:202" x14ac:dyDescent="0.25">
      <c r="GM458" s="27"/>
      <c r="GN458" s="27"/>
      <c r="GO458" s="27"/>
      <c r="GP458" s="27"/>
      <c r="GQ458" s="27"/>
      <c r="GR458" s="27"/>
      <c r="GS458" s="27"/>
      <c r="GT458" s="27"/>
    </row>
    <row r="459" spans="195:202" x14ac:dyDescent="0.25">
      <c r="GM459" s="27"/>
      <c r="GN459" s="27"/>
      <c r="GO459" s="27"/>
      <c r="GP459" s="27"/>
      <c r="GQ459" s="27"/>
      <c r="GR459" s="27"/>
      <c r="GS459" s="27"/>
      <c r="GT459" s="27"/>
    </row>
    <row r="460" spans="195:202" x14ac:dyDescent="0.25">
      <c r="GM460" s="27"/>
      <c r="GN460" s="27"/>
      <c r="GO460" s="27"/>
      <c r="GP460" s="27"/>
      <c r="GQ460" s="27"/>
      <c r="GR460" s="27"/>
      <c r="GS460" s="27"/>
      <c r="GT460" s="27"/>
    </row>
    <row r="461" spans="195:202" x14ac:dyDescent="0.25">
      <c r="GM461" s="27"/>
      <c r="GN461" s="27"/>
      <c r="GO461" s="27"/>
      <c r="GP461" s="27"/>
      <c r="GQ461" s="27"/>
      <c r="GR461" s="27"/>
      <c r="GS461" s="27"/>
      <c r="GT461" s="27"/>
    </row>
  </sheetData>
  <autoFilter ref="A1:JZ118">
    <filterColumn colId="3">
      <filters>
        <filter val="2017"/>
      </filters>
    </filterColumn>
  </autoFilter>
  <sortState ref="A39:A44">
    <sortCondition ref="A39"/>
  </sortState>
  <dataConsolidate/>
  <conditionalFormatting sqref="EO19">
    <cfRule type="expression" dxfId="2" priority="1">
      <formula>$EO$19&gt;TODAY()</formula>
    </cfRule>
  </conditionalFormatting>
  <dataValidations disablePrompts="1" count="13">
    <dataValidation type="list" allowBlank="1" showInputMessage="1" showErrorMessage="1" sqref="BT116 CB116 BQ24:BR58 CG116:CJ116 CK115:CK116 CJ41 CC41:CE41 CC56:CF58 CC60:CF116 BO59:BR116">
      <formula1>"Oui,Non"</formula1>
    </dataValidation>
    <dataValidation type="list" allowBlank="1" showInputMessage="1" showErrorMessage="1" sqref="BU116:BW116 AV2:AV115">
      <formula1>"oui,non"</formula1>
    </dataValidation>
    <dataValidation type="list" allowBlank="1" showInputMessage="1" showErrorMessage="1" sqref="O116:U116 W116:AB116 B116:C116">
      <formula1>"Avirons,Entre-Deux,Etang-Salé,Petite-Ile,St Joseph,St Leu,St Louis,St Paul,St Philippe,St Pierre,Tampon,Trois Bassins"</formula1>
    </dataValidation>
    <dataValidation type="list" allowBlank="1" showInputMessage="1" showErrorMessage="1" sqref="BN52:BN53 BN40:BN47">
      <formula1>"OFOI,INGEPAR,INTERINVEST"</formula1>
    </dataValidation>
    <dataValidation type="list" allowBlank="1" showInputMessage="1" showErrorMessage="1" sqref="BN3:BN8 BN10:BN39">
      <formula1>"INGEPAR,OFOI,INTER INVEST"</formula1>
    </dataValidation>
    <dataValidation type="list" allowBlank="1" showInputMessage="1" showErrorMessage="1" sqref="AW116:BM116 DX116:FO116">
      <formula1>"FHO,FMA,JDC,JFO,LIM,SFE,YFR"</formula1>
    </dataValidation>
    <dataValidation type="list" allowBlank="1" showInputMessage="1" showErrorMessage="1" sqref="BN58:BN116">
      <formula1>"INGEPAR,OFOI"</formula1>
    </dataValidation>
    <dataValidation type="list" allowBlank="1" showInputMessage="1" showErrorMessage="1" sqref="F35:F62 F2:F13 F83:F115">
      <formula1>"ADE,AGA,APU,BBL,FBR,FHO,FVA,JER,YFR"</formula1>
    </dataValidation>
    <dataValidation type="list" allowBlank="1" showInputMessage="1" showErrorMessage="1" sqref="F63:F82">
      <formula1>"ADE,AGA,APU,BBL,FBR,FHO,FVA,JER,OET,YFR"</formula1>
    </dataValidation>
    <dataValidation type="list" allowBlank="1" showInputMessage="1" showErrorMessage="1" sqref="AC2:AC115">
      <formula1>"LLS,LLTS,PLS,Rehab"</formula1>
    </dataValidation>
    <dataValidation type="list" allowBlank="1" showInputMessage="1" showErrorMessage="1" sqref="C2:C115">
      <formula1>"CA SUD,CIVIS,TCO"</formula1>
    </dataValidation>
    <dataValidation type="list" allowBlank="1" showInputMessage="1" showErrorMessage="1" sqref="B2:B115">
      <formula1>"Avirons,Cilaos,Entre-Deux,Etang-Salé,La Possession,Petite-Ile,St Joseph,St Leu,St Louis,St Paul,St Philippe,St Pierre,Tampon,Trois Bassins"</formula1>
    </dataValidation>
    <dataValidation type="list" allowBlank="1" showInputMessage="1" showErrorMessage="1" sqref="F14:F34">
      <formula1>"ADE,APU,BBL,FBR,FHO,FVA,JER,OET,YFR"</formula1>
    </dataValidation>
  </dataValidations>
  <pageMargins left="0.23622047244094491" right="0.23622047244094491" top="0.74803149606299213" bottom="0.74803149606299213" header="0.31496062992125984" footer="0.31496062992125984"/>
  <pageSetup paperSize="9" scale="10" orientation="landscape" r:id="rId1"/>
  <rowBreaks count="1" manualBreakCount="1">
    <brk id="121" max="288" man="1"/>
  </rowBreaks>
  <colBreaks count="1" manualBreakCount="1">
    <brk id="271" max="243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4" r:id="rId4" name="Button 40">
              <controlPr defaultSize="0" print="0" autoFill="0" autoPict="0" macro="[0]!Plan_financement_Prog_2017" altText="Plan fi Prog 2017">
                <anchor moveWithCells="1" sizeWithCells="1">
                  <from>
                    <xdr:col>0</xdr:col>
                    <xdr:colOff>123825</xdr:colOff>
                    <xdr:row>121</xdr:row>
                    <xdr:rowOff>209550</xdr:rowOff>
                  </from>
                  <to>
                    <xdr:col>0</xdr:col>
                    <xdr:colOff>1943100</xdr:colOff>
                    <xdr:row>122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5" name="Button 41">
              <controlPr defaultSize="0" print="0" autoFill="0" autoPict="0" macro="[0]!Tableau_complet">
                <anchor moveWithCells="1" sizeWithCells="1">
                  <from>
                    <xdr:col>0</xdr:col>
                    <xdr:colOff>123825</xdr:colOff>
                    <xdr:row>125</xdr:row>
                    <xdr:rowOff>0</xdr:rowOff>
                  </from>
                  <to>
                    <xdr:col>0</xdr:col>
                    <xdr:colOff>1971675</xdr:colOff>
                    <xdr:row>128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97"/>
  <sheetViews>
    <sheetView zoomScale="70" zoomScaleNormal="70" workbookViewId="0">
      <selection activeCell="A48" sqref="A2:A48"/>
    </sheetView>
  </sheetViews>
  <sheetFormatPr baseColWidth="10" defaultRowHeight="15" x14ac:dyDescent="0.25"/>
  <cols>
    <col min="1" max="1" width="24.140625" customWidth="1"/>
    <col min="2" max="2" width="26.5703125" bestFit="1" customWidth="1"/>
    <col min="3" max="3" width="13.42578125" customWidth="1"/>
    <col min="4" max="4" width="13.85546875" customWidth="1"/>
    <col min="5" max="5" width="13.42578125" bestFit="1" customWidth="1"/>
    <col min="6" max="6" width="19.5703125" bestFit="1" customWidth="1"/>
    <col min="7" max="7" width="19.42578125" customWidth="1"/>
    <col min="8" max="8" width="15.42578125" customWidth="1"/>
    <col min="11" max="11" width="14.140625" customWidth="1"/>
    <col min="12" max="12" width="26.5703125" bestFit="1" customWidth="1"/>
    <col min="13" max="13" width="7.140625" customWidth="1"/>
    <col min="14" max="14" width="7.85546875" customWidth="1"/>
    <col min="15" max="16" width="5.5703125" customWidth="1"/>
    <col min="17" max="17" width="14.140625" customWidth="1"/>
    <col min="18" max="18" width="6.140625" customWidth="1"/>
    <col min="19" max="19" width="5.42578125" customWidth="1"/>
    <col min="20" max="20" width="14.140625" bestFit="1" customWidth="1"/>
  </cols>
  <sheetData>
    <row r="1" spans="1:14" ht="15.75" x14ac:dyDescent="0.25">
      <c r="A1" s="1" t="s">
        <v>0</v>
      </c>
      <c r="B1" s="1" t="s">
        <v>1</v>
      </c>
      <c r="C1" s="1" t="s">
        <v>156</v>
      </c>
      <c r="D1" s="1" t="s">
        <v>91</v>
      </c>
      <c r="E1" s="1" t="s">
        <v>3</v>
      </c>
      <c r="F1" s="3" t="s">
        <v>16</v>
      </c>
      <c r="G1" s="3" t="s">
        <v>242</v>
      </c>
      <c r="H1" s="3" t="s">
        <v>420</v>
      </c>
    </row>
    <row r="2" spans="1:14" x14ac:dyDescent="0.25">
      <c r="A2" s="52" t="s">
        <v>92</v>
      </c>
      <c r="B2" s="33" t="s">
        <v>53</v>
      </c>
      <c r="C2" s="33" t="s">
        <v>159</v>
      </c>
      <c r="D2" s="33">
        <v>2012</v>
      </c>
      <c r="E2" s="20">
        <v>14</v>
      </c>
      <c r="F2" s="33" t="s">
        <v>40</v>
      </c>
      <c r="G2" s="33" t="s">
        <v>243</v>
      </c>
      <c r="H2" s="33" t="s">
        <v>244</v>
      </c>
    </row>
    <row r="3" spans="1:14" x14ac:dyDescent="0.25">
      <c r="A3" s="52" t="s">
        <v>93</v>
      </c>
      <c r="B3" s="33" t="s">
        <v>101</v>
      </c>
      <c r="C3" s="33" t="s">
        <v>159</v>
      </c>
      <c r="D3" s="33">
        <v>2012</v>
      </c>
      <c r="E3" s="20">
        <v>7</v>
      </c>
      <c r="F3" s="33" t="s">
        <v>74</v>
      </c>
      <c r="G3" s="33" t="s">
        <v>243</v>
      </c>
      <c r="H3" s="33" t="s">
        <v>244</v>
      </c>
    </row>
    <row r="4" spans="1:14" x14ac:dyDescent="0.25">
      <c r="A4" s="32" t="s">
        <v>95</v>
      </c>
      <c r="B4" s="6" t="s">
        <v>46</v>
      </c>
      <c r="C4" s="6" t="s">
        <v>157</v>
      </c>
      <c r="D4" s="6">
        <v>2012</v>
      </c>
      <c r="E4" s="7">
        <v>84</v>
      </c>
      <c r="F4" s="33" t="s">
        <v>71</v>
      </c>
      <c r="G4" s="33" t="s">
        <v>243</v>
      </c>
      <c r="H4" s="33" t="s">
        <v>244</v>
      </c>
    </row>
    <row r="5" spans="1:14" x14ac:dyDescent="0.25">
      <c r="A5" s="32" t="s">
        <v>96</v>
      </c>
      <c r="B5" s="6" t="s">
        <v>46</v>
      </c>
      <c r="C5" s="6" t="s">
        <v>157</v>
      </c>
      <c r="D5" s="6">
        <v>2012</v>
      </c>
      <c r="E5" s="7">
        <v>75</v>
      </c>
      <c r="F5" s="33" t="s">
        <v>113</v>
      </c>
      <c r="G5" s="33" t="s">
        <v>244</v>
      </c>
      <c r="H5" s="33" t="s">
        <v>244</v>
      </c>
    </row>
    <row r="6" spans="1:14" x14ac:dyDescent="0.25">
      <c r="A6" s="32" t="s">
        <v>381</v>
      </c>
      <c r="B6" s="6" t="s">
        <v>46</v>
      </c>
      <c r="C6" s="6" t="s">
        <v>157</v>
      </c>
      <c r="D6" s="6">
        <v>2012</v>
      </c>
      <c r="E6" s="7">
        <v>17</v>
      </c>
      <c r="F6" s="33" t="s">
        <v>48</v>
      </c>
      <c r="G6" s="33" t="s">
        <v>244</v>
      </c>
      <c r="H6" s="33" t="s">
        <v>244</v>
      </c>
    </row>
    <row r="7" spans="1:14" ht="30" x14ac:dyDescent="0.25">
      <c r="A7" s="157" t="s">
        <v>97</v>
      </c>
      <c r="B7" s="6" t="s">
        <v>46</v>
      </c>
      <c r="C7" s="6" t="s">
        <v>157</v>
      </c>
      <c r="D7" s="6">
        <v>2012</v>
      </c>
      <c r="E7" s="7">
        <v>65</v>
      </c>
      <c r="F7" s="33" t="s">
        <v>379</v>
      </c>
      <c r="G7" s="33" t="s">
        <v>244</v>
      </c>
      <c r="H7" s="33" t="s">
        <v>244</v>
      </c>
      <c r="K7" s="10" t="s">
        <v>118</v>
      </c>
      <c r="L7" s="10" t="s">
        <v>119</v>
      </c>
    </row>
    <row r="8" spans="1:14" x14ac:dyDescent="0.25">
      <c r="A8" s="52" t="s">
        <v>100</v>
      </c>
      <c r="B8" s="33" t="s">
        <v>44</v>
      </c>
      <c r="C8" s="33" t="s">
        <v>158</v>
      </c>
      <c r="D8" s="33">
        <v>2012</v>
      </c>
      <c r="E8" s="20">
        <v>10</v>
      </c>
      <c r="F8" s="33" t="s">
        <v>74</v>
      </c>
      <c r="G8" s="33" t="s">
        <v>244</v>
      </c>
      <c r="H8" s="33" t="s">
        <v>244</v>
      </c>
      <c r="K8" s="10" t="s">
        <v>16</v>
      </c>
      <c r="L8" t="s">
        <v>421</v>
      </c>
      <c r="M8" t="s">
        <v>244</v>
      </c>
      <c r="N8" t="s">
        <v>117</v>
      </c>
    </row>
    <row r="9" spans="1:14" x14ac:dyDescent="0.25">
      <c r="A9" s="32" t="s">
        <v>99</v>
      </c>
      <c r="B9" s="6" t="s">
        <v>44</v>
      </c>
      <c r="C9" s="6" t="s">
        <v>158</v>
      </c>
      <c r="D9" s="6">
        <v>2012</v>
      </c>
      <c r="E9" s="7">
        <v>22</v>
      </c>
      <c r="F9" s="33" t="s">
        <v>71</v>
      </c>
      <c r="G9" s="33" t="s">
        <v>244</v>
      </c>
      <c r="H9" s="33" t="s">
        <v>244</v>
      </c>
      <c r="K9" s="11" t="s">
        <v>412</v>
      </c>
      <c r="L9" s="39">
        <v>54</v>
      </c>
      <c r="M9" s="39">
        <v>27</v>
      </c>
      <c r="N9" s="39">
        <v>81</v>
      </c>
    </row>
    <row r="10" spans="1:14" x14ac:dyDescent="0.25">
      <c r="A10" s="32" t="s">
        <v>98</v>
      </c>
      <c r="B10" s="6" t="s">
        <v>44</v>
      </c>
      <c r="C10" s="6" t="s">
        <v>158</v>
      </c>
      <c r="D10" s="6">
        <v>2012</v>
      </c>
      <c r="E10" s="7">
        <v>24</v>
      </c>
      <c r="F10" s="33" t="s">
        <v>74</v>
      </c>
      <c r="G10" s="33" t="s">
        <v>244</v>
      </c>
      <c r="H10" s="33" t="s">
        <v>244</v>
      </c>
      <c r="K10" s="11" t="s">
        <v>40</v>
      </c>
      <c r="L10" s="39">
        <v>165</v>
      </c>
      <c r="M10" s="39">
        <v>68</v>
      </c>
      <c r="N10" s="39">
        <v>233</v>
      </c>
    </row>
    <row r="11" spans="1:14" x14ac:dyDescent="0.25">
      <c r="A11" s="32" t="s">
        <v>94</v>
      </c>
      <c r="B11" s="6" t="s">
        <v>46</v>
      </c>
      <c r="C11" s="6" t="s">
        <v>157</v>
      </c>
      <c r="D11" s="6">
        <v>2012</v>
      </c>
      <c r="E11" s="7">
        <v>40</v>
      </c>
      <c r="F11" s="33" t="s">
        <v>40</v>
      </c>
      <c r="G11" s="33" t="s">
        <v>244</v>
      </c>
      <c r="H11" s="33" t="s">
        <v>244</v>
      </c>
      <c r="K11" s="11" t="s">
        <v>48</v>
      </c>
      <c r="L11" s="39">
        <v>195</v>
      </c>
      <c r="M11" s="39">
        <v>83</v>
      </c>
      <c r="N11" s="39">
        <v>278</v>
      </c>
    </row>
    <row r="12" spans="1:14" x14ac:dyDescent="0.25">
      <c r="A12" s="32" t="s">
        <v>416</v>
      </c>
      <c r="B12" s="6" t="s">
        <v>46</v>
      </c>
      <c r="C12" s="6" t="s">
        <v>157</v>
      </c>
      <c r="D12" s="6">
        <v>2012</v>
      </c>
      <c r="E12" s="7">
        <f>29+13</f>
        <v>42</v>
      </c>
      <c r="F12" s="33" t="s">
        <v>48</v>
      </c>
      <c r="G12" s="33" t="s">
        <v>244</v>
      </c>
      <c r="H12" s="33" t="s">
        <v>244</v>
      </c>
      <c r="K12" s="11" t="s">
        <v>380</v>
      </c>
      <c r="L12" s="39">
        <v>186</v>
      </c>
      <c r="M12" s="39"/>
      <c r="N12" s="39">
        <v>186</v>
      </c>
    </row>
    <row r="13" spans="1:14" x14ac:dyDescent="0.25">
      <c r="A13" s="52" t="s">
        <v>69</v>
      </c>
      <c r="B13" s="20" t="s">
        <v>38</v>
      </c>
      <c r="C13" s="20" t="s">
        <v>157</v>
      </c>
      <c r="D13" s="20">
        <v>2013</v>
      </c>
      <c r="E13" s="20">
        <v>15</v>
      </c>
      <c r="F13" s="20" t="s">
        <v>40</v>
      </c>
      <c r="G13" s="20" t="s">
        <v>246</v>
      </c>
      <c r="H13" s="20" t="s">
        <v>421</v>
      </c>
      <c r="K13" s="11" t="s">
        <v>379</v>
      </c>
      <c r="L13" s="39">
        <v>163</v>
      </c>
      <c r="M13" s="39">
        <v>109</v>
      </c>
      <c r="N13" s="39">
        <v>272</v>
      </c>
    </row>
    <row r="14" spans="1:14" x14ac:dyDescent="0.25">
      <c r="A14" s="52" t="s">
        <v>49</v>
      </c>
      <c r="B14" s="47" t="s">
        <v>44</v>
      </c>
      <c r="C14" s="47" t="s">
        <v>158</v>
      </c>
      <c r="D14" s="47">
        <v>2013</v>
      </c>
      <c r="E14" s="47">
        <v>14</v>
      </c>
      <c r="F14" s="47" t="s">
        <v>48</v>
      </c>
      <c r="G14" s="47" t="s">
        <v>246</v>
      </c>
      <c r="H14" s="20" t="s">
        <v>421</v>
      </c>
      <c r="K14" s="11" t="s">
        <v>71</v>
      </c>
      <c r="L14" s="39">
        <v>67</v>
      </c>
      <c r="M14" s="39">
        <v>234</v>
      </c>
      <c r="N14" s="39">
        <v>301</v>
      </c>
    </row>
    <row r="15" spans="1:14" x14ac:dyDescent="0.25">
      <c r="A15" s="52" t="s">
        <v>56</v>
      </c>
      <c r="B15" s="20" t="s">
        <v>46</v>
      </c>
      <c r="C15" s="20" t="s">
        <v>157</v>
      </c>
      <c r="D15" s="20">
        <v>2013</v>
      </c>
      <c r="E15" s="20">
        <v>29</v>
      </c>
      <c r="F15" s="20" t="s">
        <v>380</v>
      </c>
      <c r="G15" s="20" t="s">
        <v>245</v>
      </c>
      <c r="H15" s="20" t="s">
        <v>421</v>
      </c>
      <c r="K15" s="11" t="s">
        <v>113</v>
      </c>
      <c r="L15" s="39"/>
      <c r="M15" s="39">
        <v>75</v>
      </c>
      <c r="N15" s="39">
        <v>75</v>
      </c>
    </row>
    <row r="16" spans="1:14" x14ac:dyDescent="0.25">
      <c r="A16" s="52" t="s">
        <v>61</v>
      </c>
      <c r="B16" s="20" t="s">
        <v>62</v>
      </c>
      <c r="C16" s="20" t="s">
        <v>158</v>
      </c>
      <c r="D16" s="20">
        <v>2013</v>
      </c>
      <c r="E16" s="20">
        <f>27+83</f>
        <v>110</v>
      </c>
      <c r="F16" s="20" t="s">
        <v>48</v>
      </c>
      <c r="G16" s="20" t="s">
        <v>317</v>
      </c>
      <c r="H16" s="20" t="s">
        <v>421</v>
      </c>
      <c r="K16" s="11" t="s">
        <v>74</v>
      </c>
      <c r="L16" s="39">
        <v>85</v>
      </c>
      <c r="M16" s="39">
        <v>129</v>
      </c>
      <c r="N16" s="39">
        <v>214</v>
      </c>
    </row>
    <row r="17" spans="1:14" x14ac:dyDescent="0.25">
      <c r="A17" s="52" t="s">
        <v>72</v>
      </c>
      <c r="B17" s="20" t="s">
        <v>46</v>
      </c>
      <c r="C17" s="20" t="s">
        <v>157</v>
      </c>
      <c r="D17" s="20">
        <v>2013</v>
      </c>
      <c r="E17" s="20">
        <v>9</v>
      </c>
      <c r="F17" s="20" t="s">
        <v>412</v>
      </c>
      <c r="G17" s="20" t="s">
        <v>244</v>
      </c>
      <c r="H17" s="33" t="s">
        <v>244</v>
      </c>
      <c r="K17" s="11" t="s">
        <v>117</v>
      </c>
      <c r="L17" s="39">
        <v>915</v>
      </c>
      <c r="M17" s="39">
        <v>725</v>
      </c>
      <c r="N17" s="39">
        <v>1640</v>
      </c>
    </row>
    <row r="18" spans="1:14" x14ac:dyDescent="0.25">
      <c r="A18" s="52" t="s">
        <v>192</v>
      </c>
      <c r="B18" s="20" t="s">
        <v>54</v>
      </c>
      <c r="C18" s="20" t="s">
        <v>158</v>
      </c>
      <c r="D18" s="20">
        <v>2013</v>
      </c>
      <c r="E18" s="20">
        <v>24</v>
      </c>
      <c r="F18" s="20" t="s">
        <v>48</v>
      </c>
      <c r="G18" s="20" t="s">
        <v>244</v>
      </c>
      <c r="H18" s="33" t="s">
        <v>244</v>
      </c>
    </row>
    <row r="19" spans="1:14" x14ac:dyDescent="0.25">
      <c r="A19" s="52" t="s">
        <v>67</v>
      </c>
      <c r="B19" s="20" t="s">
        <v>38</v>
      </c>
      <c r="C19" s="20" t="s">
        <v>157</v>
      </c>
      <c r="D19" s="20">
        <v>2013</v>
      </c>
      <c r="E19" s="20">
        <v>34</v>
      </c>
      <c r="F19" s="20" t="s">
        <v>74</v>
      </c>
      <c r="G19" s="20" t="s">
        <v>244</v>
      </c>
      <c r="H19" s="33" t="s">
        <v>244</v>
      </c>
    </row>
    <row r="20" spans="1:14" x14ac:dyDescent="0.25">
      <c r="A20" s="52" t="s">
        <v>51</v>
      </c>
      <c r="B20" s="20" t="s">
        <v>46</v>
      </c>
      <c r="C20" s="20" t="s">
        <v>157</v>
      </c>
      <c r="D20" s="20">
        <v>2013</v>
      </c>
      <c r="E20" s="20">
        <v>54</v>
      </c>
      <c r="F20" s="20" t="s">
        <v>74</v>
      </c>
      <c r="G20" s="20" t="s">
        <v>244</v>
      </c>
      <c r="H20" s="33" t="s">
        <v>244</v>
      </c>
      <c r="L20" t="s">
        <v>421</v>
      </c>
      <c r="M20" t="s">
        <v>395</v>
      </c>
      <c r="N20" t="s">
        <v>140</v>
      </c>
    </row>
    <row r="21" spans="1:14" x14ac:dyDescent="0.25">
      <c r="A21" s="52" t="s">
        <v>45</v>
      </c>
      <c r="B21" s="20" t="s">
        <v>46</v>
      </c>
      <c r="C21" s="20" t="s">
        <v>157</v>
      </c>
      <c r="D21" s="20">
        <v>2013</v>
      </c>
      <c r="E21" s="20">
        <v>44</v>
      </c>
      <c r="F21" s="20" t="s">
        <v>379</v>
      </c>
      <c r="G21" s="20" t="s">
        <v>244</v>
      </c>
      <c r="H21" s="33" t="s">
        <v>244</v>
      </c>
      <c r="L21">
        <f>GETPIVOTDATA("N",$K$7,"Phase","Etudes")</f>
        <v>915</v>
      </c>
      <c r="M21">
        <f>GETPIVOTDATA("N",$K$7,"Phase","Tvx")</f>
        <v>725</v>
      </c>
      <c r="N21">
        <f>SUM(L21:M21)</f>
        <v>1640</v>
      </c>
    </row>
    <row r="22" spans="1:14" x14ac:dyDescent="0.25">
      <c r="A22" s="52" t="s">
        <v>58</v>
      </c>
      <c r="B22" s="20" t="s">
        <v>59</v>
      </c>
      <c r="C22" s="20" t="s">
        <v>157</v>
      </c>
      <c r="D22" s="20">
        <v>2013</v>
      </c>
      <c r="E22" s="20">
        <v>18</v>
      </c>
      <c r="F22" s="20" t="s">
        <v>412</v>
      </c>
      <c r="G22" s="20" t="s">
        <v>244</v>
      </c>
      <c r="H22" s="33" t="s">
        <v>244</v>
      </c>
    </row>
    <row r="23" spans="1:14" x14ac:dyDescent="0.25">
      <c r="A23" s="52" t="s">
        <v>43</v>
      </c>
      <c r="B23" s="20" t="s">
        <v>41</v>
      </c>
      <c r="C23" s="20" t="s">
        <v>157</v>
      </c>
      <c r="D23" s="20">
        <v>2013</v>
      </c>
      <c r="E23" s="20">
        <v>14</v>
      </c>
      <c r="F23" s="20" t="s">
        <v>40</v>
      </c>
      <c r="G23" s="20" t="s">
        <v>244</v>
      </c>
      <c r="H23" s="33" t="s">
        <v>244</v>
      </c>
    </row>
    <row r="24" spans="1:14" x14ac:dyDescent="0.25">
      <c r="A24" s="52" t="s">
        <v>64</v>
      </c>
      <c r="B24" s="20" t="s">
        <v>44</v>
      </c>
      <c r="C24" s="20" t="s">
        <v>158</v>
      </c>
      <c r="D24" s="20">
        <v>2013</v>
      </c>
      <c r="E24" s="20">
        <f>37+44</f>
        <v>81</v>
      </c>
      <c r="F24" s="20" t="s">
        <v>71</v>
      </c>
      <c r="G24" s="20" t="s">
        <v>244</v>
      </c>
      <c r="H24" s="33" t="s">
        <v>244</v>
      </c>
    </row>
    <row r="25" spans="1:14" x14ac:dyDescent="0.25">
      <c r="A25" s="141" t="s">
        <v>219</v>
      </c>
      <c r="B25" s="47" t="s">
        <v>53</v>
      </c>
      <c r="C25" s="47" t="s">
        <v>159</v>
      </c>
      <c r="D25" s="47">
        <v>2014</v>
      </c>
      <c r="E25" s="47">
        <v>9</v>
      </c>
      <c r="F25" s="47" t="s">
        <v>71</v>
      </c>
      <c r="G25" s="47" t="s">
        <v>246</v>
      </c>
      <c r="H25" s="20" t="s">
        <v>421</v>
      </c>
    </row>
    <row r="26" spans="1:14" x14ac:dyDescent="0.25">
      <c r="A26" s="141" t="s">
        <v>417</v>
      </c>
      <c r="B26" s="20" t="s">
        <v>53</v>
      </c>
      <c r="C26" s="20" t="s">
        <v>159</v>
      </c>
      <c r="D26" s="47">
        <v>2014</v>
      </c>
      <c r="E26" s="20">
        <v>16</v>
      </c>
      <c r="F26" s="47" t="s">
        <v>74</v>
      </c>
      <c r="G26" s="47" t="s">
        <v>246</v>
      </c>
      <c r="H26" s="20" t="s">
        <v>421</v>
      </c>
    </row>
    <row r="27" spans="1:14" x14ac:dyDescent="0.25">
      <c r="A27" s="141" t="s">
        <v>418</v>
      </c>
      <c r="B27" s="91" t="s">
        <v>53</v>
      </c>
      <c r="C27" s="91" t="s">
        <v>159</v>
      </c>
      <c r="D27" s="91">
        <v>2014</v>
      </c>
      <c r="E27" s="91">
        <v>30</v>
      </c>
      <c r="F27" s="47" t="s">
        <v>379</v>
      </c>
      <c r="G27" s="47" t="s">
        <v>246</v>
      </c>
      <c r="H27" s="20" t="s">
        <v>421</v>
      </c>
    </row>
    <row r="28" spans="1:14" x14ac:dyDescent="0.25">
      <c r="A28" s="141" t="s">
        <v>419</v>
      </c>
      <c r="B28" s="20" t="s">
        <v>53</v>
      </c>
      <c r="C28" s="20" t="s">
        <v>159</v>
      </c>
      <c r="D28" s="7">
        <v>2014</v>
      </c>
      <c r="E28" s="20">
        <v>30</v>
      </c>
      <c r="F28" s="20" t="s">
        <v>40</v>
      </c>
      <c r="G28" s="47" t="s">
        <v>246</v>
      </c>
      <c r="H28" s="20" t="s">
        <v>421</v>
      </c>
    </row>
    <row r="29" spans="1:14" x14ac:dyDescent="0.25">
      <c r="A29" s="143" t="s">
        <v>358</v>
      </c>
      <c r="B29" s="20" t="s">
        <v>46</v>
      </c>
      <c r="C29" s="20" t="s">
        <v>157</v>
      </c>
      <c r="D29" s="20">
        <v>2014</v>
      </c>
      <c r="E29" s="20">
        <v>50</v>
      </c>
      <c r="F29" s="20" t="s">
        <v>74</v>
      </c>
      <c r="G29" s="20" t="s">
        <v>383</v>
      </c>
      <c r="H29" s="20" t="s">
        <v>421</v>
      </c>
    </row>
    <row r="30" spans="1:14" x14ac:dyDescent="0.25">
      <c r="A30" s="141" t="s">
        <v>300</v>
      </c>
      <c r="B30" s="20" t="s">
        <v>46</v>
      </c>
      <c r="C30" s="20" t="s">
        <v>157</v>
      </c>
      <c r="D30" s="20">
        <v>2014</v>
      </c>
      <c r="E30" s="20">
        <v>32</v>
      </c>
      <c r="F30" s="20" t="s">
        <v>379</v>
      </c>
      <c r="G30" s="20" t="s">
        <v>318</v>
      </c>
      <c r="H30" s="20" t="s">
        <v>421</v>
      </c>
    </row>
    <row r="31" spans="1:14" x14ac:dyDescent="0.25">
      <c r="A31" s="141" t="s">
        <v>301</v>
      </c>
      <c r="B31" s="20" t="s">
        <v>44</v>
      </c>
      <c r="C31" s="20" t="s">
        <v>158</v>
      </c>
      <c r="D31" s="47">
        <v>2014</v>
      </c>
      <c r="E31" s="20">
        <v>32</v>
      </c>
      <c r="F31" s="47" t="s">
        <v>48</v>
      </c>
      <c r="G31" s="47" t="s">
        <v>318</v>
      </c>
      <c r="H31" s="20" t="s">
        <v>421</v>
      </c>
    </row>
    <row r="32" spans="1:14" x14ac:dyDescent="0.25">
      <c r="A32" s="141" t="s">
        <v>37</v>
      </c>
      <c r="B32" s="20" t="s">
        <v>38</v>
      </c>
      <c r="C32" s="20" t="s">
        <v>157</v>
      </c>
      <c r="D32" s="20">
        <v>2014</v>
      </c>
      <c r="E32" s="20">
        <v>21</v>
      </c>
      <c r="F32" s="20" t="s">
        <v>40</v>
      </c>
      <c r="G32" s="20" t="s">
        <v>247</v>
      </c>
      <c r="H32" s="20" t="s">
        <v>421</v>
      </c>
    </row>
    <row r="33" spans="1:13" ht="30" x14ac:dyDescent="0.25">
      <c r="A33" s="159" t="s">
        <v>409</v>
      </c>
      <c r="B33" s="111" t="s">
        <v>46</v>
      </c>
      <c r="C33" s="111" t="s">
        <v>157</v>
      </c>
      <c r="D33" s="111">
        <v>2014</v>
      </c>
      <c r="E33" s="47">
        <v>47</v>
      </c>
      <c r="F33" s="111" t="s">
        <v>71</v>
      </c>
      <c r="G33" s="111" t="s">
        <v>244</v>
      </c>
      <c r="H33" s="109" t="s">
        <v>244</v>
      </c>
    </row>
    <row r="34" spans="1:13" x14ac:dyDescent="0.25">
      <c r="A34" s="19" t="s">
        <v>371</v>
      </c>
      <c r="B34" s="20" t="s">
        <v>46</v>
      </c>
      <c r="C34" s="20" t="s">
        <v>157</v>
      </c>
      <c r="D34" s="20">
        <v>2015</v>
      </c>
      <c r="E34" s="20">
        <f>69+20</f>
        <v>89</v>
      </c>
      <c r="F34" s="20" t="s">
        <v>380</v>
      </c>
      <c r="G34" s="20" t="s">
        <v>245</v>
      </c>
      <c r="H34" s="20" t="s">
        <v>421</v>
      </c>
      <c r="L34" s="170" t="s">
        <v>16</v>
      </c>
      <c r="M34" s="170" t="s">
        <v>117</v>
      </c>
    </row>
    <row r="35" spans="1:13" x14ac:dyDescent="0.25">
      <c r="A35" s="19" t="s">
        <v>372</v>
      </c>
      <c r="B35" s="20" t="s">
        <v>217</v>
      </c>
      <c r="C35" s="20" t="s">
        <v>159</v>
      </c>
      <c r="D35" s="20">
        <v>2015</v>
      </c>
      <c r="E35" s="20">
        <f>12+46</f>
        <v>58</v>
      </c>
      <c r="F35" s="20" t="s">
        <v>71</v>
      </c>
      <c r="G35" s="20" t="s">
        <v>245</v>
      </c>
      <c r="H35" s="20" t="s">
        <v>421</v>
      </c>
      <c r="L35" s="11" t="s">
        <v>412</v>
      </c>
      <c r="M35" s="39">
        <f>GETPIVOTDATA("N",$K$7,"RO","AGA")</f>
        <v>81</v>
      </c>
    </row>
    <row r="36" spans="1:13" x14ac:dyDescent="0.25">
      <c r="A36" s="19" t="s">
        <v>382</v>
      </c>
      <c r="B36" s="20" t="s">
        <v>53</v>
      </c>
      <c r="C36" s="20" t="s">
        <v>159</v>
      </c>
      <c r="D36" s="20">
        <v>2015</v>
      </c>
      <c r="E36" s="20">
        <v>18</v>
      </c>
      <c r="F36" s="20" t="s">
        <v>380</v>
      </c>
      <c r="G36" s="20" t="s">
        <v>245</v>
      </c>
      <c r="H36" s="20" t="s">
        <v>421</v>
      </c>
      <c r="L36" s="11" t="s">
        <v>40</v>
      </c>
      <c r="M36" s="39">
        <f>GETPIVOTDATA("N",$K$7,"RO","FHO")</f>
        <v>233</v>
      </c>
    </row>
    <row r="37" spans="1:13" x14ac:dyDescent="0.25">
      <c r="A37" s="19" t="s">
        <v>384</v>
      </c>
      <c r="B37" s="20" t="s">
        <v>62</v>
      </c>
      <c r="C37" s="20" t="s">
        <v>158</v>
      </c>
      <c r="D37" s="20">
        <v>2015</v>
      </c>
      <c r="E37" s="20">
        <v>18</v>
      </c>
      <c r="F37" s="20" t="s">
        <v>380</v>
      </c>
      <c r="G37" s="20" t="s">
        <v>245</v>
      </c>
      <c r="H37" s="20" t="s">
        <v>421</v>
      </c>
      <c r="L37" s="11" t="s">
        <v>48</v>
      </c>
      <c r="M37" s="39">
        <f>GETPIVOTDATA("N",$K$7,"RO","FMA")</f>
        <v>278</v>
      </c>
    </row>
    <row r="38" spans="1:13" x14ac:dyDescent="0.25">
      <c r="A38" s="19" t="s">
        <v>404</v>
      </c>
      <c r="B38" s="20" t="s">
        <v>38</v>
      </c>
      <c r="C38" s="20" t="s">
        <v>157</v>
      </c>
      <c r="D38" s="20">
        <v>2015</v>
      </c>
      <c r="E38" s="20">
        <v>20</v>
      </c>
      <c r="F38" s="20" t="s">
        <v>380</v>
      </c>
      <c r="G38" s="20" t="s">
        <v>245</v>
      </c>
      <c r="H38" s="20" t="s">
        <v>421</v>
      </c>
      <c r="L38" s="11" t="s">
        <v>380</v>
      </c>
      <c r="M38" s="39">
        <f>GETPIVOTDATA("N",$K$7,"RO","JMO")</f>
        <v>186</v>
      </c>
    </row>
    <row r="39" spans="1:13" x14ac:dyDescent="0.25">
      <c r="A39" s="141" t="s">
        <v>221</v>
      </c>
      <c r="B39" s="91" t="s">
        <v>38</v>
      </c>
      <c r="C39" s="91" t="s">
        <v>157</v>
      </c>
      <c r="D39" s="7">
        <v>2015</v>
      </c>
      <c r="E39" s="91">
        <v>19</v>
      </c>
      <c r="F39" s="20" t="s">
        <v>74</v>
      </c>
      <c r="G39" s="47" t="s">
        <v>245</v>
      </c>
      <c r="H39" s="20" t="s">
        <v>421</v>
      </c>
      <c r="L39" s="11" t="s">
        <v>379</v>
      </c>
      <c r="M39" s="39">
        <f>GETPIVOTDATA("N",$K$7,"RO","MFL")</f>
        <v>272</v>
      </c>
    </row>
    <row r="40" spans="1:13" x14ac:dyDescent="0.25">
      <c r="A40" s="146" t="s">
        <v>405</v>
      </c>
      <c r="B40" s="110" t="s">
        <v>62</v>
      </c>
      <c r="C40" s="110" t="s">
        <v>158</v>
      </c>
      <c r="D40" s="110">
        <v>2015</v>
      </c>
      <c r="E40" s="20">
        <v>25</v>
      </c>
      <c r="F40" s="110" t="s">
        <v>40</v>
      </c>
      <c r="G40" s="110" t="s">
        <v>366</v>
      </c>
      <c r="H40" s="110" t="s">
        <v>421</v>
      </c>
      <c r="L40" s="11" t="s">
        <v>71</v>
      </c>
      <c r="M40" s="39">
        <f>GETPIVOTDATA("N",$K$7,"RO","SFE")</f>
        <v>301</v>
      </c>
    </row>
    <row r="41" spans="1:13" x14ac:dyDescent="0.25">
      <c r="A41" s="159" t="s">
        <v>374</v>
      </c>
      <c r="B41" s="111" t="s">
        <v>44</v>
      </c>
      <c r="C41" s="111" t="s">
        <v>158</v>
      </c>
      <c r="D41" s="111">
        <v>2015</v>
      </c>
      <c r="E41" s="47">
        <v>19</v>
      </c>
      <c r="F41" s="111" t="s">
        <v>412</v>
      </c>
      <c r="G41" s="111" t="s">
        <v>318</v>
      </c>
      <c r="H41" s="110" t="s">
        <v>421</v>
      </c>
      <c r="L41" s="11" t="s">
        <v>113</v>
      </c>
      <c r="M41" s="39">
        <f>GETPIVOTDATA("N",$K$7,"RO","SGM")</f>
        <v>75</v>
      </c>
    </row>
    <row r="42" spans="1:13" x14ac:dyDescent="0.25">
      <c r="A42" s="159" t="s">
        <v>407</v>
      </c>
      <c r="B42" s="111" t="s">
        <v>41</v>
      </c>
      <c r="C42" s="111" t="s">
        <v>157</v>
      </c>
      <c r="D42" s="111">
        <v>2015</v>
      </c>
      <c r="E42" s="110">
        <v>19</v>
      </c>
      <c r="F42" s="111" t="s">
        <v>40</v>
      </c>
      <c r="G42" s="111" t="s">
        <v>318</v>
      </c>
      <c r="H42" s="110" t="s">
        <v>421</v>
      </c>
      <c r="L42" s="11" t="s">
        <v>74</v>
      </c>
      <c r="M42" s="39">
        <f>GETPIVOTDATA("N",$K$7,"RO","YFR")</f>
        <v>214</v>
      </c>
    </row>
    <row r="43" spans="1:13" x14ac:dyDescent="0.25">
      <c r="A43" s="146" t="s">
        <v>394</v>
      </c>
      <c r="B43" s="110" t="s">
        <v>398</v>
      </c>
      <c r="C43" s="110" t="s">
        <v>159</v>
      </c>
      <c r="D43" s="110">
        <v>2015</v>
      </c>
      <c r="E43" s="20">
        <v>23</v>
      </c>
      <c r="F43" s="110" t="s">
        <v>379</v>
      </c>
      <c r="G43" s="110" t="s">
        <v>318</v>
      </c>
      <c r="H43" s="110" t="s">
        <v>421</v>
      </c>
      <c r="L43" s="169" t="s">
        <v>117</v>
      </c>
      <c r="M43" s="171">
        <v>1640</v>
      </c>
    </row>
    <row r="44" spans="1:13" x14ac:dyDescent="0.25">
      <c r="A44" s="159" t="s">
        <v>413</v>
      </c>
      <c r="B44" s="110" t="s">
        <v>38</v>
      </c>
      <c r="C44" s="110" t="s">
        <v>157</v>
      </c>
      <c r="D44" s="110">
        <v>2015</v>
      </c>
      <c r="E44" s="20">
        <v>55</v>
      </c>
      <c r="F44" s="110" t="s">
        <v>40</v>
      </c>
      <c r="G44" s="110" t="s">
        <v>318</v>
      </c>
      <c r="H44" s="110" t="s">
        <v>421</v>
      </c>
    </row>
    <row r="45" spans="1:13" x14ac:dyDescent="0.25">
      <c r="A45" s="146" t="s">
        <v>369</v>
      </c>
      <c r="B45" s="110" t="s">
        <v>62</v>
      </c>
      <c r="C45" s="110" t="s">
        <v>158</v>
      </c>
      <c r="D45" s="110">
        <v>2016</v>
      </c>
      <c r="E45" s="20">
        <v>12</v>
      </c>
      <c r="F45" s="110" t="s">
        <v>380</v>
      </c>
      <c r="G45" s="110" t="s">
        <v>366</v>
      </c>
      <c r="H45" s="110" t="s">
        <v>421</v>
      </c>
    </row>
    <row r="46" spans="1:13" x14ac:dyDescent="0.25">
      <c r="A46" s="146" t="s">
        <v>367</v>
      </c>
      <c r="B46" s="110" t="s">
        <v>46</v>
      </c>
      <c r="C46" s="110" t="s">
        <v>157</v>
      </c>
      <c r="D46" s="110">
        <v>2016</v>
      </c>
      <c r="E46" s="20">
        <v>78</v>
      </c>
      <c r="F46" s="110" t="s">
        <v>379</v>
      </c>
      <c r="G46" s="110" t="s">
        <v>366</v>
      </c>
      <c r="H46" s="110" t="s">
        <v>421</v>
      </c>
    </row>
    <row r="47" spans="1:13" x14ac:dyDescent="0.25">
      <c r="A47" s="146" t="s">
        <v>400</v>
      </c>
      <c r="B47" s="110" t="s">
        <v>62</v>
      </c>
      <c r="C47" s="110" t="s">
        <v>158</v>
      </c>
      <c r="D47" s="110">
        <v>2016</v>
      </c>
      <c r="E47" s="20">
        <v>39</v>
      </c>
      <c r="F47" s="110" t="s">
        <v>48</v>
      </c>
      <c r="G47" s="110" t="s">
        <v>366</v>
      </c>
      <c r="H47" s="110" t="s">
        <v>421</v>
      </c>
    </row>
    <row r="48" spans="1:13" x14ac:dyDescent="0.25">
      <c r="A48" s="146" t="s">
        <v>399</v>
      </c>
      <c r="B48" s="110" t="s">
        <v>38</v>
      </c>
      <c r="C48" s="110" t="s">
        <v>157</v>
      </c>
      <c r="D48" s="110">
        <v>2016</v>
      </c>
      <c r="E48" s="20">
        <v>35</v>
      </c>
      <c r="F48" s="110" t="s">
        <v>412</v>
      </c>
      <c r="G48" s="110" t="s">
        <v>415</v>
      </c>
      <c r="H48" s="110" t="s">
        <v>421</v>
      </c>
    </row>
    <row r="49" spans="1:13" x14ac:dyDescent="0.25">
      <c r="A49" s="146"/>
      <c r="B49" s="110"/>
      <c r="C49" s="110"/>
      <c r="D49" s="110"/>
      <c r="E49" s="20"/>
      <c r="F49" s="110"/>
      <c r="G49" s="110"/>
      <c r="H49" s="110"/>
    </row>
    <row r="51" spans="1:13" ht="15.75" x14ac:dyDescent="0.25">
      <c r="E51" s="8">
        <f>SUBTOTAL(9,E2:E49)</f>
        <v>1640</v>
      </c>
    </row>
    <row r="55" spans="1:13" x14ac:dyDescent="0.25">
      <c r="L55" s="170" t="s">
        <v>16</v>
      </c>
      <c r="M55" s="170" t="s">
        <v>421</v>
      </c>
    </row>
    <row r="56" spans="1:13" x14ac:dyDescent="0.25">
      <c r="L56" s="11" t="s">
        <v>412</v>
      </c>
      <c r="M56" s="39">
        <f>GETPIVOTDATA("N",$K$7,"RO","AGA","Phase","Etudes")</f>
        <v>54</v>
      </c>
    </row>
    <row r="57" spans="1:13" x14ac:dyDescent="0.25">
      <c r="L57" s="11" t="s">
        <v>40</v>
      </c>
      <c r="M57" s="39">
        <f>GETPIVOTDATA("N",$K$7,"RO","FHO","Phase","Etudes")</f>
        <v>165</v>
      </c>
    </row>
    <row r="58" spans="1:13" x14ac:dyDescent="0.25">
      <c r="L58" s="11" t="s">
        <v>48</v>
      </c>
      <c r="M58" s="39">
        <f>GETPIVOTDATA("N",$K$7,"RO","FMA","Phase","Etudes")</f>
        <v>195</v>
      </c>
    </row>
    <row r="59" spans="1:13" x14ac:dyDescent="0.25">
      <c r="B59" s="10" t="s">
        <v>119</v>
      </c>
      <c r="L59" s="11" t="s">
        <v>380</v>
      </c>
      <c r="M59" s="39">
        <f>GETPIVOTDATA("N",$K$7,"RO","JMO","Phase","Etudes")</f>
        <v>186</v>
      </c>
    </row>
    <row r="60" spans="1:13" x14ac:dyDescent="0.25">
      <c r="B60" t="s">
        <v>421</v>
      </c>
      <c r="D60" t="s">
        <v>244</v>
      </c>
      <c r="F60" t="s">
        <v>423</v>
      </c>
      <c r="G60" t="s">
        <v>120</v>
      </c>
      <c r="L60" s="11" t="s">
        <v>379</v>
      </c>
      <c r="M60" s="39">
        <f>GETPIVOTDATA("N",$K$7,"RO","MFL","Phase","Etudes")</f>
        <v>163</v>
      </c>
    </row>
    <row r="61" spans="1:13" x14ac:dyDescent="0.25">
      <c r="A61" s="10" t="s">
        <v>116</v>
      </c>
      <c r="B61" t="s">
        <v>414</v>
      </c>
      <c r="C61" t="s">
        <v>118</v>
      </c>
      <c r="D61" t="s">
        <v>414</v>
      </c>
      <c r="E61" t="s">
        <v>118</v>
      </c>
      <c r="L61" s="11" t="s">
        <v>71</v>
      </c>
      <c r="M61" s="39">
        <f>GETPIVOTDATA("N",$K$7,"RO","SFE","Phase","Etudes")</f>
        <v>67</v>
      </c>
    </row>
    <row r="62" spans="1:13" x14ac:dyDescent="0.25">
      <c r="A62" s="11" t="s">
        <v>412</v>
      </c>
      <c r="B62" s="39">
        <v>2</v>
      </c>
      <c r="C62" s="39">
        <v>54</v>
      </c>
      <c r="D62" s="39">
        <v>2</v>
      </c>
      <c r="E62" s="39">
        <v>27</v>
      </c>
      <c r="F62" s="39">
        <v>4</v>
      </c>
      <c r="G62" s="39">
        <v>81</v>
      </c>
      <c r="L62" s="11" t="s">
        <v>113</v>
      </c>
      <c r="M62" s="39">
        <f>GETPIVOTDATA("N",$K$7,"RO","SGM","Phase","Etudes")</f>
        <v>0</v>
      </c>
    </row>
    <row r="63" spans="1:13" x14ac:dyDescent="0.25">
      <c r="A63" s="11" t="s">
        <v>40</v>
      </c>
      <c r="B63" s="39">
        <v>6</v>
      </c>
      <c r="C63" s="39">
        <v>165</v>
      </c>
      <c r="D63" s="39">
        <v>3</v>
      </c>
      <c r="E63" s="39">
        <v>68</v>
      </c>
      <c r="F63" s="39">
        <v>9</v>
      </c>
      <c r="G63" s="39">
        <v>233</v>
      </c>
      <c r="L63" s="11" t="s">
        <v>74</v>
      </c>
      <c r="M63" s="39">
        <f>GETPIVOTDATA("N",$K$7,"RO","YFR","Phase","Etudes")</f>
        <v>85</v>
      </c>
    </row>
    <row r="64" spans="1:13" x14ac:dyDescent="0.25">
      <c r="A64" s="11" t="s">
        <v>48</v>
      </c>
      <c r="B64" s="39">
        <v>4</v>
      </c>
      <c r="C64" s="39">
        <v>195</v>
      </c>
      <c r="D64" s="39">
        <v>3</v>
      </c>
      <c r="E64" s="39">
        <v>83</v>
      </c>
      <c r="F64" s="39">
        <v>7</v>
      </c>
      <c r="G64" s="39">
        <v>278</v>
      </c>
    </row>
    <row r="65" spans="1:13" x14ac:dyDescent="0.25">
      <c r="A65" s="11" t="s">
        <v>380</v>
      </c>
      <c r="B65" s="39">
        <v>6</v>
      </c>
      <c r="C65" s="39">
        <v>186</v>
      </c>
      <c r="D65" s="39"/>
      <c r="E65" s="39"/>
      <c r="F65" s="39">
        <v>6</v>
      </c>
      <c r="G65" s="39">
        <v>186</v>
      </c>
    </row>
    <row r="66" spans="1:13" x14ac:dyDescent="0.25">
      <c r="A66" s="11" t="s">
        <v>379</v>
      </c>
      <c r="B66" s="39">
        <v>4</v>
      </c>
      <c r="C66" s="39">
        <v>163</v>
      </c>
      <c r="D66" s="39">
        <v>2</v>
      </c>
      <c r="E66" s="39">
        <v>109</v>
      </c>
      <c r="F66" s="39">
        <v>6</v>
      </c>
      <c r="G66" s="39">
        <v>272</v>
      </c>
    </row>
    <row r="67" spans="1:13" x14ac:dyDescent="0.25">
      <c r="A67" s="11" t="s">
        <v>71</v>
      </c>
      <c r="B67" s="39">
        <v>2</v>
      </c>
      <c r="C67" s="39">
        <v>67</v>
      </c>
      <c r="D67" s="39">
        <v>4</v>
      </c>
      <c r="E67" s="39">
        <v>234</v>
      </c>
      <c r="F67" s="39">
        <v>6</v>
      </c>
      <c r="G67" s="39">
        <v>301</v>
      </c>
    </row>
    <row r="68" spans="1:13" x14ac:dyDescent="0.25">
      <c r="A68" s="11" t="s">
        <v>113</v>
      </c>
      <c r="B68" s="39"/>
      <c r="C68" s="39"/>
      <c r="D68" s="39">
        <v>1</v>
      </c>
      <c r="E68" s="39">
        <v>75</v>
      </c>
      <c r="F68" s="39">
        <v>1</v>
      </c>
      <c r="G68" s="39">
        <v>75</v>
      </c>
    </row>
    <row r="69" spans="1:13" x14ac:dyDescent="0.25">
      <c r="A69" s="11" t="s">
        <v>74</v>
      </c>
      <c r="B69" s="39">
        <v>3</v>
      </c>
      <c r="C69" s="39">
        <v>85</v>
      </c>
      <c r="D69" s="39">
        <v>5</v>
      </c>
      <c r="E69" s="39">
        <v>129</v>
      </c>
      <c r="F69" s="39">
        <v>8</v>
      </c>
      <c r="G69" s="39">
        <v>214</v>
      </c>
      <c r="L69" s="170" t="s">
        <v>16</v>
      </c>
      <c r="M69" s="170" t="s">
        <v>244</v>
      </c>
    </row>
    <row r="70" spans="1:13" x14ac:dyDescent="0.25">
      <c r="A70" s="11" t="s">
        <v>117</v>
      </c>
      <c r="B70" s="39">
        <v>27</v>
      </c>
      <c r="C70" s="39">
        <v>915</v>
      </c>
      <c r="D70" s="39">
        <v>20</v>
      </c>
      <c r="E70" s="39">
        <v>725</v>
      </c>
      <c r="F70" s="39">
        <v>47</v>
      </c>
      <c r="G70" s="39">
        <v>1640</v>
      </c>
      <c r="L70" s="11" t="s">
        <v>412</v>
      </c>
      <c r="M70" s="39">
        <f>GETPIVOTDATA("N",$K$7,"RO","AGA","Phase","Tvx")</f>
        <v>27</v>
      </c>
    </row>
    <row r="71" spans="1:13" x14ac:dyDescent="0.25">
      <c r="L71" s="11" t="s">
        <v>40</v>
      </c>
      <c r="M71" s="39">
        <f>GETPIVOTDATA("N",$K$7,"RO","FHO","Phase","Tvx")</f>
        <v>68</v>
      </c>
    </row>
    <row r="72" spans="1:13" x14ac:dyDescent="0.25">
      <c r="L72" s="11" t="s">
        <v>48</v>
      </c>
      <c r="M72" s="39">
        <f>GETPIVOTDATA("N",$K$7,"RO","FMA","Phase","Tvx")</f>
        <v>83</v>
      </c>
    </row>
    <row r="73" spans="1:13" x14ac:dyDescent="0.25">
      <c r="L73" s="11" t="s">
        <v>380</v>
      </c>
      <c r="M73" s="39">
        <f>GETPIVOTDATA("N",$K$7,"RO","JMO","Phase","Tvx")</f>
        <v>0</v>
      </c>
    </row>
    <row r="74" spans="1:13" x14ac:dyDescent="0.25">
      <c r="L74" s="11" t="s">
        <v>379</v>
      </c>
      <c r="M74" s="39">
        <f>GETPIVOTDATA("N",$K$7,"RO","MFL","Phase","Tvx")</f>
        <v>109</v>
      </c>
    </row>
    <row r="75" spans="1:13" x14ac:dyDescent="0.25">
      <c r="L75" s="11" t="s">
        <v>71</v>
      </c>
      <c r="M75" s="39">
        <f>GETPIVOTDATA("N",$K$7,"RO","SFE","Phase","Tvx")</f>
        <v>234</v>
      </c>
    </row>
    <row r="76" spans="1:13" x14ac:dyDescent="0.25">
      <c r="L76" s="11" t="s">
        <v>113</v>
      </c>
      <c r="M76" s="39">
        <f>GETPIVOTDATA("N",$K$7,"RO","SGM","Phase","Tvx")</f>
        <v>75</v>
      </c>
    </row>
    <row r="77" spans="1:13" x14ac:dyDescent="0.25">
      <c r="L77" s="11" t="s">
        <v>74</v>
      </c>
      <c r="M77" s="39">
        <f>GETPIVOTDATA("N",$K$7,"RO","YFR","Phase","Tvx")</f>
        <v>129</v>
      </c>
    </row>
    <row r="86" spans="12:20" ht="15.75" thickBot="1" x14ac:dyDescent="0.3"/>
    <row r="87" spans="12:20" s="17" customFormat="1" x14ac:dyDescent="0.25">
      <c r="L87" s="172"/>
      <c r="M87" s="675" t="s">
        <v>421</v>
      </c>
      <c r="N87" s="676"/>
      <c r="O87" s="677"/>
      <c r="P87" s="678" t="s">
        <v>244</v>
      </c>
      <c r="Q87" s="676"/>
      <c r="R87" s="676"/>
      <c r="S87" s="173"/>
      <c r="T87" s="177" t="s">
        <v>425</v>
      </c>
    </row>
    <row r="88" spans="12:20" s="17" customFormat="1" x14ac:dyDescent="0.25">
      <c r="L88" s="145"/>
      <c r="M88" s="175" t="s">
        <v>3</v>
      </c>
      <c r="N88" s="145" t="s">
        <v>424</v>
      </c>
      <c r="O88" s="176" t="s">
        <v>422</v>
      </c>
      <c r="P88" s="174" t="s">
        <v>3</v>
      </c>
      <c r="Q88" s="145" t="s">
        <v>424</v>
      </c>
      <c r="R88" s="145" t="s">
        <v>422</v>
      </c>
      <c r="S88" s="145" t="s">
        <v>3</v>
      </c>
      <c r="T88" s="178" t="s">
        <v>424</v>
      </c>
    </row>
    <row r="89" spans="12:20" x14ac:dyDescent="0.25">
      <c r="L89" s="11" t="s">
        <v>380</v>
      </c>
      <c r="M89" s="179">
        <v>6</v>
      </c>
      <c r="N89" s="180">
        <v>186</v>
      </c>
      <c r="O89" s="181">
        <f t="shared" ref="O89:O96" si="0">N89/T89</f>
        <v>1</v>
      </c>
      <c r="P89" s="182"/>
      <c r="Q89" s="180"/>
      <c r="R89" s="183">
        <f t="shared" ref="R89:R96" si="1">Q89/T89</f>
        <v>0</v>
      </c>
      <c r="S89" s="180">
        <v>6</v>
      </c>
      <c r="T89" s="184">
        <v>186</v>
      </c>
    </row>
    <row r="90" spans="12:20" x14ac:dyDescent="0.25">
      <c r="L90" s="11" t="s">
        <v>40</v>
      </c>
      <c r="M90" s="179">
        <v>6</v>
      </c>
      <c r="N90" s="180">
        <v>165</v>
      </c>
      <c r="O90" s="181">
        <f t="shared" si="0"/>
        <v>0.70815450643776823</v>
      </c>
      <c r="P90" s="182">
        <v>3</v>
      </c>
      <c r="Q90" s="180">
        <v>68</v>
      </c>
      <c r="R90" s="183">
        <f t="shared" si="1"/>
        <v>0.29184549356223177</v>
      </c>
      <c r="S90" s="180">
        <v>9</v>
      </c>
      <c r="T90" s="184">
        <v>233</v>
      </c>
    </row>
    <row r="91" spans="12:20" x14ac:dyDescent="0.25">
      <c r="L91" s="11" t="s">
        <v>48</v>
      </c>
      <c r="M91" s="179">
        <v>4</v>
      </c>
      <c r="N91" s="180">
        <v>195</v>
      </c>
      <c r="O91" s="181">
        <f t="shared" si="0"/>
        <v>0.70143884892086328</v>
      </c>
      <c r="P91" s="182">
        <v>3</v>
      </c>
      <c r="Q91" s="180">
        <v>83</v>
      </c>
      <c r="R91" s="183">
        <f t="shared" si="1"/>
        <v>0.29856115107913667</v>
      </c>
      <c r="S91" s="180">
        <v>7</v>
      </c>
      <c r="T91" s="184">
        <v>278</v>
      </c>
    </row>
    <row r="92" spans="12:20" x14ac:dyDescent="0.25">
      <c r="L92" s="11" t="s">
        <v>412</v>
      </c>
      <c r="M92" s="179">
        <v>2</v>
      </c>
      <c r="N92" s="180">
        <v>54</v>
      </c>
      <c r="O92" s="181">
        <f t="shared" si="0"/>
        <v>0.66666666666666663</v>
      </c>
      <c r="P92" s="182">
        <v>2</v>
      </c>
      <c r="Q92" s="180">
        <v>27</v>
      </c>
      <c r="R92" s="183">
        <f t="shared" si="1"/>
        <v>0.33333333333333331</v>
      </c>
      <c r="S92" s="180">
        <v>4</v>
      </c>
      <c r="T92" s="184">
        <v>81</v>
      </c>
    </row>
    <row r="93" spans="12:20" x14ac:dyDescent="0.25">
      <c r="L93" s="11" t="s">
        <v>379</v>
      </c>
      <c r="M93" s="179">
        <v>4</v>
      </c>
      <c r="N93" s="180">
        <v>163</v>
      </c>
      <c r="O93" s="181">
        <f t="shared" si="0"/>
        <v>0.59926470588235292</v>
      </c>
      <c r="P93" s="182">
        <v>2</v>
      </c>
      <c r="Q93" s="180">
        <v>109</v>
      </c>
      <c r="R93" s="183">
        <f t="shared" si="1"/>
        <v>0.40073529411764708</v>
      </c>
      <c r="S93" s="180">
        <v>6</v>
      </c>
      <c r="T93" s="184">
        <v>272</v>
      </c>
    </row>
    <row r="94" spans="12:20" x14ac:dyDescent="0.25">
      <c r="L94" s="11" t="s">
        <v>74</v>
      </c>
      <c r="M94" s="179">
        <v>3</v>
      </c>
      <c r="N94" s="180">
        <v>85</v>
      </c>
      <c r="O94" s="181">
        <f t="shared" si="0"/>
        <v>0.39719626168224298</v>
      </c>
      <c r="P94" s="182">
        <v>5</v>
      </c>
      <c r="Q94" s="180">
        <v>129</v>
      </c>
      <c r="R94" s="183">
        <f t="shared" si="1"/>
        <v>0.60280373831775702</v>
      </c>
      <c r="S94" s="180">
        <v>8</v>
      </c>
      <c r="T94" s="184">
        <v>214</v>
      </c>
    </row>
    <row r="95" spans="12:20" x14ac:dyDescent="0.25">
      <c r="L95" s="11" t="s">
        <v>71</v>
      </c>
      <c r="M95" s="179">
        <v>2</v>
      </c>
      <c r="N95" s="180">
        <v>67</v>
      </c>
      <c r="O95" s="181">
        <f t="shared" si="0"/>
        <v>0.22259136212624583</v>
      </c>
      <c r="P95" s="182">
        <v>4</v>
      </c>
      <c r="Q95" s="180">
        <v>234</v>
      </c>
      <c r="R95" s="183">
        <f t="shared" si="1"/>
        <v>0.77740863787375414</v>
      </c>
      <c r="S95" s="180">
        <v>6</v>
      </c>
      <c r="T95" s="184">
        <v>301</v>
      </c>
    </row>
    <row r="96" spans="12:20" x14ac:dyDescent="0.25">
      <c r="L96" s="11" t="s">
        <v>113</v>
      </c>
      <c r="M96" s="179"/>
      <c r="N96" s="180"/>
      <c r="O96" s="181">
        <f t="shared" si="0"/>
        <v>0</v>
      </c>
      <c r="P96" s="182">
        <v>1</v>
      </c>
      <c r="Q96" s="180">
        <v>75</v>
      </c>
      <c r="R96" s="183">
        <f t="shared" si="1"/>
        <v>1</v>
      </c>
      <c r="S96" s="180">
        <v>1</v>
      </c>
      <c r="T96" s="184">
        <v>75</v>
      </c>
    </row>
    <row r="97" spans="12:20" ht="15.75" thickBot="1" x14ac:dyDescent="0.3">
      <c r="L97" s="169" t="s">
        <v>117</v>
      </c>
      <c r="M97" s="185">
        <v>27</v>
      </c>
      <c r="N97" s="186">
        <v>915</v>
      </c>
      <c r="O97" s="187"/>
      <c r="P97" s="188">
        <v>20</v>
      </c>
      <c r="Q97" s="186">
        <v>725</v>
      </c>
      <c r="R97" s="186"/>
      <c r="S97" s="186">
        <v>47</v>
      </c>
      <c r="T97" s="189">
        <v>1640</v>
      </c>
    </row>
  </sheetData>
  <autoFilter ref="A1:H1">
    <sortState ref="A2:H48">
      <sortCondition ref="D1"/>
    </sortState>
  </autoFilter>
  <mergeCells count="2">
    <mergeCell ref="M87:O87"/>
    <mergeCell ref="P87:R87"/>
  </mergeCells>
  <dataValidations count="5">
    <dataValidation type="list" allowBlank="1" showInputMessage="1" showErrorMessage="1" sqref="B49:C49 B2:B22">
      <formula1>"Avirons,Entre-Deux,Etang-Salé,Petite-Ile,St Joseph,St Leu,St Louis,St Paul,St Philippe,St Pierre,Tampon,Trois Bassins"</formula1>
    </dataValidation>
    <dataValidation type="list" allowBlank="1" showInputMessage="1" showErrorMessage="1" sqref="F49:G49">
      <formula1>"FHO,FMA,JDC,JFO,LIM,SFE,YFR"</formula1>
    </dataValidation>
    <dataValidation type="list" allowBlank="1" showInputMessage="1" showErrorMessage="1" sqref="B23:B48">
      <formula1>"Avirons,Entre-Deux,Etang-Salé,La Possession,Petite-Ile,St Joseph,St Leu,St Louis,St Paul,St Philippe,St Pierre,Tampon,Trois Bassins"</formula1>
    </dataValidation>
    <dataValidation type="list" allowBlank="1" showInputMessage="1" showErrorMessage="1" sqref="F2:F48">
      <formula1>"AGA,BBL,FHO,FMA,JMO,MFL,SFE,YFR"</formula1>
    </dataValidation>
    <dataValidation type="list" allowBlank="1" showInputMessage="1" showErrorMessage="1" sqref="C2:C48">
      <formula1>"CA SUD,CIVIS,TCO"</formula1>
    </dataValidation>
  </dataValidations>
  <pageMargins left="0.7" right="0.7" top="0.75" bottom="0.75" header="0.3" footer="0.3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M64"/>
  <sheetViews>
    <sheetView zoomScale="70" zoomScaleNormal="70" workbookViewId="0">
      <selection activeCell="I7" sqref="I7"/>
    </sheetView>
  </sheetViews>
  <sheetFormatPr baseColWidth="10" defaultRowHeight="15" x14ac:dyDescent="0.25"/>
  <cols>
    <col min="1" max="1" width="35.7109375" customWidth="1"/>
    <col min="2" max="2" width="31.140625" customWidth="1"/>
    <col min="3" max="3" width="16.42578125" customWidth="1"/>
    <col min="4" max="4" width="16.42578125" bestFit="1" customWidth="1"/>
    <col min="5" max="5" width="16" bestFit="1" customWidth="1"/>
    <col min="6" max="6" width="16.42578125" bestFit="1" customWidth="1"/>
    <col min="7" max="7" width="16" bestFit="1" customWidth="1"/>
    <col min="8" max="8" width="16" customWidth="1"/>
    <col min="9" max="9" width="16.28515625" bestFit="1" customWidth="1"/>
    <col min="10" max="11" width="16" bestFit="1" customWidth="1"/>
    <col min="12" max="12" width="14.42578125" bestFit="1" customWidth="1"/>
    <col min="13" max="13" width="17.85546875" bestFit="1" customWidth="1"/>
  </cols>
  <sheetData>
    <row r="3" spans="1:13" x14ac:dyDescent="0.25">
      <c r="B3" s="10" t="s">
        <v>119</v>
      </c>
    </row>
    <row r="4" spans="1:13" x14ac:dyDescent="0.25">
      <c r="A4" s="10" t="s">
        <v>116</v>
      </c>
      <c r="B4">
        <v>2011</v>
      </c>
      <c r="C4">
        <v>2012</v>
      </c>
      <c r="D4">
        <v>2013</v>
      </c>
      <c r="E4">
        <v>2010</v>
      </c>
      <c r="F4">
        <v>2014</v>
      </c>
      <c r="G4">
        <v>2015</v>
      </c>
      <c r="H4">
        <v>2016</v>
      </c>
      <c r="I4">
        <v>2017</v>
      </c>
      <c r="J4">
        <v>2018</v>
      </c>
      <c r="K4">
        <v>2019</v>
      </c>
      <c r="L4" t="s">
        <v>991</v>
      </c>
      <c r="M4" t="s">
        <v>117</v>
      </c>
    </row>
    <row r="5" spans="1:13" x14ac:dyDescent="0.25">
      <c r="A5" s="11" t="s">
        <v>118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</row>
    <row r="6" spans="1:13" x14ac:dyDescent="0.25">
      <c r="A6" s="40" t="s">
        <v>157</v>
      </c>
      <c r="B6" s="15">
        <v>77</v>
      </c>
      <c r="C6" s="15">
        <v>323</v>
      </c>
      <c r="D6" s="15">
        <v>188</v>
      </c>
      <c r="E6" s="15"/>
      <c r="F6" s="15">
        <v>118</v>
      </c>
      <c r="G6" s="15">
        <v>114</v>
      </c>
      <c r="H6" s="15">
        <v>214</v>
      </c>
      <c r="I6" s="15">
        <v>367</v>
      </c>
      <c r="J6" s="15">
        <v>564</v>
      </c>
      <c r="K6" s="15">
        <v>358</v>
      </c>
      <c r="L6" s="15">
        <v>31</v>
      </c>
      <c r="M6" s="15">
        <v>2354</v>
      </c>
    </row>
    <row r="7" spans="1:13" x14ac:dyDescent="0.25">
      <c r="A7" s="40" t="s">
        <v>159</v>
      </c>
      <c r="B7" s="15">
        <v>23</v>
      </c>
      <c r="C7" s="15">
        <v>21</v>
      </c>
      <c r="D7" s="15"/>
      <c r="E7" s="15">
        <v>57</v>
      </c>
      <c r="F7" s="15">
        <v>55</v>
      </c>
      <c r="G7" s="15">
        <v>76</v>
      </c>
      <c r="H7" s="15">
        <v>81</v>
      </c>
      <c r="I7" s="15">
        <v>370</v>
      </c>
      <c r="J7" s="15">
        <v>88</v>
      </c>
      <c r="K7" s="15"/>
      <c r="L7" s="15"/>
      <c r="M7" s="15">
        <v>771</v>
      </c>
    </row>
    <row r="8" spans="1:13" x14ac:dyDescent="0.25">
      <c r="A8" s="40" t="s">
        <v>158</v>
      </c>
      <c r="B8" s="15">
        <v>34</v>
      </c>
      <c r="C8" s="15">
        <v>56</v>
      </c>
      <c r="D8" s="15">
        <v>215</v>
      </c>
      <c r="E8" s="15"/>
      <c r="F8" s="15"/>
      <c r="G8" s="15">
        <v>18</v>
      </c>
      <c r="H8" s="15">
        <v>14</v>
      </c>
      <c r="I8" s="15">
        <v>198</v>
      </c>
      <c r="J8" s="15">
        <v>223</v>
      </c>
      <c r="K8" s="15"/>
      <c r="L8" s="15"/>
      <c r="M8" s="15">
        <v>758</v>
      </c>
    </row>
    <row r="9" spans="1:13" x14ac:dyDescent="0.25">
      <c r="A9" s="11" t="s">
        <v>127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</row>
    <row r="10" spans="1:13" x14ac:dyDescent="0.25">
      <c r="A10" s="40" t="s">
        <v>157</v>
      </c>
      <c r="B10" s="46">
        <v>755000</v>
      </c>
      <c r="C10" s="46">
        <v>2849933</v>
      </c>
      <c r="D10" s="46">
        <v>2292833</v>
      </c>
      <c r="E10" s="46"/>
      <c r="F10" s="46">
        <v>2760280</v>
      </c>
      <c r="G10" s="46">
        <v>2120000</v>
      </c>
      <c r="H10" s="46">
        <v>3385000</v>
      </c>
      <c r="I10" s="46">
        <v>3860190</v>
      </c>
      <c r="J10" s="46">
        <v>2350000</v>
      </c>
      <c r="K10" s="46">
        <v>1000000</v>
      </c>
      <c r="L10" s="46">
        <v>274678.27265966812</v>
      </c>
      <c r="M10" s="46">
        <v>21647914.272659667</v>
      </c>
    </row>
    <row r="11" spans="1:13" x14ac:dyDescent="0.25">
      <c r="A11" s="40" t="s">
        <v>159</v>
      </c>
      <c r="B11" s="46">
        <v>239587</v>
      </c>
      <c r="C11" s="46">
        <v>337593</v>
      </c>
      <c r="D11" s="46"/>
      <c r="E11" s="46">
        <v>2627133</v>
      </c>
      <c r="F11" s="46">
        <v>1005500</v>
      </c>
      <c r="G11" s="46">
        <v>1032000</v>
      </c>
      <c r="H11" s="46">
        <v>1435707</v>
      </c>
      <c r="I11" s="46">
        <v>4829260</v>
      </c>
      <c r="J11" s="46">
        <v>3340494</v>
      </c>
      <c r="K11" s="46"/>
      <c r="L11" s="46"/>
      <c r="M11" s="46">
        <v>14847274</v>
      </c>
    </row>
    <row r="12" spans="1:13" x14ac:dyDescent="0.25">
      <c r="A12" s="40" t="s">
        <v>158</v>
      </c>
      <c r="B12" s="46">
        <v>1160925</v>
      </c>
      <c r="C12" s="46">
        <v>1217000</v>
      </c>
      <c r="D12" s="46">
        <v>3040002</v>
      </c>
      <c r="E12" s="46"/>
      <c r="F12" s="46"/>
      <c r="G12" s="46">
        <v>360000</v>
      </c>
      <c r="H12" s="46">
        <v>280000</v>
      </c>
      <c r="I12" s="46">
        <v>3322263</v>
      </c>
      <c r="J12" s="46">
        <v>4211000</v>
      </c>
      <c r="K12" s="46"/>
      <c r="L12" s="46"/>
      <c r="M12" s="46">
        <v>13591190</v>
      </c>
    </row>
    <row r="13" spans="1:13" x14ac:dyDescent="0.25">
      <c r="A13" s="11" t="s">
        <v>120</v>
      </c>
      <c r="B13" s="41">
        <v>134</v>
      </c>
      <c r="C13" s="41">
        <v>400</v>
      </c>
      <c r="D13" s="41">
        <v>403</v>
      </c>
      <c r="E13" s="41">
        <v>57</v>
      </c>
      <c r="F13" s="41">
        <v>173</v>
      </c>
      <c r="G13" s="41">
        <v>208</v>
      </c>
      <c r="H13" s="41">
        <v>309</v>
      </c>
      <c r="I13" s="41">
        <v>935</v>
      </c>
      <c r="J13" s="41">
        <v>875</v>
      </c>
      <c r="K13" s="41">
        <v>358</v>
      </c>
      <c r="L13" s="41">
        <v>31</v>
      </c>
      <c r="M13" s="41">
        <v>3883</v>
      </c>
    </row>
    <row r="14" spans="1:13" x14ac:dyDescent="0.25">
      <c r="A14" s="11" t="s">
        <v>128</v>
      </c>
      <c r="B14" s="42">
        <v>2155512</v>
      </c>
      <c r="C14" s="42">
        <v>4404526</v>
      </c>
      <c r="D14" s="42">
        <v>5332835</v>
      </c>
      <c r="E14" s="42">
        <v>2627133</v>
      </c>
      <c r="F14" s="42">
        <v>3765780</v>
      </c>
      <c r="G14" s="42">
        <v>3512000</v>
      </c>
      <c r="H14" s="42">
        <v>5100707</v>
      </c>
      <c r="I14" s="42">
        <v>12011713</v>
      </c>
      <c r="J14" s="42">
        <v>9901494</v>
      </c>
      <c r="K14" s="42">
        <v>1000000</v>
      </c>
      <c r="L14" s="42">
        <v>274678.27265966812</v>
      </c>
      <c r="M14" s="42">
        <v>50086378.272659667</v>
      </c>
    </row>
    <row r="16" spans="1:13" x14ac:dyDescent="0.25">
      <c r="C16" t="s">
        <v>284</v>
      </c>
    </row>
    <row r="17" spans="2:11" x14ac:dyDescent="0.25">
      <c r="C17" s="63">
        <v>2011</v>
      </c>
      <c r="D17" s="63">
        <v>2012</v>
      </c>
      <c r="E17" s="63">
        <v>2013</v>
      </c>
      <c r="F17" s="63">
        <v>2014</v>
      </c>
      <c r="G17" s="63">
        <v>2015</v>
      </c>
      <c r="H17" s="63">
        <v>2016</v>
      </c>
      <c r="I17" s="63">
        <v>2017</v>
      </c>
      <c r="J17" s="63">
        <v>2018</v>
      </c>
      <c r="K17" s="63">
        <v>2019</v>
      </c>
    </row>
    <row r="18" spans="2:11" x14ac:dyDescent="0.25">
      <c r="B18" s="40" t="s">
        <v>157</v>
      </c>
      <c r="C18" s="17">
        <f>GETPIVOTDATA("Somme de N",$A$3,"BASSIN","CA SUD","Prog",2011)</f>
        <v>77</v>
      </c>
      <c r="D18" s="17">
        <f>GETPIVOTDATA("Somme de N",$A$3,"BASSIN","CA SUD","Prog",2012)</f>
        <v>323</v>
      </c>
      <c r="E18" s="17">
        <f>GETPIVOTDATA("Somme de N",$A$3,"BASSIN","CA SUD","Prog",2013)</f>
        <v>188</v>
      </c>
      <c r="F18">
        <f>GETPIVOTDATA("Somme de N",$A$3,"BASSIN","CA SUD","Prog",2014)</f>
        <v>118</v>
      </c>
      <c r="G18">
        <f>GETPIVOTDATA("Somme de N",$A$3,"BASSIN","CA SUD","Prog",2015)</f>
        <v>114</v>
      </c>
      <c r="H18">
        <f>GETPIVOTDATA("Somme de N",$A$3,"BASSIN","CA SUD","Prog",2016)</f>
        <v>214</v>
      </c>
      <c r="I18">
        <f>GETPIVOTDATA("Somme de N",$A$3,"BASSIN","CA SUD","Prog",2017)</f>
        <v>367</v>
      </c>
      <c r="J18">
        <f>GETPIVOTDATA("Somme de N",$A$3,"BASSIN","CA SUD","Prog",2018)</f>
        <v>564</v>
      </c>
      <c r="K18">
        <f>GETPIVOTDATA("Somme de N",$A$3,"BASSIN","CA SUD","Prog",2019)</f>
        <v>358</v>
      </c>
    </row>
    <row r="19" spans="2:11" x14ac:dyDescent="0.25">
      <c r="B19" s="40" t="s">
        <v>159</v>
      </c>
      <c r="C19" s="17">
        <f>GETPIVOTDATA("Somme de N",$A$3,"BASSIN","CIVIS","Prog",2011)</f>
        <v>23</v>
      </c>
      <c r="D19" s="17">
        <f>GETPIVOTDATA("Somme de N",$A$3,"BASSIN","CIVIS","Prog",2012)</f>
        <v>21</v>
      </c>
      <c r="E19" s="17">
        <f>GETPIVOTDATA("Somme de N",$A$3,"BASSIN","CIVIS","Prog",2013)</f>
        <v>0</v>
      </c>
      <c r="F19">
        <f>GETPIVOTDATA("Somme de N",$A$3,"BASSIN","CIVIS","Prog",2014)</f>
        <v>55</v>
      </c>
      <c r="G19">
        <f>GETPIVOTDATA("Somme de N",$A$3,"BASSIN","CIVIS","Prog",2015)</f>
        <v>76</v>
      </c>
      <c r="H19">
        <f>GETPIVOTDATA("Somme de N",$A$3,"BASSIN","CIVIS","Prog",2016)</f>
        <v>81</v>
      </c>
      <c r="I19">
        <f>GETPIVOTDATA("Somme de N",$A$3,"BASSIN","CIVIS","Prog",2017)</f>
        <v>370</v>
      </c>
      <c r="J19">
        <f>GETPIVOTDATA("Somme de N",$A$3,"BASSIN","CIVIS","Prog",2018)</f>
        <v>88</v>
      </c>
      <c r="K19">
        <f>GETPIVOTDATA("Somme de N",$A$3,"BASSIN","CIVIS","Prog",2019)</f>
        <v>0</v>
      </c>
    </row>
    <row r="20" spans="2:11" x14ac:dyDescent="0.25">
      <c r="B20" s="40" t="s">
        <v>158</v>
      </c>
      <c r="C20" s="17">
        <f>GETPIVOTDATA("Somme de N",$A$3,"BASSIN","TCO","Prog",2011)</f>
        <v>34</v>
      </c>
      <c r="D20" s="17">
        <f>GETPIVOTDATA("Somme de N",$A$3,"BASSIN","TCO","Prog",2012)</f>
        <v>56</v>
      </c>
      <c r="E20" s="17">
        <f>GETPIVOTDATA("Somme de N",$A$3,"BASSIN","TCO","Prog",2013)</f>
        <v>215</v>
      </c>
      <c r="F20">
        <f>GETPIVOTDATA("Somme de N",$A$3,"BASSIN","TCO","Prog",2014)</f>
        <v>0</v>
      </c>
      <c r="G20">
        <f>GETPIVOTDATA("Somme de N",$A$3,"BASSIN","TCO","Prog",2015)</f>
        <v>18</v>
      </c>
      <c r="H20">
        <f>GETPIVOTDATA("Somme de N",$A$3,"BASSIN","TCO","Prog",2016)</f>
        <v>14</v>
      </c>
      <c r="I20">
        <f>GETPIVOTDATA("Somme de N",$A$3,"BASSIN","TCO","Prog",2017)</f>
        <v>198</v>
      </c>
      <c r="J20">
        <f>GETPIVOTDATA("Somme de N",$A$3,"BASSIN","TCO","Prog",2018)</f>
        <v>223</v>
      </c>
      <c r="K20">
        <f>GETPIVOTDATA("Somme de N",$A$3,"BASSIN","TCO","Prog",2019)</f>
        <v>0</v>
      </c>
    </row>
    <row r="21" spans="2:11" x14ac:dyDescent="0.25">
      <c r="C21" s="17">
        <f>SUM(C18:C20)</f>
        <v>134</v>
      </c>
      <c r="D21" s="17">
        <f>SUM(D18:D20)</f>
        <v>400</v>
      </c>
      <c r="E21" s="17">
        <f>SUM(E18:E20)</f>
        <v>403</v>
      </c>
      <c r="F21" s="17">
        <f>SUM(F18:F20)</f>
        <v>173</v>
      </c>
      <c r="G21" s="17">
        <f>SUM(G18:G20)</f>
        <v>208</v>
      </c>
      <c r="H21" s="17">
        <f t="shared" ref="H21:K21" si="0">SUM(H18:H20)</f>
        <v>309</v>
      </c>
      <c r="I21" s="17">
        <f t="shared" si="0"/>
        <v>935</v>
      </c>
      <c r="J21" s="17">
        <f t="shared" si="0"/>
        <v>875</v>
      </c>
      <c r="K21" s="17">
        <f t="shared" si="0"/>
        <v>358</v>
      </c>
    </row>
    <row r="24" spans="2:11" x14ac:dyDescent="0.25">
      <c r="C24" t="s">
        <v>1059</v>
      </c>
    </row>
    <row r="25" spans="2:11" x14ac:dyDescent="0.25">
      <c r="C25" s="88" t="s">
        <v>163</v>
      </c>
      <c r="D25" s="88" t="s">
        <v>25</v>
      </c>
      <c r="E25" s="88" t="s">
        <v>26</v>
      </c>
    </row>
    <row r="26" spans="2:11" x14ac:dyDescent="0.25">
      <c r="B26" s="90" t="s">
        <v>157</v>
      </c>
      <c r="C26" s="88">
        <f>D26+E26</f>
        <v>206</v>
      </c>
      <c r="D26" s="89">
        <f>GETPIVOTDATA("Somme de LLS",$A$34,"BASSIN","CA SUD","Prog",2017)</f>
        <v>0</v>
      </c>
      <c r="E26" s="89">
        <f>GETPIVOTDATA("Somme de LLTS",$A$34,"BASSIN","CA SUD","Prog",2017)</f>
        <v>206</v>
      </c>
      <c r="F26" s="87">
        <f>C26/$C$29</f>
        <v>0.2772543741588156</v>
      </c>
    </row>
    <row r="27" spans="2:11" x14ac:dyDescent="0.25">
      <c r="B27" s="90" t="s">
        <v>159</v>
      </c>
      <c r="C27" s="88">
        <f>D27+E27</f>
        <v>339</v>
      </c>
      <c r="D27" s="89">
        <f>GETPIVOTDATA("Somme de LLS",$A$34,"BASSIN","CIVIS","Prog",2017)</f>
        <v>29</v>
      </c>
      <c r="E27" s="89">
        <f>GETPIVOTDATA("Somme de LLTS",$A$34,"BASSIN","CIVIS","Prog",2017)</f>
        <v>310</v>
      </c>
      <c r="F27" s="87">
        <f>C27/$C$29</f>
        <v>0.45625841184387617</v>
      </c>
    </row>
    <row r="28" spans="2:11" x14ac:dyDescent="0.25">
      <c r="B28" s="90" t="s">
        <v>158</v>
      </c>
      <c r="C28" s="88">
        <f>D28+E28</f>
        <v>198</v>
      </c>
      <c r="D28" s="89">
        <f>GETPIVOTDATA("Somme de LLS",$A$34,"BASSIN","TCO","Prog",2017)</f>
        <v>55</v>
      </c>
      <c r="E28" s="89">
        <f>GETPIVOTDATA("Somme de LLTS",$A$34,"BASSIN","TCO","Prog",2017)</f>
        <v>143</v>
      </c>
      <c r="F28" s="87">
        <f>C28/$C$29</f>
        <v>0.26648721399730824</v>
      </c>
    </row>
    <row r="29" spans="2:11" x14ac:dyDescent="0.25">
      <c r="C29" s="88">
        <f>SUM(C26:C28)</f>
        <v>743</v>
      </c>
      <c r="D29" s="88">
        <f>SUM(D26:D28)</f>
        <v>84</v>
      </c>
      <c r="E29" s="88">
        <f>SUM(E26:E28)</f>
        <v>659</v>
      </c>
    </row>
    <row r="30" spans="2:11" x14ac:dyDescent="0.25">
      <c r="C30" s="2"/>
      <c r="D30" s="86">
        <f>D29/$C$29</f>
        <v>0.11305518169582772</v>
      </c>
      <c r="E30" s="86">
        <f>E29/$C$29</f>
        <v>0.88694481830417227</v>
      </c>
    </row>
    <row r="34" spans="1:3" x14ac:dyDescent="0.25">
      <c r="A34" s="10" t="s">
        <v>116</v>
      </c>
      <c r="B34" t="s">
        <v>285</v>
      </c>
      <c r="C34" t="s">
        <v>286</v>
      </c>
    </row>
    <row r="35" spans="1:3" x14ac:dyDescent="0.25">
      <c r="A35" s="11" t="s">
        <v>157</v>
      </c>
      <c r="B35" s="39">
        <v>363</v>
      </c>
      <c r="C35" s="39">
        <v>1372</v>
      </c>
    </row>
    <row r="36" spans="1:3" x14ac:dyDescent="0.25">
      <c r="A36" s="40">
        <v>2011</v>
      </c>
      <c r="B36" s="39">
        <v>71</v>
      </c>
      <c r="C36" s="39">
        <v>6</v>
      </c>
    </row>
    <row r="37" spans="1:3" x14ac:dyDescent="0.25">
      <c r="A37" s="40">
        <v>2012</v>
      </c>
      <c r="B37" s="39">
        <v>113</v>
      </c>
      <c r="C37" s="39">
        <v>210</v>
      </c>
    </row>
    <row r="38" spans="1:3" x14ac:dyDescent="0.25">
      <c r="A38" s="40">
        <v>2013</v>
      </c>
      <c r="B38" s="39">
        <v>98</v>
      </c>
      <c r="C38" s="39">
        <v>90</v>
      </c>
    </row>
    <row r="39" spans="1:3" x14ac:dyDescent="0.25">
      <c r="A39" s="40">
        <v>2014</v>
      </c>
      <c r="B39" s="39"/>
      <c r="C39" s="39">
        <v>118</v>
      </c>
    </row>
    <row r="40" spans="1:3" x14ac:dyDescent="0.25">
      <c r="A40" s="40">
        <v>2015</v>
      </c>
      <c r="B40" s="39">
        <v>20</v>
      </c>
      <c r="C40" s="39">
        <v>94</v>
      </c>
    </row>
    <row r="41" spans="1:3" x14ac:dyDescent="0.25">
      <c r="A41" s="40">
        <v>2016</v>
      </c>
      <c r="B41" s="39">
        <v>30</v>
      </c>
      <c r="C41" s="39">
        <v>184</v>
      </c>
    </row>
    <row r="42" spans="1:3" x14ac:dyDescent="0.25">
      <c r="A42" s="40">
        <v>2017</v>
      </c>
      <c r="B42" s="39"/>
      <c r="C42" s="39">
        <v>206</v>
      </c>
    </row>
    <row r="43" spans="1:3" x14ac:dyDescent="0.25">
      <c r="A43" s="40">
        <v>2018</v>
      </c>
      <c r="B43" s="39"/>
      <c r="C43" s="39">
        <v>349</v>
      </c>
    </row>
    <row r="44" spans="1:3" x14ac:dyDescent="0.25">
      <c r="A44" s="40">
        <v>2019</v>
      </c>
      <c r="B44" s="39"/>
      <c r="C44" s="39">
        <v>115</v>
      </c>
    </row>
    <row r="45" spans="1:3" x14ac:dyDescent="0.25">
      <c r="A45" s="40" t="s">
        <v>991</v>
      </c>
      <c r="B45" s="39">
        <v>31</v>
      </c>
      <c r="C45" s="39"/>
    </row>
    <row r="46" spans="1:3" x14ac:dyDescent="0.25">
      <c r="A46" s="11" t="s">
        <v>159</v>
      </c>
      <c r="B46" s="39">
        <v>137</v>
      </c>
      <c r="C46" s="39">
        <v>603</v>
      </c>
    </row>
    <row r="47" spans="1:3" x14ac:dyDescent="0.25">
      <c r="A47" s="40">
        <v>2010</v>
      </c>
      <c r="B47" s="39"/>
      <c r="C47" s="39">
        <v>57</v>
      </c>
    </row>
    <row r="48" spans="1:3" x14ac:dyDescent="0.25">
      <c r="A48" s="40">
        <v>2011</v>
      </c>
      <c r="B48" s="39">
        <v>23</v>
      </c>
      <c r="C48" s="39"/>
    </row>
    <row r="49" spans="1:3" x14ac:dyDescent="0.25">
      <c r="A49" s="40">
        <v>2012</v>
      </c>
      <c r="B49" s="39"/>
      <c r="C49" s="39">
        <v>21</v>
      </c>
    </row>
    <row r="50" spans="1:3" x14ac:dyDescent="0.25">
      <c r="A50" s="40">
        <v>2014</v>
      </c>
      <c r="B50" s="39">
        <v>9</v>
      </c>
      <c r="C50" s="39">
        <v>46</v>
      </c>
    </row>
    <row r="51" spans="1:3" x14ac:dyDescent="0.25">
      <c r="A51" s="40">
        <v>2015</v>
      </c>
      <c r="B51" s="39">
        <v>46</v>
      </c>
      <c r="C51" s="39">
        <v>30</v>
      </c>
    </row>
    <row r="52" spans="1:3" x14ac:dyDescent="0.25">
      <c r="A52" s="40">
        <v>2016</v>
      </c>
      <c r="B52" s="39">
        <v>30</v>
      </c>
      <c r="C52" s="39">
        <v>51</v>
      </c>
    </row>
    <row r="53" spans="1:3" x14ac:dyDescent="0.25">
      <c r="A53" s="40">
        <v>2017</v>
      </c>
      <c r="B53" s="39">
        <v>29</v>
      </c>
      <c r="C53" s="39">
        <v>310</v>
      </c>
    </row>
    <row r="54" spans="1:3" x14ac:dyDescent="0.25">
      <c r="A54" s="40">
        <v>2018</v>
      </c>
      <c r="B54" s="39"/>
      <c r="C54" s="39">
        <v>88</v>
      </c>
    </row>
    <row r="55" spans="1:3" x14ac:dyDescent="0.25">
      <c r="A55" s="40" t="s">
        <v>991</v>
      </c>
      <c r="B55" s="39"/>
      <c r="C55" s="39"/>
    </row>
    <row r="56" spans="1:3" x14ac:dyDescent="0.25">
      <c r="A56" s="11" t="s">
        <v>158</v>
      </c>
      <c r="B56" s="39">
        <v>145</v>
      </c>
      <c r="C56" s="39">
        <v>661</v>
      </c>
    </row>
    <row r="57" spans="1:3" x14ac:dyDescent="0.25">
      <c r="A57" s="40">
        <v>2011</v>
      </c>
      <c r="B57" s="39">
        <v>4</v>
      </c>
      <c r="C57" s="39">
        <v>30</v>
      </c>
    </row>
    <row r="58" spans="1:3" x14ac:dyDescent="0.25">
      <c r="A58" s="40">
        <v>2012</v>
      </c>
      <c r="B58" s="39"/>
      <c r="C58" s="39">
        <v>56</v>
      </c>
    </row>
    <row r="59" spans="1:3" x14ac:dyDescent="0.25">
      <c r="A59" s="40">
        <v>2013</v>
      </c>
      <c r="B59" s="39">
        <v>64</v>
      </c>
      <c r="C59" s="39">
        <v>151</v>
      </c>
    </row>
    <row r="60" spans="1:3" x14ac:dyDescent="0.25">
      <c r="A60" s="40">
        <v>2015</v>
      </c>
      <c r="B60" s="39"/>
      <c r="C60" s="39">
        <v>18</v>
      </c>
    </row>
    <row r="61" spans="1:3" x14ac:dyDescent="0.25">
      <c r="A61" s="40">
        <v>2016</v>
      </c>
      <c r="B61" s="39"/>
      <c r="C61" s="39">
        <v>14</v>
      </c>
    </row>
    <row r="62" spans="1:3" x14ac:dyDescent="0.25">
      <c r="A62" s="40">
        <v>2017</v>
      </c>
      <c r="B62" s="39">
        <v>55</v>
      </c>
      <c r="C62" s="39">
        <v>143</v>
      </c>
    </row>
    <row r="63" spans="1:3" x14ac:dyDescent="0.25">
      <c r="A63" s="40">
        <v>2018</v>
      </c>
      <c r="B63" s="39">
        <v>22</v>
      </c>
      <c r="C63" s="39">
        <v>249</v>
      </c>
    </row>
    <row r="64" spans="1:3" x14ac:dyDescent="0.25">
      <c r="A64" s="11" t="s">
        <v>117</v>
      </c>
      <c r="B64" s="39">
        <v>645</v>
      </c>
      <c r="C64" s="39">
        <v>2636</v>
      </c>
    </row>
  </sheetData>
  <pageMargins left="0.7" right="0.7" top="0.75" bottom="0.75" header="0.3" footer="0.3"/>
  <pageSetup paperSize="9" orientation="landscape" r:id="rId3"/>
  <drawing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R36"/>
  <sheetViews>
    <sheetView topLeftCell="A16" zoomScale="70" zoomScaleNormal="70" workbookViewId="0">
      <selection activeCell="N12" sqref="N12"/>
    </sheetView>
  </sheetViews>
  <sheetFormatPr baseColWidth="10" defaultRowHeight="15" x14ac:dyDescent="0.25"/>
  <cols>
    <col min="1" max="1" width="30.5703125" customWidth="1"/>
    <col min="2" max="2" width="23" style="17" customWidth="1"/>
    <col min="3" max="3" width="13.140625" style="17" customWidth="1"/>
    <col min="4" max="5" width="14" style="17" customWidth="1"/>
    <col min="6" max="6" width="14" customWidth="1"/>
    <col min="7" max="8" width="13.5703125" customWidth="1"/>
    <col min="9" max="9" width="13.85546875" customWidth="1"/>
    <col min="10" max="11" width="13.5703125" customWidth="1"/>
    <col min="12" max="12" width="12" customWidth="1"/>
    <col min="13" max="13" width="16.42578125" customWidth="1"/>
    <col min="14" max="14" width="8.85546875" customWidth="1"/>
    <col min="15" max="15" width="11.85546875" customWidth="1"/>
    <col min="16" max="16" width="12.42578125" customWidth="1"/>
    <col min="17" max="17" width="15.42578125" customWidth="1"/>
    <col min="18" max="18" width="10" customWidth="1"/>
    <col min="19" max="19" width="8" customWidth="1"/>
    <col min="20" max="20" width="13" customWidth="1"/>
    <col min="21" max="21" width="14" customWidth="1"/>
    <col min="22" max="22" width="17.140625" customWidth="1"/>
    <col min="23" max="23" width="12.42578125" customWidth="1"/>
    <col min="24" max="24" width="27.85546875" customWidth="1"/>
    <col min="25" max="26" width="7" customWidth="1"/>
    <col min="27" max="27" width="18.85546875" customWidth="1"/>
    <col min="28" max="28" width="28.42578125" customWidth="1"/>
    <col min="29" max="30" width="7" customWidth="1"/>
    <col min="31" max="31" width="22.42578125" customWidth="1"/>
    <col min="32" max="32" width="32.42578125" customWidth="1"/>
    <col min="33" max="36" width="11.42578125" customWidth="1"/>
    <col min="37" max="37" width="20" bestFit="1" customWidth="1"/>
    <col min="38" max="38" width="29.5703125" bestFit="1" customWidth="1"/>
    <col min="41" max="41" width="24.140625" bestFit="1" customWidth="1"/>
    <col min="42" max="42" width="33.85546875" bestFit="1" customWidth="1"/>
    <col min="43" max="43" width="10.42578125" customWidth="1"/>
  </cols>
  <sheetData>
    <row r="1" spans="1:44" x14ac:dyDescent="0.25">
      <c r="B1"/>
    </row>
    <row r="3" spans="1:44" s="13" customFormat="1" ht="30" x14ac:dyDescent="0.25">
      <c r="B3" s="14" t="s">
        <v>119</v>
      </c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</row>
    <row r="4" spans="1:44" s="13" customFormat="1" x14ac:dyDescent="0.25">
      <c r="A4" s="14" t="s">
        <v>116</v>
      </c>
      <c r="B4">
        <v>2010</v>
      </c>
      <c r="C4">
        <v>2011</v>
      </c>
      <c r="D4">
        <v>2012</v>
      </c>
      <c r="E4">
        <v>2013</v>
      </c>
      <c r="F4">
        <v>2014</v>
      </c>
      <c r="G4">
        <v>2015</v>
      </c>
      <c r="H4">
        <v>2016</v>
      </c>
      <c r="I4">
        <v>2017</v>
      </c>
      <c r="J4">
        <v>2018</v>
      </c>
      <c r="K4">
        <v>2019</v>
      </c>
      <c r="L4" t="s">
        <v>991</v>
      </c>
      <c r="M4" s="17" t="s">
        <v>117</v>
      </c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</row>
    <row r="5" spans="1:44" s="13" customFormat="1" x14ac:dyDescent="0.25">
      <c r="A5" s="11" t="s">
        <v>118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</row>
    <row r="6" spans="1:44" x14ac:dyDescent="0.25">
      <c r="A6" s="13" t="s">
        <v>398</v>
      </c>
      <c r="B6" s="15"/>
      <c r="C6" s="15"/>
      <c r="D6" s="15"/>
      <c r="E6" s="15"/>
      <c r="F6" s="15"/>
      <c r="G6" s="15"/>
      <c r="H6" s="15">
        <v>23</v>
      </c>
      <c r="I6" s="15">
        <v>21</v>
      </c>
      <c r="J6" s="15"/>
      <c r="K6" s="15"/>
      <c r="L6" s="15"/>
      <c r="M6" s="15">
        <v>44</v>
      </c>
    </row>
    <row r="7" spans="1:44" x14ac:dyDescent="0.25">
      <c r="A7" s="13" t="s">
        <v>845</v>
      </c>
      <c r="B7" s="15"/>
      <c r="C7" s="15"/>
      <c r="D7" s="15"/>
      <c r="E7" s="15"/>
      <c r="F7" s="15"/>
      <c r="G7" s="15"/>
      <c r="H7" s="15"/>
      <c r="I7" s="15">
        <v>31</v>
      </c>
      <c r="J7" s="15"/>
      <c r="K7" s="15"/>
      <c r="L7" s="15"/>
      <c r="M7" s="15">
        <v>31</v>
      </c>
    </row>
    <row r="8" spans="1:44" x14ac:dyDescent="0.25">
      <c r="A8" s="13" t="s">
        <v>59</v>
      </c>
      <c r="B8" s="15"/>
      <c r="C8" s="15"/>
      <c r="D8" s="15"/>
      <c r="E8" s="15">
        <v>18</v>
      </c>
      <c r="F8" s="15"/>
      <c r="G8" s="15"/>
      <c r="H8" s="15">
        <v>53</v>
      </c>
      <c r="I8" s="15">
        <v>6</v>
      </c>
      <c r="J8" s="15">
        <v>34</v>
      </c>
      <c r="K8" s="15">
        <v>16</v>
      </c>
      <c r="L8" s="15"/>
      <c r="M8" s="15">
        <v>127</v>
      </c>
    </row>
    <row r="9" spans="1:44" x14ac:dyDescent="0.25">
      <c r="A9" s="13" t="s">
        <v>53</v>
      </c>
      <c r="B9" s="15"/>
      <c r="C9" s="15"/>
      <c r="D9" s="15">
        <v>14</v>
      </c>
      <c r="E9" s="15"/>
      <c r="F9" s="15">
        <v>55</v>
      </c>
      <c r="G9" s="15">
        <v>18</v>
      </c>
      <c r="H9" s="15">
        <v>30</v>
      </c>
      <c r="I9" s="15"/>
      <c r="J9" s="15"/>
      <c r="K9" s="15"/>
      <c r="L9" s="15"/>
      <c r="M9" s="15">
        <v>117</v>
      </c>
    </row>
    <row r="10" spans="1:44" x14ac:dyDescent="0.25">
      <c r="A10" s="13" t="s">
        <v>824</v>
      </c>
      <c r="B10" s="15"/>
      <c r="C10" s="15"/>
      <c r="D10" s="15"/>
      <c r="E10" s="15"/>
      <c r="F10" s="15"/>
      <c r="G10" s="15"/>
      <c r="H10" s="15"/>
      <c r="I10" s="15">
        <v>55</v>
      </c>
      <c r="J10" s="15"/>
      <c r="K10" s="15"/>
      <c r="L10" s="15"/>
      <c r="M10" s="15">
        <v>55</v>
      </c>
    </row>
    <row r="11" spans="1:44" x14ac:dyDescent="0.25">
      <c r="A11" s="13" t="s">
        <v>101</v>
      </c>
      <c r="B11" s="15">
        <v>57</v>
      </c>
      <c r="C11" s="15"/>
      <c r="D11" s="15">
        <v>7</v>
      </c>
      <c r="E11" s="15"/>
      <c r="F11" s="15"/>
      <c r="G11" s="15"/>
      <c r="H11" s="15">
        <v>28</v>
      </c>
      <c r="I11" s="15"/>
      <c r="J11" s="15"/>
      <c r="K11" s="15"/>
      <c r="L11" s="15"/>
      <c r="M11" s="15">
        <v>92</v>
      </c>
    </row>
    <row r="12" spans="1:44" x14ac:dyDescent="0.25">
      <c r="A12" s="13" t="s">
        <v>38</v>
      </c>
      <c r="B12" s="15"/>
      <c r="C12" s="15"/>
      <c r="D12" s="15"/>
      <c r="E12" s="15">
        <v>49</v>
      </c>
      <c r="F12" s="15">
        <v>21</v>
      </c>
      <c r="G12" s="15">
        <v>75</v>
      </c>
      <c r="H12" s="15">
        <v>40</v>
      </c>
      <c r="I12" s="15">
        <v>92</v>
      </c>
      <c r="J12" s="15">
        <v>105</v>
      </c>
      <c r="K12" s="15">
        <v>106</v>
      </c>
      <c r="L12" s="15"/>
      <c r="M12" s="15">
        <v>488</v>
      </c>
    </row>
    <row r="13" spans="1:44" x14ac:dyDescent="0.25">
      <c r="A13" s="13" t="s">
        <v>44</v>
      </c>
      <c r="B13" s="15"/>
      <c r="C13" s="15">
        <v>34</v>
      </c>
      <c r="D13" s="15">
        <v>56</v>
      </c>
      <c r="E13" s="15">
        <v>81</v>
      </c>
      <c r="F13" s="15"/>
      <c r="G13" s="15"/>
      <c r="H13" s="15">
        <v>14</v>
      </c>
      <c r="I13" s="15">
        <v>103</v>
      </c>
      <c r="J13" s="15">
        <v>105</v>
      </c>
      <c r="K13" s="15"/>
      <c r="L13" s="15"/>
      <c r="M13" s="15">
        <v>393</v>
      </c>
    </row>
    <row r="14" spans="1:44" x14ac:dyDescent="0.25">
      <c r="A14" s="13" t="s">
        <v>217</v>
      </c>
      <c r="B14" s="15"/>
      <c r="C14" s="15"/>
      <c r="D14" s="15"/>
      <c r="E14" s="15"/>
      <c r="F14" s="15"/>
      <c r="G14" s="15">
        <v>58</v>
      </c>
      <c r="H14" s="15"/>
      <c r="I14" s="15">
        <v>88</v>
      </c>
      <c r="J14" s="15">
        <v>0</v>
      </c>
      <c r="K14" s="15"/>
      <c r="L14" s="15"/>
      <c r="M14" s="15">
        <v>146</v>
      </c>
    </row>
    <row r="15" spans="1:44" x14ac:dyDescent="0.25">
      <c r="A15" s="13" t="s">
        <v>62</v>
      </c>
      <c r="B15" s="15"/>
      <c r="C15" s="15"/>
      <c r="D15" s="15"/>
      <c r="E15" s="15">
        <v>110</v>
      </c>
      <c r="F15" s="15"/>
      <c r="G15" s="15">
        <v>18</v>
      </c>
      <c r="H15" s="15"/>
      <c r="I15" s="15">
        <v>40</v>
      </c>
      <c r="J15" s="15">
        <v>156</v>
      </c>
      <c r="K15" s="15"/>
      <c r="L15" s="15"/>
      <c r="M15" s="15">
        <v>324</v>
      </c>
    </row>
    <row r="16" spans="1:44" x14ac:dyDescent="0.25">
      <c r="A16" s="13" t="s">
        <v>41</v>
      </c>
      <c r="B16" s="15"/>
      <c r="C16" s="15"/>
      <c r="D16" s="15"/>
      <c r="E16" s="15">
        <v>14</v>
      </c>
      <c r="F16" s="15"/>
      <c r="G16" s="15">
        <v>19</v>
      </c>
      <c r="H16" s="15"/>
      <c r="I16" s="15"/>
      <c r="J16" s="15">
        <v>18</v>
      </c>
      <c r="K16" s="15"/>
      <c r="L16" s="15"/>
      <c r="M16" s="15">
        <v>51</v>
      </c>
    </row>
    <row r="17" spans="1:13" x14ac:dyDescent="0.25">
      <c r="A17" s="13" t="s">
        <v>130</v>
      </c>
      <c r="B17" s="15"/>
      <c r="C17" s="15">
        <v>23</v>
      </c>
      <c r="D17" s="15"/>
      <c r="E17" s="15"/>
      <c r="F17" s="15"/>
      <c r="G17" s="15"/>
      <c r="H17" s="15"/>
      <c r="I17" s="15">
        <v>230</v>
      </c>
      <c r="J17" s="15">
        <v>50</v>
      </c>
      <c r="K17" s="15"/>
      <c r="L17" s="15"/>
      <c r="M17" s="15">
        <v>303</v>
      </c>
    </row>
    <row r="18" spans="1:13" x14ac:dyDescent="0.25">
      <c r="A18" s="13" t="s">
        <v>46</v>
      </c>
      <c r="B18" s="15"/>
      <c r="C18" s="15">
        <v>77</v>
      </c>
      <c r="D18" s="15">
        <v>323</v>
      </c>
      <c r="E18" s="15">
        <v>107</v>
      </c>
      <c r="F18" s="15">
        <v>97</v>
      </c>
      <c r="G18" s="15">
        <v>20</v>
      </c>
      <c r="H18" s="15">
        <v>121</v>
      </c>
      <c r="I18" s="15">
        <v>269</v>
      </c>
      <c r="J18" s="15">
        <v>407</v>
      </c>
      <c r="K18" s="15">
        <v>236</v>
      </c>
      <c r="L18" s="15">
        <v>31</v>
      </c>
      <c r="M18" s="15">
        <v>1688</v>
      </c>
    </row>
    <row r="19" spans="1:13" x14ac:dyDescent="0.25">
      <c r="A19" s="13" t="s">
        <v>54</v>
      </c>
      <c r="B19" s="15"/>
      <c r="C19" s="15"/>
      <c r="D19" s="15"/>
      <c r="E19" s="15">
        <v>24</v>
      </c>
      <c r="F19" s="15"/>
      <c r="G19" s="15"/>
      <c r="H19" s="15"/>
      <c r="I19" s="15"/>
      <c r="J19" s="15"/>
      <c r="K19" s="15"/>
      <c r="L19" s="15"/>
      <c r="M19" s="15">
        <v>24</v>
      </c>
    </row>
    <row r="20" spans="1:13" x14ac:dyDescent="0.25">
      <c r="A20" s="11" t="s">
        <v>127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</row>
    <row r="21" spans="1:13" x14ac:dyDescent="0.25">
      <c r="A21" s="13" t="s">
        <v>398</v>
      </c>
      <c r="B21" s="16"/>
      <c r="C21" s="16"/>
      <c r="D21" s="16"/>
      <c r="E21" s="16"/>
      <c r="F21" s="16"/>
      <c r="G21" s="16"/>
      <c r="H21" s="16">
        <v>529000</v>
      </c>
      <c r="I21" s="16">
        <v>504000</v>
      </c>
      <c r="J21" s="16"/>
      <c r="K21" s="16"/>
      <c r="L21" s="16"/>
      <c r="M21" s="16">
        <v>1033000</v>
      </c>
    </row>
    <row r="22" spans="1:13" x14ac:dyDescent="0.25">
      <c r="A22" s="13" t="s">
        <v>845</v>
      </c>
      <c r="B22" s="16"/>
      <c r="C22" s="16"/>
      <c r="D22" s="16"/>
      <c r="E22" s="16"/>
      <c r="F22" s="16"/>
      <c r="G22" s="16"/>
      <c r="H22" s="16"/>
      <c r="I22" s="16">
        <v>401760</v>
      </c>
      <c r="J22" s="16"/>
      <c r="K22" s="16"/>
      <c r="L22" s="16"/>
      <c r="M22" s="16">
        <v>401760</v>
      </c>
    </row>
    <row r="23" spans="1:13" x14ac:dyDescent="0.25">
      <c r="A23" s="13" t="s">
        <v>59</v>
      </c>
      <c r="B23" s="16"/>
      <c r="C23" s="16"/>
      <c r="D23" s="16"/>
      <c r="E23" s="16">
        <v>494000</v>
      </c>
      <c r="F23" s="16"/>
      <c r="G23" s="16"/>
      <c r="H23" s="16">
        <v>1215000</v>
      </c>
      <c r="I23" s="16">
        <v>10920</v>
      </c>
      <c r="J23" s="16"/>
      <c r="K23" s="16"/>
      <c r="L23" s="16"/>
      <c r="M23" s="16">
        <v>1719920</v>
      </c>
    </row>
    <row r="24" spans="1:13" x14ac:dyDescent="0.25">
      <c r="A24" s="13" t="s">
        <v>53</v>
      </c>
      <c r="B24" s="16"/>
      <c r="C24" s="16"/>
      <c r="D24" s="16">
        <v>159905</v>
      </c>
      <c r="E24" s="16"/>
      <c r="F24" s="16">
        <v>1005500</v>
      </c>
      <c r="G24" s="16">
        <v>360000</v>
      </c>
      <c r="H24" s="16">
        <v>250707</v>
      </c>
      <c r="I24" s="16"/>
      <c r="J24" s="16"/>
      <c r="K24" s="16"/>
      <c r="L24" s="16"/>
      <c r="M24" s="16">
        <v>1776112</v>
      </c>
    </row>
    <row r="25" spans="1:13" x14ac:dyDescent="0.25">
      <c r="A25" s="13" t="s">
        <v>824</v>
      </c>
      <c r="B25" s="16"/>
      <c r="C25" s="16"/>
      <c r="D25" s="16"/>
      <c r="E25" s="16"/>
      <c r="F25" s="16"/>
      <c r="G25" s="16"/>
      <c r="H25" s="16"/>
      <c r="I25" s="16">
        <v>510263</v>
      </c>
      <c r="J25" s="16"/>
      <c r="K25" s="16"/>
      <c r="L25" s="16"/>
      <c r="M25" s="16">
        <v>510263</v>
      </c>
    </row>
    <row r="26" spans="1:13" x14ac:dyDescent="0.25">
      <c r="A26" s="13" t="s">
        <v>101</v>
      </c>
      <c r="B26" s="16">
        <v>2627133</v>
      </c>
      <c r="C26" s="16"/>
      <c r="D26" s="16">
        <v>177688</v>
      </c>
      <c r="E26" s="16"/>
      <c r="F26" s="16"/>
      <c r="G26" s="16"/>
      <c r="H26" s="16">
        <v>656000</v>
      </c>
      <c r="I26" s="16"/>
      <c r="J26" s="16"/>
      <c r="K26" s="16"/>
      <c r="L26" s="16"/>
      <c r="M26" s="16">
        <v>3460821</v>
      </c>
    </row>
    <row r="27" spans="1:13" x14ac:dyDescent="0.25">
      <c r="A27" s="13" t="s">
        <v>38</v>
      </c>
      <c r="B27" s="16"/>
      <c r="C27" s="16"/>
      <c r="D27" s="16"/>
      <c r="E27" s="16">
        <v>1073831</v>
      </c>
      <c r="F27" s="16">
        <v>717280</v>
      </c>
      <c r="G27" s="16">
        <v>1500000</v>
      </c>
      <c r="H27" s="16">
        <v>800000</v>
      </c>
      <c r="I27" s="16">
        <v>1105520</v>
      </c>
      <c r="J27" s="16">
        <v>550000</v>
      </c>
      <c r="K27" s="16"/>
      <c r="L27" s="16"/>
      <c r="M27" s="16">
        <v>5746631</v>
      </c>
    </row>
    <row r="28" spans="1:13" x14ac:dyDescent="0.25">
      <c r="A28" s="13" t="s">
        <v>44</v>
      </c>
      <c r="B28" s="16"/>
      <c r="C28" s="16">
        <v>1160925</v>
      </c>
      <c r="D28" s="16">
        <v>1217000</v>
      </c>
      <c r="E28" s="16">
        <v>900001</v>
      </c>
      <c r="F28" s="16"/>
      <c r="G28" s="16"/>
      <c r="H28" s="16">
        <v>280000</v>
      </c>
      <c r="I28" s="16">
        <v>2012000</v>
      </c>
      <c r="J28" s="16">
        <v>1280000</v>
      </c>
      <c r="K28" s="16"/>
      <c r="L28" s="16"/>
      <c r="M28" s="16">
        <v>6849926</v>
      </c>
    </row>
    <row r="29" spans="1:13" x14ac:dyDescent="0.25">
      <c r="A29" s="13" t="s">
        <v>217</v>
      </c>
      <c r="B29" s="16"/>
      <c r="C29" s="16"/>
      <c r="D29" s="16"/>
      <c r="E29" s="16"/>
      <c r="F29" s="16"/>
      <c r="G29" s="16">
        <v>672000</v>
      </c>
      <c r="H29" s="16"/>
      <c r="I29" s="16">
        <v>1223500</v>
      </c>
      <c r="J29" s="16">
        <v>2700000</v>
      </c>
      <c r="K29" s="16"/>
      <c r="L29" s="16"/>
      <c r="M29" s="16">
        <v>4595500</v>
      </c>
    </row>
    <row r="30" spans="1:13" x14ac:dyDescent="0.25">
      <c r="A30" s="13" t="s">
        <v>62</v>
      </c>
      <c r="B30" s="16"/>
      <c r="C30" s="16"/>
      <c r="D30" s="16"/>
      <c r="E30" s="16">
        <v>1660001</v>
      </c>
      <c r="F30" s="16"/>
      <c r="G30" s="16">
        <v>360000</v>
      </c>
      <c r="H30" s="16"/>
      <c r="I30" s="16">
        <v>800000</v>
      </c>
      <c r="J30" s="16">
        <v>3571494</v>
      </c>
      <c r="K30" s="16"/>
      <c r="L30" s="16"/>
      <c r="M30" s="16">
        <v>6391495</v>
      </c>
    </row>
    <row r="31" spans="1:13" x14ac:dyDescent="0.25">
      <c r="A31" s="13" t="s">
        <v>41</v>
      </c>
      <c r="B31" s="16"/>
      <c r="C31" s="16"/>
      <c r="D31" s="16"/>
      <c r="E31" s="16">
        <v>500000</v>
      </c>
      <c r="F31" s="16"/>
      <c r="G31" s="16">
        <v>420000</v>
      </c>
      <c r="H31" s="16"/>
      <c r="I31" s="16"/>
      <c r="J31" s="16">
        <v>360000</v>
      </c>
      <c r="K31" s="16"/>
      <c r="L31" s="16"/>
      <c r="M31" s="16">
        <v>1280000</v>
      </c>
    </row>
    <row r="32" spans="1:13" x14ac:dyDescent="0.25">
      <c r="A32" s="13" t="s">
        <v>130</v>
      </c>
      <c r="B32" s="16"/>
      <c r="C32" s="16">
        <v>239587</v>
      </c>
      <c r="D32" s="16"/>
      <c r="E32" s="16"/>
      <c r="F32" s="16"/>
      <c r="G32" s="16"/>
      <c r="H32" s="16"/>
      <c r="I32" s="16">
        <v>2700000</v>
      </c>
      <c r="J32" s="16"/>
      <c r="K32" s="16"/>
      <c r="L32" s="16"/>
      <c r="M32" s="16">
        <v>2939587</v>
      </c>
    </row>
    <row r="33" spans="1:13" x14ac:dyDescent="0.25">
      <c r="A33" s="13" t="s">
        <v>46</v>
      </c>
      <c r="B33" s="16"/>
      <c r="C33" s="16">
        <v>755000</v>
      </c>
      <c r="D33" s="16">
        <v>2849933</v>
      </c>
      <c r="E33" s="16">
        <v>225002</v>
      </c>
      <c r="F33" s="16">
        <v>2043000</v>
      </c>
      <c r="G33" s="16">
        <v>200000</v>
      </c>
      <c r="H33" s="16">
        <v>1370000</v>
      </c>
      <c r="I33" s="16">
        <v>2743750</v>
      </c>
      <c r="J33" s="16">
        <v>1440000</v>
      </c>
      <c r="K33" s="16">
        <v>1000000</v>
      </c>
      <c r="L33" s="16">
        <v>274678.27265966812</v>
      </c>
      <c r="M33" s="16">
        <v>12901363.272659669</v>
      </c>
    </row>
    <row r="34" spans="1:13" x14ac:dyDescent="0.25">
      <c r="A34" s="13" t="s">
        <v>54</v>
      </c>
      <c r="B34" s="16"/>
      <c r="C34" s="16"/>
      <c r="D34" s="16"/>
      <c r="E34" s="16">
        <v>480000</v>
      </c>
      <c r="F34" s="16"/>
      <c r="G34" s="16"/>
      <c r="H34" s="16"/>
      <c r="I34" s="16"/>
      <c r="J34" s="16"/>
      <c r="K34" s="16"/>
      <c r="L34" s="16"/>
      <c r="M34" s="16">
        <v>480000</v>
      </c>
    </row>
    <row r="35" spans="1:13" x14ac:dyDescent="0.25">
      <c r="A35" s="13" t="s">
        <v>120</v>
      </c>
      <c r="B35" s="16">
        <v>57</v>
      </c>
      <c r="C35" s="16">
        <v>134</v>
      </c>
      <c r="D35" s="16">
        <v>400</v>
      </c>
      <c r="E35" s="16">
        <v>403</v>
      </c>
      <c r="F35" s="16">
        <v>173</v>
      </c>
      <c r="G35" s="16">
        <v>208</v>
      </c>
      <c r="H35" s="16">
        <v>309</v>
      </c>
      <c r="I35" s="16">
        <v>935</v>
      </c>
      <c r="J35" s="16">
        <v>875</v>
      </c>
      <c r="K35" s="16">
        <v>358</v>
      </c>
      <c r="L35" s="16">
        <v>31</v>
      </c>
      <c r="M35" s="16">
        <v>3883</v>
      </c>
    </row>
    <row r="36" spans="1:13" ht="30" x14ac:dyDescent="0.25">
      <c r="A36" s="13" t="s">
        <v>128</v>
      </c>
      <c r="B36" s="16">
        <v>2627133</v>
      </c>
      <c r="C36" s="16">
        <v>2155512</v>
      </c>
      <c r="D36" s="16">
        <v>4404526</v>
      </c>
      <c r="E36" s="16">
        <v>5332835</v>
      </c>
      <c r="F36" s="16">
        <v>3765780</v>
      </c>
      <c r="G36" s="16">
        <v>3512000</v>
      </c>
      <c r="H36" s="16">
        <v>5100707</v>
      </c>
      <c r="I36" s="16">
        <v>12011713</v>
      </c>
      <c r="J36" s="16">
        <v>9901494</v>
      </c>
      <c r="K36" s="16">
        <v>1000000</v>
      </c>
      <c r="L36" s="16">
        <v>274678.27265966812</v>
      </c>
      <c r="M36" s="16">
        <v>50086378.272659667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M20"/>
  <sheetViews>
    <sheetView view="pageBreakPreview" zoomScale="70" zoomScaleNormal="100" zoomScaleSheetLayoutView="70" workbookViewId="0">
      <selection activeCell="J13" sqref="J13"/>
    </sheetView>
  </sheetViews>
  <sheetFormatPr baseColWidth="10" defaultRowHeight="15" x14ac:dyDescent="0.25"/>
  <cols>
    <col min="2" max="2" width="21.42578125" customWidth="1"/>
    <col min="3" max="3" width="7" customWidth="1"/>
    <col min="4" max="4" width="6.85546875" customWidth="1"/>
    <col min="5" max="5" width="8" customWidth="1"/>
    <col min="6" max="6" width="12.85546875" style="35" bestFit="1" customWidth="1"/>
    <col min="7" max="7" width="14" style="35" bestFit="1" customWidth="1"/>
    <col min="8" max="9" width="15.42578125" style="35" bestFit="1" customWidth="1"/>
    <col min="10" max="10" width="14" style="35" bestFit="1" customWidth="1"/>
    <col min="11" max="11" width="12.42578125" style="34" bestFit="1" customWidth="1"/>
    <col min="12" max="12" width="16.42578125" style="35" bestFit="1" customWidth="1"/>
    <col min="13" max="13" width="18.42578125" style="35" bestFit="1" customWidth="1"/>
  </cols>
  <sheetData>
    <row r="1" spans="1:13" x14ac:dyDescent="0.25">
      <c r="C1" t="s">
        <v>25</v>
      </c>
      <c r="D1" t="s">
        <v>26</v>
      </c>
      <c r="E1" t="s">
        <v>140</v>
      </c>
      <c r="F1" s="35" t="s">
        <v>142</v>
      </c>
      <c r="G1" s="35" t="s">
        <v>141</v>
      </c>
      <c r="H1" s="35" t="s">
        <v>144</v>
      </c>
      <c r="I1" s="35" t="s">
        <v>145</v>
      </c>
      <c r="J1" s="35" t="s">
        <v>77</v>
      </c>
      <c r="K1" s="34" t="s">
        <v>143</v>
      </c>
      <c r="L1" s="35" t="s">
        <v>147</v>
      </c>
      <c r="M1" s="35" t="s">
        <v>146</v>
      </c>
    </row>
    <row r="2" spans="1:13" x14ac:dyDescent="0.25">
      <c r="A2">
        <v>2008</v>
      </c>
      <c r="B2" t="s">
        <v>139</v>
      </c>
      <c r="D2">
        <v>18</v>
      </c>
      <c r="E2">
        <f>C2+D2</f>
        <v>18</v>
      </c>
      <c r="F2" s="35">
        <v>1415.85</v>
      </c>
      <c r="G2" s="35">
        <v>2892831</v>
      </c>
      <c r="H2" s="35">
        <f>G2/E2</f>
        <v>160712.83333333334</v>
      </c>
      <c r="I2" s="35">
        <f>G2/F2</f>
        <v>2043.176183917788</v>
      </c>
      <c r="J2" s="35">
        <f>539616+108000+59400</f>
        <v>707016</v>
      </c>
      <c r="K2" s="34">
        <f>J2/G2</f>
        <v>0.24440280126975963</v>
      </c>
      <c r="L2" s="35">
        <f>J2/E2</f>
        <v>39278.666666666664</v>
      </c>
      <c r="M2" s="35">
        <f>J2/F2</f>
        <v>499.35798283716497</v>
      </c>
    </row>
    <row r="3" spans="1:13" x14ac:dyDescent="0.25">
      <c r="B3" t="s">
        <v>148</v>
      </c>
      <c r="D3">
        <f>77</f>
        <v>77</v>
      </c>
      <c r="E3">
        <f>C3+D3</f>
        <v>77</v>
      </c>
      <c r="F3" s="35">
        <v>6115.82</v>
      </c>
      <c r="G3" s="35">
        <f>2484455+6209368</f>
        <v>8693823</v>
      </c>
      <c r="H3" s="35">
        <f>G3/E3</f>
        <v>112906.79220779221</v>
      </c>
      <c r="I3" s="35">
        <f>G3/F3</f>
        <v>1421.5302281623724</v>
      </c>
      <c r="J3" s="35">
        <f>807111+1959794</f>
        <v>2766905</v>
      </c>
      <c r="K3" s="34">
        <f>J3/G3</f>
        <v>0.31826102279745055</v>
      </c>
      <c r="L3" s="35">
        <f>J3/E3</f>
        <v>35933.831168831166</v>
      </c>
      <c r="M3" s="35">
        <f>J3/F3</f>
        <v>452.41766435244989</v>
      </c>
    </row>
    <row r="4" spans="1:13" x14ac:dyDescent="0.25">
      <c r="B4" t="s">
        <v>149</v>
      </c>
      <c r="D4">
        <v>14</v>
      </c>
      <c r="E4">
        <f>C4+D4</f>
        <v>14</v>
      </c>
      <c r="F4" s="35">
        <v>1065.46</v>
      </c>
      <c r="G4" s="35">
        <v>1822911</v>
      </c>
      <c r="H4" s="35">
        <f>G4/E4</f>
        <v>130207.92857142857</v>
      </c>
      <c r="I4" s="35">
        <f>G4/F4</f>
        <v>1710.9145345672291</v>
      </c>
      <c r="J4" s="35">
        <f>405280+85372</f>
        <v>490652</v>
      </c>
      <c r="K4" s="34">
        <f>J4/G4</f>
        <v>0.26915850526986779</v>
      </c>
      <c r="L4" s="35">
        <f>J4/E4</f>
        <v>35046.571428571428</v>
      </c>
      <c r="M4" s="35">
        <f>J4/F4</f>
        <v>460.507198768607</v>
      </c>
    </row>
    <row r="5" spans="1:13" x14ac:dyDescent="0.25">
      <c r="B5" t="s">
        <v>150</v>
      </c>
      <c r="D5">
        <f>53+35</f>
        <v>88</v>
      </c>
      <c r="E5">
        <f>C5+D5</f>
        <v>88</v>
      </c>
      <c r="F5" s="35">
        <v>5190.7299999999996</v>
      </c>
      <c r="G5" s="35">
        <f>3646547+4017680</f>
        <v>7664227</v>
      </c>
      <c r="H5" s="35">
        <f>G5/E5</f>
        <v>87093.488636363632</v>
      </c>
      <c r="I5" s="35">
        <f>G5/F5</f>
        <v>1476.5219920897448</v>
      </c>
      <c r="J5" s="35">
        <f>992429+323194+961471+213430</f>
        <v>2490524</v>
      </c>
      <c r="K5" s="34">
        <f>J5/G5</f>
        <v>0.324954362651315</v>
      </c>
      <c r="L5" s="35">
        <f>J5/E5</f>
        <v>28301.409090909092</v>
      </c>
      <c r="M5" s="35">
        <f>J5/F5</f>
        <v>479.80226288017298</v>
      </c>
    </row>
    <row r="6" spans="1:13" s="36" customFormat="1" x14ac:dyDescent="0.25">
      <c r="B6" s="36" t="s">
        <v>140</v>
      </c>
      <c r="D6" s="36">
        <f>SUM(D2:D5)</f>
        <v>197</v>
      </c>
      <c r="E6" s="36">
        <f t="shared" ref="E6:J6" si="0">SUM(E2:E5)</f>
        <v>197</v>
      </c>
      <c r="F6" s="37">
        <f t="shared" si="0"/>
        <v>13787.86</v>
      </c>
      <c r="G6" s="37">
        <f t="shared" si="0"/>
        <v>21073792</v>
      </c>
      <c r="H6" s="37">
        <f>G6/E6</f>
        <v>106973.56345177664</v>
      </c>
      <c r="I6" s="37">
        <f>G6/F6</f>
        <v>1528.4309530267931</v>
      </c>
      <c r="J6" s="37">
        <f t="shared" si="0"/>
        <v>6455097</v>
      </c>
      <c r="K6" s="38">
        <f>J6/G6</f>
        <v>0.30630922996677579</v>
      </c>
      <c r="L6" s="37">
        <f>J6/E6</f>
        <v>32766.989847715737</v>
      </c>
      <c r="M6" s="37">
        <f>J6/F6</f>
        <v>468.17250827902222</v>
      </c>
    </row>
    <row r="8" spans="1:13" x14ac:dyDescent="0.25">
      <c r="A8">
        <v>2009</v>
      </c>
      <c r="B8" t="s">
        <v>151</v>
      </c>
      <c r="C8">
        <v>11</v>
      </c>
      <c r="E8">
        <f>C8+D8</f>
        <v>11</v>
      </c>
      <c r="F8" s="35">
        <v>1092</v>
      </c>
      <c r="G8" s="35">
        <v>1735909</v>
      </c>
      <c r="H8" s="35">
        <f t="shared" ref="H8:H13" si="1">G8/E8</f>
        <v>157809.90909090909</v>
      </c>
      <c r="I8" s="35">
        <f t="shared" ref="I8:I13" si="2">G8/F8</f>
        <v>1589.6602564102564</v>
      </c>
      <c r="J8" s="35">
        <v>374145</v>
      </c>
      <c r="K8" s="34">
        <f t="shared" ref="K8:K13" si="3">J8/G8</f>
        <v>0.21553261144449393</v>
      </c>
      <c r="L8" s="35">
        <f t="shared" ref="L8:L13" si="4">J8/E8</f>
        <v>34013.181818181816</v>
      </c>
      <c r="M8" s="35">
        <f t="shared" ref="M8:M13" si="5">J8/F8</f>
        <v>342.62362637362639</v>
      </c>
    </row>
    <row r="9" spans="1:13" x14ac:dyDescent="0.25">
      <c r="B9" t="s">
        <v>152</v>
      </c>
      <c r="D9">
        <v>27</v>
      </c>
      <c r="E9">
        <f>C9+D9</f>
        <v>27</v>
      </c>
      <c r="F9" s="35">
        <v>1928.15</v>
      </c>
      <c r="G9" s="35">
        <v>3289185</v>
      </c>
      <c r="H9" s="35">
        <f t="shared" si="1"/>
        <v>121821.66666666667</v>
      </c>
      <c r="I9" s="35">
        <f t="shared" si="2"/>
        <v>1705.8760988512304</v>
      </c>
      <c r="J9" s="35">
        <f>864597+215811</f>
        <v>1080408</v>
      </c>
      <c r="K9" s="34">
        <f t="shared" si="3"/>
        <v>0.32847285877808635</v>
      </c>
      <c r="L9" s="35">
        <f t="shared" si="4"/>
        <v>40015.111111111109</v>
      </c>
      <c r="M9" s="35">
        <f t="shared" si="5"/>
        <v>560.33399891087311</v>
      </c>
    </row>
    <row r="10" spans="1:13" x14ac:dyDescent="0.25">
      <c r="B10" t="s">
        <v>153</v>
      </c>
      <c r="C10">
        <v>47</v>
      </c>
      <c r="E10">
        <f>C10+D10</f>
        <v>47</v>
      </c>
      <c r="F10" s="35">
        <v>4376</v>
      </c>
      <c r="G10" s="35">
        <v>6895889</v>
      </c>
      <c r="H10" s="35">
        <f t="shared" si="1"/>
        <v>146721.04255319148</v>
      </c>
      <c r="I10" s="35">
        <f t="shared" si="2"/>
        <v>1575.8430073126142</v>
      </c>
      <c r="J10" s="35">
        <v>1590533</v>
      </c>
      <c r="K10" s="34">
        <f t="shared" si="3"/>
        <v>0.23064944925882652</v>
      </c>
      <c r="L10" s="35">
        <f t="shared" si="4"/>
        <v>33841.127659574471</v>
      </c>
      <c r="M10" s="35">
        <f t="shared" si="5"/>
        <v>363.4673217550274</v>
      </c>
    </row>
    <row r="11" spans="1:13" x14ac:dyDescent="0.25">
      <c r="B11" t="s">
        <v>154</v>
      </c>
      <c r="C11">
        <v>5</v>
      </c>
      <c r="E11">
        <f>C11+D11</f>
        <v>5</v>
      </c>
      <c r="F11" s="35">
        <v>485.89</v>
      </c>
      <c r="G11" s="35">
        <v>913168</v>
      </c>
      <c r="H11" s="35">
        <f t="shared" si="1"/>
        <v>182633.60000000001</v>
      </c>
      <c r="I11" s="35">
        <f t="shared" si="2"/>
        <v>1879.3718742925355</v>
      </c>
      <c r="J11" s="35">
        <v>167355</v>
      </c>
      <c r="K11" s="34">
        <f t="shared" si="3"/>
        <v>0.18326857708548699</v>
      </c>
      <c r="L11" s="35">
        <f t="shared" si="4"/>
        <v>33471</v>
      </c>
      <c r="M11" s="35">
        <f t="shared" si="5"/>
        <v>344.42980921607773</v>
      </c>
    </row>
    <row r="12" spans="1:13" x14ac:dyDescent="0.25">
      <c r="B12" t="s">
        <v>155</v>
      </c>
      <c r="D12">
        <v>34</v>
      </c>
      <c r="E12">
        <f>C12+D12</f>
        <v>34</v>
      </c>
      <c r="F12" s="35">
        <v>2559</v>
      </c>
      <c r="G12" s="35">
        <v>5072773</v>
      </c>
      <c r="H12" s="35">
        <f t="shared" si="1"/>
        <v>149199.20588235295</v>
      </c>
      <c r="I12" s="35">
        <f t="shared" si="2"/>
        <v>1982.326299335678</v>
      </c>
      <c r="J12" s="35">
        <f>1153426+271762</f>
        <v>1425188</v>
      </c>
      <c r="K12" s="34">
        <f t="shared" si="3"/>
        <v>0.28094850686202594</v>
      </c>
      <c r="L12" s="35">
        <f t="shared" si="4"/>
        <v>41917.294117647056</v>
      </c>
      <c r="M12" s="35">
        <f t="shared" si="5"/>
        <v>556.93161391168428</v>
      </c>
    </row>
    <row r="13" spans="1:13" s="36" customFormat="1" x14ac:dyDescent="0.25">
      <c r="B13" s="36" t="s">
        <v>140</v>
      </c>
      <c r="C13" s="36">
        <f>SUM(C8:C12)</f>
        <v>63</v>
      </c>
      <c r="D13" s="36">
        <f t="shared" ref="D13:J13" si="6">SUM(D8:D12)</f>
        <v>61</v>
      </c>
      <c r="E13" s="36">
        <f t="shared" si="6"/>
        <v>124</v>
      </c>
      <c r="F13" s="37">
        <f t="shared" si="6"/>
        <v>10441.040000000001</v>
      </c>
      <c r="G13" s="37">
        <f t="shared" si="6"/>
        <v>17906924</v>
      </c>
      <c r="H13" s="37">
        <f t="shared" si="1"/>
        <v>144410.67741935485</v>
      </c>
      <c r="I13" s="37">
        <f t="shared" si="2"/>
        <v>1715.0517572962078</v>
      </c>
      <c r="J13" s="37">
        <f t="shared" si="6"/>
        <v>4637629</v>
      </c>
      <c r="K13" s="38">
        <f t="shared" si="3"/>
        <v>0.25898523945262736</v>
      </c>
      <c r="L13" s="37">
        <f t="shared" si="4"/>
        <v>37400.233870967742</v>
      </c>
      <c r="M13" s="37">
        <f t="shared" si="5"/>
        <v>444.1730900370078</v>
      </c>
    </row>
    <row r="15" spans="1:13" x14ac:dyDescent="0.25">
      <c r="A15">
        <v>2010</v>
      </c>
      <c r="B15" t="s">
        <v>160</v>
      </c>
      <c r="D15">
        <v>19</v>
      </c>
      <c r="E15">
        <f>C15+D15</f>
        <v>19</v>
      </c>
      <c r="F15" s="35">
        <v>1674</v>
      </c>
      <c r="G15" s="35">
        <v>2934852</v>
      </c>
      <c r="H15" s="35">
        <f>G15/E15</f>
        <v>154465.89473684211</v>
      </c>
      <c r="I15" s="35">
        <f>G15/F15</f>
        <v>1753.1971326164874</v>
      </c>
      <c r="J15" s="35">
        <v>832014</v>
      </c>
      <c r="K15" s="34">
        <f>J15/G15</f>
        <v>0.28349436359993624</v>
      </c>
      <c r="L15" s="35">
        <f>J15/E15</f>
        <v>43790.210526315786</v>
      </c>
      <c r="M15" s="35">
        <f>J15/F15</f>
        <v>497.02150537634407</v>
      </c>
    </row>
    <row r="16" spans="1:13" x14ac:dyDescent="0.25">
      <c r="B16" t="s">
        <v>161</v>
      </c>
      <c r="D16">
        <v>27</v>
      </c>
      <c r="E16">
        <f>C16+D16</f>
        <v>27</v>
      </c>
      <c r="F16" s="35">
        <v>2110.92</v>
      </c>
      <c r="G16" s="35">
        <v>3629248</v>
      </c>
      <c r="H16" s="35">
        <f>G16/E16</f>
        <v>134416.59259259258</v>
      </c>
      <c r="I16" s="35">
        <f>G16/F16</f>
        <v>1719.2731131449793</v>
      </c>
      <c r="J16" s="35">
        <v>1173028</v>
      </c>
      <c r="K16" s="34">
        <f>J16/G16</f>
        <v>0.3232151674396459</v>
      </c>
      <c r="L16" s="35">
        <f>J16/E16</f>
        <v>43445.481481481482</v>
      </c>
      <c r="M16" s="35">
        <f>J16/F16</f>
        <v>555.69514713963576</v>
      </c>
    </row>
    <row r="17" spans="1:13" x14ac:dyDescent="0.25">
      <c r="B17" t="s">
        <v>162</v>
      </c>
      <c r="D17">
        <v>30</v>
      </c>
      <c r="E17">
        <f>C17+D17</f>
        <v>30</v>
      </c>
      <c r="F17" s="35">
        <v>2238.04</v>
      </c>
      <c r="G17" s="35">
        <v>3888033</v>
      </c>
      <c r="H17" s="35">
        <f>G17/E17</f>
        <v>129601.1</v>
      </c>
      <c r="I17" s="35">
        <f>G17/F17</f>
        <v>1737.2491108291183</v>
      </c>
      <c r="J17" s="35">
        <v>1269605</v>
      </c>
      <c r="K17" s="34">
        <f>J17/G17</f>
        <v>0.32654172431149631</v>
      </c>
      <c r="L17" s="35">
        <f>J17/E17</f>
        <v>42320.166666666664</v>
      </c>
      <c r="M17" s="35">
        <f>J17/F17</f>
        <v>567.28432020875414</v>
      </c>
    </row>
    <row r="18" spans="1:13" s="36" customFormat="1" x14ac:dyDescent="0.25">
      <c r="B18" s="36" t="s">
        <v>140</v>
      </c>
      <c r="C18" s="36">
        <f>SUM(C15:C17)</f>
        <v>0</v>
      </c>
      <c r="D18" s="36">
        <f>SUM(D15:D17)</f>
        <v>76</v>
      </c>
      <c r="E18" s="36">
        <f>SUM(E15:E17)</f>
        <v>76</v>
      </c>
      <c r="F18" s="37">
        <f>SUM(F15:F17)</f>
        <v>6022.96</v>
      </c>
      <c r="G18" s="37">
        <f>SUM(G15:G17)</f>
        <v>10452133</v>
      </c>
      <c r="H18" s="37">
        <f>G18/E18</f>
        <v>137528.06578947368</v>
      </c>
      <c r="I18" s="37">
        <f>G18/F18</f>
        <v>1735.3814403549086</v>
      </c>
      <c r="J18" s="37">
        <f>SUM(J15:J17)</f>
        <v>3274647</v>
      </c>
      <c r="K18" s="38">
        <f>J18/G18</f>
        <v>0.3132994002276856</v>
      </c>
      <c r="L18" s="37">
        <f>J18/E18</f>
        <v>43087.460526315786</v>
      </c>
      <c r="M18" s="37">
        <f>J18/F18</f>
        <v>543.69396442944992</v>
      </c>
    </row>
    <row r="20" spans="1:13" x14ac:dyDescent="0.25">
      <c r="A20" s="43"/>
      <c r="B20" s="43" t="s">
        <v>163</v>
      </c>
      <c r="C20" s="43">
        <f>C6+C13+C18</f>
        <v>63</v>
      </c>
      <c r="D20" s="43">
        <f t="shared" ref="D20:J20" si="7">D6+D13+D18</f>
        <v>334</v>
      </c>
      <c r="E20" s="43">
        <f t="shared" si="7"/>
        <v>397</v>
      </c>
      <c r="F20" s="44">
        <f t="shared" si="7"/>
        <v>30251.86</v>
      </c>
      <c r="G20" s="44">
        <f t="shared" si="7"/>
        <v>49432849</v>
      </c>
      <c r="H20" s="44">
        <f>G20/E20</f>
        <v>124515.99244332494</v>
      </c>
      <c r="I20" s="44">
        <f>G20/F20</f>
        <v>1634.0432951891223</v>
      </c>
      <c r="J20" s="44">
        <f t="shared" si="7"/>
        <v>14367373</v>
      </c>
      <c r="K20" s="45">
        <f>J20/G20</f>
        <v>0.29064424346652568</v>
      </c>
      <c r="L20" s="44">
        <f>J20/E20</f>
        <v>36189.856423173806</v>
      </c>
      <c r="M20" s="44">
        <f>J20/F20</f>
        <v>474.9252773217911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filterMode="1">
    <pageSetUpPr fitToPage="1"/>
  </sheetPr>
  <dimension ref="A1:M176"/>
  <sheetViews>
    <sheetView view="pageBreakPreview" zoomScale="55" zoomScaleNormal="70" zoomScaleSheetLayoutView="5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M31" sqref="M31"/>
    </sheetView>
  </sheetViews>
  <sheetFormatPr baseColWidth="10" defaultColWidth="11.42578125" defaultRowHeight="15" x14ac:dyDescent="0.25"/>
  <cols>
    <col min="1" max="1" width="30.85546875" style="119" customWidth="1"/>
    <col min="2" max="2" width="17" style="27" customWidth="1"/>
    <col min="3" max="3" width="13.85546875" style="27" customWidth="1"/>
    <col min="4" max="4" width="8.5703125" style="27" customWidth="1"/>
    <col min="5" max="5" width="12.85546875" style="27" customWidth="1"/>
    <col min="6" max="6" width="5.85546875" style="27" customWidth="1"/>
    <col min="7" max="7" width="8.42578125" style="27" customWidth="1"/>
    <col min="8" max="8" width="18.7109375" style="27" customWidth="1"/>
    <col min="9" max="9" width="7.42578125" style="27" customWidth="1"/>
    <col min="10" max="10" width="8.140625" style="27" customWidth="1" collapsed="1"/>
    <col min="11" max="11" width="9.42578125" style="27" customWidth="1"/>
    <col min="12" max="12" width="11.85546875" style="27" customWidth="1" collapsed="1"/>
    <col min="13" max="13" width="18.7109375" style="27" customWidth="1"/>
    <col min="14" max="16384" width="11.42578125" style="27"/>
  </cols>
  <sheetData>
    <row r="1" spans="1:13" s="31" customFormat="1" ht="30" customHeight="1" x14ac:dyDescent="0.25">
      <c r="A1" s="141" t="s">
        <v>0</v>
      </c>
      <c r="B1" s="141" t="s">
        <v>1</v>
      </c>
      <c r="C1" s="141" t="s">
        <v>156</v>
      </c>
      <c r="D1" s="141" t="s">
        <v>91</v>
      </c>
      <c r="E1" s="141" t="s">
        <v>2</v>
      </c>
      <c r="F1" s="159" t="s">
        <v>16</v>
      </c>
      <c r="G1" s="159" t="s">
        <v>535</v>
      </c>
      <c r="H1" s="159" t="s">
        <v>534</v>
      </c>
      <c r="I1" s="141" t="s">
        <v>172</v>
      </c>
      <c r="J1" s="141" t="s">
        <v>3</v>
      </c>
      <c r="K1" s="141" t="s">
        <v>25</v>
      </c>
      <c r="L1" s="141" t="s">
        <v>26</v>
      </c>
      <c r="M1" s="159" t="s">
        <v>884</v>
      </c>
    </row>
    <row r="2" spans="1:13" s="31" customFormat="1" ht="81" customHeight="1" x14ac:dyDescent="0.25">
      <c r="A2" s="19" t="s">
        <v>208</v>
      </c>
      <c r="B2" s="20" t="s">
        <v>101</v>
      </c>
      <c r="C2" s="20" t="s">
        <v>159</v>
      </c>
      <c r="D2" s="20">
        <v>2010</v>
      </c>
      <c r="E2" s="20" t="s">
        <v>209</v>
      </c>
      <c r="F2" s="20" t="s">
        <v>40</v>
      </c>
      <c r="G2" s="20" t="s">
        <v>719</v>
      </c>
      <c r="H2" s="20" t="s">
        <v>385</v>
      </c>
      <c r="I2" s="20" t="s">
        <v>26</v>
      </c>
      <c r="J2" s="20">
        <f t="shared" ref="J2:J29" si="0">K2+L2</f>
        <v>27</v>
      </c>
      <c r="K2" s="455"/>
      <c r="L2" s="456">
        <v>27</v>
      </c>
      <c r="M2" s="20"/>
    </row>
    <row r="3" spans="1:13" s="31" customFormat="1" ht="39.950000000000003" customHeight="1" x14ac:dyDescent="0.25">
      <c r="A3" s="19" t="s">
        <v>207</v>
      </c>
      <c r="B3" s="20" t="s">
        <v>101</v>
      </c>
      <c r="C3" s="20" t="s">
        <v>159</v>
      </c>
      <c r="D3" s="20">
        <v>2010</v>
      </c>
      <c r="E3" s="20" t="s">
        <v>211</v>
      </c>
      <c r="F3" s="20" t="s">
        <v>48</v>
      </c>
      <c r="G3" s="20" t="s">
        <v>275</v>
      </c>
      <c r="H3" s="20" t="s">
        <v>385</v>
      </c>
      <c r="I3" s="20" t="s">
        <v>26</v>
      </c>
      <c r="J3" s="20">
        <f t="shared" si="0"/>
        <v>30</v>
      </c>
      <c r="K3" s="455"/>
      <c r="L3" s="233">
        <v>30</v>
      </c>
      <c r="M3" s="20"/>
    </row>
    <row r="4" spans="1:13" s="31" customFormat="1" ht="39.950000000000003" customHeight="1" x14ac:dyDescent="0.25">
      <c r="A4" s="19" t="s">
        <v>129</v>
      </c>
      <c r="B4" s="20" t="s">
        <v>44</v>
      </c>
      <c r="C4" s="20" t="s">
        <v>158</v>
      </c>
      <c r="D4" s="20">
        <v>2011</v>
      </c>
      <c r="E4" s="20" t="s">
        <v>132</v>
      </c>
      <c r="F4" s="110" t="s">
        <v>74</v>
      </c>
      <c r="G4" s="20" t="s">
        <v>276</v>
      </c>
      <c r="H4" s="110" t="s">
        <v>385</v>
      </c>
      <c r="I4" s="110" t="s">
        <v>26</v>
      </c>
      <c r="J4" s="20">
        <f t="shared" si="0"/>
        <v>14</v>
      </c>
      <c r="K4" s="546"/>
      <c r="L4" s="110">
        <v>14</v>
      </c>
      <c r="M4" s="110"/>
    </row>
    <row r="5" spans="1:13" s="31" customFormat="1" ht="57" customHeight="1" x14ac:dyDescent="0.25">
      <c r="A5" s="19" t="s">
        <v>138</v>
      </c>
      <c r="B5" s="20" t="s">
        <v>44</v>
      </c>
      <c r="C5" s="20" t="s">
        <v>158</v>
      </c>
      <c r="D5" s="20">
        <v>2011</v>
      </c>
      <c r="E5" s="20" t="s">
        <v>134</v>
      </c>
      <c r="F5" s="20"/>
      <c r="G5" s="20" t="s">
        <v>274</v>
      </c>
      <c r="H5" s="110" t="s">
        <v>385</v>
      </c>
      <c r="I5" s="20" t="s">
        <v>26</v>
      </c>
      <c r="J5" s="20">
        <f t="shared" si="0"/>
        <v>16</v>
      </c>
      <c r="K5" s="21"/>
      <c r="L5" s="20">
        <v>16</v>
      </c>
      <c r="M5" s="110"/>
    </row>
    <row r="6" spans="1:13" s="31" customFormat="1" ht="39.950000000000003" customHeight="1" x14ac:dyDescent="0.25">
      <c r="A6" s="19" t="s">
        <v>137</v>
      </c>
      <c r="B6" s="20" t="s">
        <v>44</v>
      </c>
      <c r="C6" s="20" t="s">
        <v>158</v>
      </c>
      <c r="D6" s="20">
        <v>2011</v>
      </c>
      <c r="E6" s="20" t="s">
        <v>134</v>
      </c>
      <c r="F6" s="20"/>
      <c r="G6" s="20" t="s">
        <v>274</v>
      </c>
      <c r="H6" s="110" t="s">
        <v>385</v>
      </c>
      <c r="I6" s="20" t="s">
        <v>25</v>
      </c>
      <c r="J6" s="20">
        <f t="shared" si="0"/>
        <v>4</v>
      </c>
      <c r="K6" s="20">
        <v>4</v>
      </c>
      <c r="L6" s="455"/>
      <c r="M6" s="110"/>
    </row>
    <row r="7" spans="1:13" s="31" customFormat="1" ht="39.950000000000003" customHeight="1" x14ac:dyDescent="0.25">
      <c r="A7" s="19" t="s">
        <v>477</v>
      </c>
      <c r="B7" s="20" t="s">
        <v>46</v>
      </c>
      <c r="C7" s="20" t="s">
        <v>157</v>
      </c>
      <c r="D7" s="20">
        <v>2011</v>
      </c>
      <c r="E7" s="20" t="s">
        <v>131</v>
      </c>
      <c r="F7" s="20" t="s">
        <v>48</v>
      </c>
      <c r="G7" s="20" t="s">
        <v>275</v>
      </c>
      <c r="H7" s="110" t="s">
        <v>385</v>
      </c>
      <c r="I7" s="20" t="s">
        <v>25</v>
      </c>
      <c r="J7" s="20">
        <f t="shared" si="0"/>
        <v>20</v>
      </c>
      <c r="K7" s="20">
        <v>20</v>
      </c>
      <c r="L7" s="455"/>
      <c r="M7" s="110" t="s">
        <v>885</v>
      </c>
    </row>
    <row r="8" spans="1:13" s="31" customFormat="1" ht="39.950000000000003" customHeight="1" x14ac:dyDescent="0.25">
      <c r="A8" s="19" t="s">
        <v>474</v>
      </c>
      <c r="B8" s="20" t="s">
        <v>46</v>
      </c>
      <c r="C8" s="20" t="s">
        <v>157</v>
      </c>
      <c r="D8" s="20">
        <v>2011</v>
      </c>
      <c r="E8" s="20" t="s">
        <v>135</v>
      </c>
      <c r="F8" s="20"/>
      <c r="G8" s="20" t="s">
        <v>273</v>
      </c>
      <c r="H8" s="110" t="s">
        <v>385</v>
      </c>
      <c r="I8" s="20" t="s">
        <v>25</v>
      </c>
      <c r="J8" s="20">
        <f t="shared" si="0"/>
        <v>51</v>
      </c>
      <c r="K8" s="20">
        <v>51</v>
      </c>
      <c r="L8" s="455"/>
      <c r="M8" s="110" t="s">
        <v>885</v>
      </c>
    </row>
    <row r="9" spans="1:13" s="31" customFormat="1" ht="39.950000000000003" customHeight="1" x14ac:dyDescent="0.25">
      <c r="A9" s="19" t="s">
        <v>475</v>
      </c>
      <c r="B9" s="20" t="s">
        <v>46</v>
      </c>
      <c r="C9" s="20" t="s">
        <v>157</v>
      </c>
      <c r="D9" s="20">
        <v>2011</v>
      </c>
      <c r="E9" s="20" t="s">
        <v>135</v>
      </c>
      <c r="F9" s="20"/>
      <c r="G9" s="20" t="s">
        <v>273</v>
      </c>
      <c r="H9" s="110" t="s">
        <v>385</v>
      </c>
      <c r="I9" s="20" t="s">
        <v>26</v>
      </c>
      <c r="J9" s="20">
        <f t="shared" si="0"/>
        <v>6</v>
      </c>
      <c r="K9" s="21"/>
      <c r="L9" s="20">
        <v>6</v>
      </c>
      <c r="M9" s="110" t="s">
        <v>885</v>
      </c>
    </row>
    <row r="10" spans="1:13" s="31" customFormat="1" ht="39.950000000000003" customHeight="1" x14ac:dyDescent="0.25">
      <c r="A10" s="19" t="s">
        <v>476</v>
      </c>
      <c r="B10" s="20" t="s">
        <v>130</v>
      </c>
      <c r="C10" s="20" t="s">
        <v>159</v>
      </c>
      <c r="D10" s="20">
        <v>2011</v>
      </c>
      <c r="E10" s="20" t="s">
        <v>133</v>
      </c>
      <c r="F10" s="20" t="s">
        <v>136</v>
      </c>
      <c r="G10" s="20" t="s">
        <v>277</v>
      </c>
      <c r="H10" s="110" t="s">
        <v>385</v>
      </c>
      <c r="I10" s="20" t="s">
        <v>25</v>
      </c>
      <c r="J10" s="20">
        <f t="shared" si="0"/>
        <v>23</v>
      </c>
      <c r="K10" s="20">
        <v>23</v>
      </c>
      <c r="L10" s="455"/>
      <c r="M10" s="110" t="s">
        <v>885</v>
      </c>
    </row>
    <row r="11" spans="1:13" s="31" customFormat="1" ht="107.25" customHeight="1" x14ac:dyDescent="0.25">
      <c r="A11" s="52" t="s">
        <v>92</v>
      </c>
      <c r="B11" s="20" t="s">
        <v>53</v>
      </c>
      <c r="C11" s="20" t="s">
        <v>159</v>
      </c>
      <c r="D11" s="20">
        <v>2012</v>
      </c>
      <c r="E11" s="20" t="s">
        <v>102</v>
      </c>
      <c r="F11" s="20" t="s">
        <v>40</v>
      </c>
      <c r="G11" s="20" t="s">
        <v>276</v>
      </c>
      <c r="H11" s="20" t="s">
        <v>643</v>
      </c>
      <c r="I11" s="20" t="s">
        <v>26</v>
      </c>
      <c r="J11" s="20">
        <f t="shared" si="0"/>
        <v>14</v>
      </c>
      <c r="K11" s="21"/>
      <c r="L11" s="20">
        <v>14</v>
      </c>
      <c r="M11" s="110" t="s">
        <v>885</v>
      </c>
    </row>
    <row r="12" spans="1:13" s="31" customFormat="1" ht="107.25" customHeight="1" x14ac:dyDescent="0.25">
      <c r="A12" s="52" t="s">
        <v>99</v>
      </c>
      <c r="B12" s="20" t="s">
        <v>44</v>
      </c>
      <c r="C12" s="20" t="s">
        <v>158</v>
      </c>
      <c r="D12" s="20">
        <v>2012</v>
      </c>
      <c r="E12" s="20" t="s">
        <v>111</v>
      </c>
      <c r="F12" s="20" t="s">
        <v>630</v>
      </c>
      <c r="G12" s="20" t="s">
        <v>273</v>
      </c>
      <c r="H12" s="20" t="s">
        <v>243</v>
      </c>
      <c r="I12" s="20" t="s">
        <v>26</v>
      </c>
      <c r="J12" s="20">
        <f t="shared" si="0"/>
        <v>22</v>
      </c>
      <c r="K12" s="21"/>
      <c r="L12" s="20">
        <v>22</v>
      </c>
      <c r="M12" s="110" t="s">
        <v>885</v>
      </c>
    </row>
    <row r="13" spans="1:13" s="31" customFormat="1" ht="39.950000000000003" customHeight="1" x14ac:dyDescent="0.25">
      <c r="A13" s="52" t="s">
        <v>93</v>
      </c>
      <c r="B13" s="20" t="s">
        <v>101</v>
      </c>
      <c r="C13" s="20" t="s">
        <v>159</v>
      </c>
      <c r="D13" s="20">
        <v>2012</v>
      </c>
      <c r="E13" s="20" t="s">
        <v>103</v>
      </c>
      <c r="F13" s="20" t="s">
        <v>74</v>
      </c>
      <c r="G13" s="20" t="s">
        <v>719</v>
      </c>
      <c r="H13" s="20" t="s">
        <v>643</v>
      </c>
      <c r="I13" s="20" t="s">
        <v>26</v>
      </c>
      <c r="J13" s="20">
        <f t="shared" si="0"/>
        <v>7</v>
      </c>
      <c r="K13" s="21"/>
      <c r="L13" s="20">
        <v>7</v>
      </c>
      <c r="M13" s="110" t="s">
        <v>885</v>
      </c>
    </row>
    <row r="14" spans="1:13" s="31" customFormat="1" ht="49.5" customHeight="1" x14ac:dyDescent="0.25">
      <c r="A14" s="141" t="s">
        <v>700</v>
      </c>
      <c r="B14" s="20" t="s">
        <v>46</v>
      </c>
      <c r="C14" s="20" t="s">
        <v>157</v>
      </c>
      <c r="D14" s="20">
        <v>2012</v>
      </c>
      <c r="E14" s="20" t="s">
        <v>104</v>
      </c>
      <c r="F14" s="20" t="s">
        <v>40</v>
      </c>
      <c r="G14" s="20" t="s">
        <v>277</v>
      </c>
      <c r="H14" s="20" t="s">
        <v>243</v>
      </c>
      <c r="I14" s="20" t="s">
        <v>26</v>
      </c>
      <c r="J14" s="20">
        <f t="shared" si="0"/>
        <v>40</v>
      </c>
      <c r="K14" s="21"/>
      <c r="L14" s="20">
        <v>40</v>
      </c>
      <c r="M14" s="110" t="s">
        <v>885</v>
      </c>
    </row>
    <row r="15" spans="1:13" s="31" customFormat="1" ht="51" customHeight="1" x14ac:dyDescent="0.25">
      <c r="A15" s="141" t="s">
        <v>510</v>
      </c>
      <c r="B15" s="20" t="s">
        <v>46</v>
      </c>
      <c r="C15" s="20" t="s">
        <v>157</v>
      </c>
      <c r="D15" s="20">
        <v>2012</v>
      </c>
      <c r="E15" s="20" t="s">
        <v>107</v>
      </c>
      <c r="F15" s="20" t="s">
        <v>113</v>
      </c>
      <c r="G15" s="20" t="s">
        <v>439</v>
      </c>
      <c r="H15" s="20" t="s">
        <v>243</v>
      </c>
      <c r="I15" s="20" t="s">
        <v>26</v>
      </c>
      <c r="J15" s="20">
        <f t="shared" si="0"/>
        <v>75</v>
      </c>
      <c r="K15" s="21"/>
      <c r="L15" s="20">
        <v>75</v>
      </c>
      <c r="M15" s="110" t="s">
        <v>885</v>
      </c>
    </row>
    <row r="16" spans="1:13" s="31" customFormat="1" ht="162.75" customHeight="1" x14ac:dyDescent="0.25">
      <c r="A16" s="52" t="s">
        <v>639</v>
      </c>
      <c r="B16" s="20" t="s">
        <v>46</v>
      </c>
      <c r="C16" s="20" t="s">
        <v>157</v>
      </c>
      <c r="D16" s="20">
        <v>2013</v>
      </c>
      <c r="E16" s="20" t="s">
        <v>73</v>
      </c>
      <c r="F16" s="20" t="s">
        <v>412</v>
      </c>
      <c r="G16" s="20" t="s">
        <v>277</v>
      </c>
      <c r="H16" s="20" t="s">
        <v>244</v>
      </c>
      <c r="I16" s="20" t="s">
        <v>26</v>
      </c>
      <c r="J16" s="20">
        <f t="shared" si="0"/>
        <v>9</v>
      </c>
      <c r="K16" s="21"/>
      <c r="L16" s="20">
        <v>9</v>
      </c>
      <c r="M16" s="110" t="s">
        <v>885</v>
      </c>
    </row>
    <row r="17" spans="1:13" s="31" customFormat="1" ht="39.950000000000003" customHeight="1" x14ac:dyDescent="0.25">
      <c r="A17" s="52" t="s">
        <v>98</v>
      </c>
      <c r="B17" s="20" t="s">
        <v>44</v>
      </c>
      <c r="C17" s="20" t="s">
        <v>158</v>
      </c>
      <c r="D17" s="20">
        <v>2012</v>
      </c>
      <c r="E17" s="20" t="s">
        <v>110</v>
      </c>
      <c r="F17" s="20" t="s">
        <v>74</v>
      </c>
      <c r="G17" s="20" t="s">
        <v>719</v>
      </c>
      <c r="H17" s="20" t="s">
        <v>244</v>
      </c>
      <c r="I17" s="20" t="s">
        <v>26</v>
      </c>
      <c r="J17" s="20">
        <f t="shared" si="0"/>
        <v>24</v>
      </c>
      <c r="K17" s="21"/>
      <c r="L17" s="20">
        <v>24</v>
      </c>
      <c r="M17" s="110" t="s">
        <v>885</v>
      </c>
    </row>
    <row r="18" spans="1:13" s="31" customFormat="1" ht="57.2" customHeight="1" x14ac:dyDescent="0.25">
      <c r="A18" s="141" t="s">
        <v>640</v>
      </c>
      <c r="B18" s="20" t="s">
        <v>46</v>
      </c>
      <c r="C18" s="20" t="s">
        <v>157</v>
      </c>
      <c r="D18" s="20">
        <v>2012</v>
      </c>
      <c r="E18" s="20" t="s">
        <v>109</v>
      </c>
      <c r="F18" s="20" t="s">
        <v>638</v>
      </c>
      <c r="G18" s="20" t="s">
        <v>719</v>
      </c>
      <c r="H18" s="20" t="s">
        <v>244</v>
      </c>
      <c r="I18" s="20" t="s">
        <v>26</v>
      </c>
      <c r="J18" s="20">
        <f t="shared" si="0"/>
        <v>17</v>
      </c>
      <c r="K18" s="21"/>
      <c r="L18" s="20">
        <v>17</v>
      </c>
      <c r="M18" s="110" t="s">
        <v>885</v>
      </c>
    </row>
    <row r="19" spans="1:13" s="31" customFormat="1" ht="74.849999999999994" customHeight="1" x14ac:dyDescent="0.25">
      <c r="A19" s="52" t="s">
        <v>432</v>
      </c>
      <c r="B19" s="20" t="s">
        <v>44</v>
      </c>
      <c r="C19" s="20" t="s">
        <v>158</v>
      </c>
      <c r="D19" s="20">
        <v>2012</v>
      </c>
      <c r="E19" s="20" t="s">
        <v>112</v>
      </c>
      <c r="F19" s="20" t="s">
        <v>74</v>
      </c>
      <c r="G19" s="20" t="s">
        <v>719</v>
      </c>
      <c r="H19" s="20" t="s">
        <v>243</v>
      </c>
      <c r="I19" s="20" t="s">
        <v>26</v>
      </c>
      <c r="J19" s="20">
        <f t="shared" si="0"/>
        <v>10</v>
      </c>
      <c r="K19" s="21"/>
      <c r="L19" s="20">
        <v>10</v>
      </c>
      <c r="M19" s="110" t="s">
        <v>885</v>
      </c>
    </row>
    <row r="20" spans="1:13" s="31" customFormat="1" ht="276" customHeight="1" x14ac:dyDescent="0.25">
      <c r="A20" s="52" t="s">
        <v>114</v>
      </c>
      <c r="B20" s="20" t="s">
        <v>46</v>
      </c>
      <c r="C20" s="20" t="s">
        <v>157</v>
      </c>
      <c r="D20" s="20">
        <v>2012</v>
      </c>
      <c r="E20" s="20" t="s">
        <v>105</v>
      </c>
      <c r="F20" s="20" t="s">
        <v>48</v>
      </c>
      <c r="G20" s="20" t="s">
        <v>276</v>
      </c>
      <c r="H20" s="20" t="s">
        <v>243</v>
      </c>
      <c r="I20" s="20" t="s">
        <v>25</v>
      </c>
      <c r="J20" s="20">
        <f t="shared" si="0"/>
        <v>29</v>
      </c>
      <c r="K20" s="20">
        <v>29</v>
      </c>
      <c r="L20" s="21"/>
      <c r="M20" s="110" t="s">
        <v>885</v>
      </c>
    </row>
    <row r="21" spans="1:13" s="31" customFormat="1" ht="296.25" customHeight="1" x14ac:dyDescent="0.25">
      <c r="A21" s="52" t="s">
        <v>115</v>
      </c>
      <c r="B21" s="20" t="s">
        <v>46</v>
      </c>
      <c r="C21" s="20" t="s">
        <v>157</v>
      </c>
      <c r="D21" s="20">
        <v>2012</v>
      </c>
      <c r="E21" s="20" t="s">
        <v>105</v>
      </c>
      <c r="F21" s="20" t="s">
        <v>48</v>
      </c>
      <c r="G21" s="20" t="s">
        <v>276</v>
      </c>
      <c r="H21" s="20" t="s">
        <v>243</v>
      </c>
      <c r="I21" s="20" t="s">
        <v>26</v>
      </c>
      <c r="J21" s="20">
        <f t="shared" si="0"/>
        <v>13</v>
      </c>
      <c r="K21" s="21"/>
      <c r="L21" s="20">
        <v>13</v>
      </c>
      <c r="M21" s="110" t="s">
        <v>885</v>
      </c>
    </row>
    <row r="22" spans="1:13" s="31" customFormat="1" ht="58.5" customHeight="1" x14ac:dyDescent="0.25">
      <c r="A22" s="52" t="s">
        <v>95</v>
      </c>
      <c r="B22" s="20" t="s">
        <v>46</v>
      </c>
      <c r="C22" s="20" t="s">
        <v>157</v>
      </c>
      <c r="D22" s="20">
        <v>2012</v>
      </c>
      <c r="E22" s="20" t="s">
        <v>106</v>
      </c>
      <c r="F22" s="20"/>
      <c r="G22" s="20" t="s">
        <v>278</v>
      </c>
      <c r="H22" s="20" t="s">
        <v>643</v>
      </c>
      <c r="I22" s="20" t="s">
        <v>25</v>
      </c>
      <c r="J22" s="20">
        <f t="shared" si="0"/>
        <v>84</v>
      </c>
      <c r="K22" s="20">
        <v>84</v>
      </c>
      <c r="L22" s="21"/>
      <c r="M22" s="20"/>
    </row>
    <row r="23" spans="1:13" s="31" customFormat="1" ht="264.75" customHeight="1" x14ac:dyDescent="0.25">
      <c r="A23" s="52" t="s">
        <v>192</v>
      </c>
      <c r="B23" s="20" t="s">
        <v>54</v>
      </c>
      <c r="C23" s="20" t="s">
        <v>158</v>
      </c>
      <c r="D23" s="20">
        <v>2013</v>
      </c>
      <c r="E23" s="20" t="s">
        <v>55</v>
      </c>
      <c r="F23" s="20" t="s">
        <v>637</v>
      </c>
      <c r="G23" s="20" t="s">
        <v>278</v>
      </c>
      <c r="H23" s="20" t="s">
        <v>244</v>
      </c>
      <c r="I23" s="20" t="s">
        <v>26</v>
      </c>
      <c r="J23" s="20">
        <f t="shared" si="0"/>
        <v>24</v>
      </c>
      <c r="K23" s="21"/>
      <c r="L23" s="20">
        <v>24</v>
      </c>
      <c r="M23" s="110" t="s">
        <v>885</v>
      </c>
    </row>
    <row r="24" spans="1:13" s="31" customFormat="1" ht="183.75" customHeight="1" x14ac:dyDescent="0.25">
      <c r="A24" s="141" t="s">
        <v>97</v>
      </c>
      <c r="B24" s="20" t="s">
        <v>46</v>
      </c>
      <c r="C24" s="20" t="s">
        <v>157</v>
      </c>
      <c r="D24" s="20">
        <v>2012</v>
      </c>
      <c r="E24" s="20" t="s">
        <v>108</v>
      </c>
      <c r="F24" s="20" t="s">
        <v>637</v>
      </c>
      <c r="G24" s="20" t="s">
        <v>273</v>
      </c>
      <c r="H24" s="20" t="s">
        <v>244</v>
      </c>
      <c r="I24" s="20" t="s">
        <v>26</v>
      </c>
      <c r="J24" s="20">
        <f t="shared" si="0"/>
        <v>65</v>
      </c>
      <c r="K24" s="21"/>
      <c r="L24" s="20">
        <v>65</v>
      </c>
      <c r="M24" s="110" t="s">
        <v>885</v>
      </c>
    </row>
    <row r="25" spans="1:13" ht="202.5" customHeight="1" x14ac:dyDescent="0.25">
      <c r="A25" s="141" t="s">
        <v>811</v>
      </c>
      <c r="B25" s="20" t="s">
        <v>38</v>
      </c>
      <c r="C25" s="20" t="s">
        <v>157</v>
      </c>
      <c r="D25" s="20">
        <v>2013</v>
      </c>
      <c r="E25" s="20" t="s">
        <v>68</v>
      </c>
      <c r="F25" s="20" t="s">
        <v>74</v>
      </c>
      <c r="G25" s="20" t="s">
        <v>277</v>
      </c>
      <c r="H25" s="20" t="s">
        <v>244</v>
      </c>
      <c r="I25" s="20" t="s">
        <v>26</v>
      </c>
      <c r="J25" s="20">
        <f t="shared" si="0"/>
        <v>34</v>
      </c>
      <c r="K25" s="21"/>
      <c r="L25" s="20">
        <v>34</v>
      </c>
      <c r="M25" s="20" t="s">
        <v>885</v>
      </c>
    </row>
    <row r="26" spans="1:13" ht="199.5" customHeight="1" x14ac:dyDescent="0.25">
      <c r="A26" s="52" t="s">
        <v>58</v>
      </c>
      <c r="B26" s="20" t="s">
        <v>59</v>
      </c>
      <c r="C26" s="20" t="s">
        <v>157</v>
      </c>
      <c r="D26" s="20">
        <v>2013</v>
      </c>
      <c r="E26" s="20" t="s">
        <v>60</v>
      </c>
      <c r="F26" s="20" t="s">
        <v>412</v>
      </c>
      <c r="G26" s="554" t="s">
        <v>273</v>
      </c>
      <c r="H26" s="20" t="s">
        <v>244</v>
      </c>
      <c r="I26" s="20" t="s">
        <v>26</v>
      </c>
      <c r="J26" s="20">
        <f t="shared" si="0"/>
        <v>18</v>
      </c>
      <c r="K26" s="21"/>
      <c r="L26" s="20">
        <v>18</v>
      </c>
      <c r="M26" s="110" t="s">
        <v>885</v>
      </c>
    </row>
    <row r="27" spans="1:13" ht="33.75" customHeight="1" x14ac:dyDescent="0.25">
      <c r="A27" s="52" t="s">
        <v>69</v>
      </c>
      <c r="B27" s="20" t="s">
        <v>38</v>
      </c>
      <c r="C27" s="20" t="s">
        <v>157</v>
      </c>
      <c r="D27" s="20">
        <v>2013</v>
      </c>
      <c r="E27" s="20" t="s">
        <v>70</v>
      </c>
      <c r="F27" s="20" t="s">
        <v>40</v>
      </c>
      <c r="G27" s="20" t="s">
        <v>273</v>
      </c>
      <c r="H27" s="20" t="s">
        <v>244</v>
      </c>
      <c r="I27" s="20" t="s">
        <v>26</v>
      </c>
      <c r="J27" s="20">
        <f t="shared" si="0"/>
        <v>15</v>
      </c>
      <c r="K27" s="21"/>
      <c r="L27" s="20">
        <v>15</v>
      </c>
      <c r="M27" s="110" t="s">
        <v>885</v>
      </c>
    </row>
    <row r="28" spans="1:13" ht="228" customHeight="1" x14ac:dyDescent="0.25">
      <c r="A28" s="52" t="s">
        <v>51</v>
      </c>
      <c r="B28" s="20" t="s">
        <v>46</v>
      </c>
      <c r="C28" s="20" t="s">
        <v>157</v>
      </c>
      <c r="D28" s="20">
        <v>2013</v>
      </c>
      <c r="E28" s="20" t="s">
        <v>52</v>
      </c>
      <c r="F28" s="20" t="s">
        <v>74</v>
      </c>
      <c r="G28" s="20" t="s">
        <v>273</v>
      </c>
      <c r="H28" s="20" t="s">
        <v>244</v>
      </c>
      <c r="I28" s="20" t="s">
        <v>25</v>
      </c>
      <c r="J28" s="20">
        <f t="shared" si="0"/>
        <v>54</v>
      </c>
      <c r="K28" s="20">
        <v>54</v>
      </c>
      <c r="L28" s="21"/>
      <c r="M28" s="110" t="s">
        <v>885</v>
      </c>
    </row>
    <row r="29" spans="1:13" s="119" customFormat="1" ht="139.5" customHeight="1" x14ac:dyDescent="0.25">
      <c r="A29" s="141" t="s">
        <v>641</v>
      </c>
      <c r="B29" s="20" t="s">
        <v>46</v>
      </c>
      <c r="C29" s="20" t="s">
        <v>157</v>
      </c>
      <c r="D29" s="20">
        <v>2013</v>
      </c>
      <c r="E29" s="20" t="s">
        <v>47</v>
      </c>
      <c r="F29" s="20" t="s">
        <v>630</v>
      </c>
      <c r="G29" s="20" t="s">
        <v>276</v>
      </c>
      <c r="H29" s="20" t="s">
        <v>244</v>
      </c>
      <c r="I29" s="20" t="s">
        <v>25</v>
      </c>
      <c r="J29" s="20">
        <f t="shared" si="0"/>
        <v>44</v>
      </c>
      <c r="K29" s="20">
        <v>44</v>
      </c>
      <c r="L29" s="21"/>
      <c r="M29" s="110" t="s">
        <v>885</v>
      </c>
    </row>
    <row r="30" spans="1:13" s="53" customFormat="1" ht="123" customHeight="1" x14ac:dyDescent="0.25">
      <c r="A30" s="141" t="s">
        <v>433</v>
      </c>
      <c r="B30" s="20" t="s">
        <v>53</v>
      </c>
      <c r="C30" s="20" t="s">
        <v>159</v>
      </c>
      <c r="D30" s="47">
        <v>2014</v>
      </c>
      <c r="E30" s="20" t="s">
        <v>223</v>
      </c>
      <c r="F30" s="47" t="s">
        <v>74</v>
      </c>
      <c r="G30" s="47" t="s">
        <v>273</v>
      </c>
      <c r="H30" s="47" t="s">
        <v>244</v>
      </c>
      <c r="I30" s="20" t="s">
        <v>26</v>
      </c>
      <c r="J30" s="20">
        <f>(K30+L30)</f>
        <v>16</v>
      </c>
      <c r="K30" s="21"/>
      <c r="L30" s="20">
        <v>16</v>
      </c>
      <c r="M30" s="561"/>
    </row>
    <row r="31" spans="1:13" ht="99.75" customHeight="1" x14ac:dyDescent="0.25">
      <c r="A31" s="141" t="s">
        <v>436</v>
      </c>
      <c r="B31" s="47" t="s">
        <v>53</v>
      </c>
      <c r="C31" s="47" t="s">
        <v>159</v>
      </c>
      <c r="D31" s="47">
        <v>2014</v>
      </c>
      <c r="E31" s="47" t="s">
        <v>220</v>
      </c>
      <c r="F31" s="47" t="s">
        <v>637</v>
      </c>
      <c r="G31" s="47" t="s">
        <v>278</v>
      </c>
      <c r="H31" s="20" t="s">
        <v>244</v>
      </c>
      <c r="I31" s="47" t="s">
        <v>25</v>
      </c>
      <c r="J31" s="47">
        <f>(K31+L31)</f>
        <v>9</v>
      </c>
      <c r="K31" s="47">
        <v>9</v>
      </c>
      <c r="L31" s="101"/>
      <c r="M31" s="562"/>
    </row>
    <row r="32" spans="1:13" ht="48.75" customHeight="1" x14ac:dyDescent="0.25">
      <c r="A32" s="52" t="s">
        <v>43</v>
      </c>
      <c r="B32" s="20" t="s">
        <v>41</v>
      </c>
      <c r="C32" s="20" t="s">
        <v>157</v>
      </c>
      <c r="D32" s="20">
        <v>2013</v>
      </c>
      <c r="E32" s="20" t="s">
        <v>42</v>
      </c>
      <c r="F32" s="20" t="s">
        <v>40</v>
      </c>
      <c r="G32" s="20" t="s">
        <v>719</v>
      </c>
      <c r="H32" s="20" t="s">
        <v>243</v>
      </c>
      <c r="I32" s="20" t="s">
        <v>26</v>
      </c>
      <c r="J32" s="20">
        <f>K32+L32</f>
        <v>14</v>
      </c>
      <c r="K32" s="21"/>
      <c r="L32" s="20">
        <v>14</v>
      </c>
      <c r="M32" s="110" t="s">
        <v>885</v>
      </c>
    </row>
    <row r="33" spans="1:13" ht="40.5" customHeight="1" x14ac:dyDescent="0.25">
      <c r="A33" s="52" t="s">
        <v>539</v>
      </c>
      <c r="B33" s="20" t="s">
        <v>44</v>
      </c>
      <c r="C33" s="20" t="s">
        <v>158</v>
      </c>
      <c r="D33" s="20">
        <v>2013</v>
      </c>
      <c r="E33" s="20" t="s">
        <v>65</v>
      </c>
      <c r="F33" s="20" t="s">
        <v>511</v>
      </c>
      <c r="G33" s="20" t="s">
        <v>719</v>
      </c>
      <c r="H33" s="20" t="s">
        <v>244</v>
      </c>
      <c r="I33" s="20" t="s">
        <v>25</v>
      </c>
      <c r="J33" s="20">
        <f>K33+L33</f>
        <v>37</v>
      </c>
      <c r="K33" s="20">
        <v>37</v>
      </c>
      <c r="L33" s="21"/>
      <c r="M33" s="110" t="s">
        <v>885</v>
      </c>
    </row>
    <row r="34" spans="1:13" ht="64.5" customHeight="1" x14ac:dyDescent="0.25">
      <c r="A34" s="52" t="s">
        <v>540</v>
      </c>
      <c r="B34" s="20" t="s">
        <v>44</v>
      </c>
      <c r="C34" s="20" t="s">
        <v>158</v>
      </c>
      <c r="D34" s="20">
        <v>2013</v>
      </c>
      <c r="E34" s="20" t="s">
        <v>65</v>
      </c>
      <c r="F34" s="20" t="s">
        <v>511</v>
      </c>
      <c r="G34" s="20" t="s">
        <v>719</v>
      </c>
      <c r="H34" s="20" t="s">
        <v>244</v>
      </c>
      <c r="I34" s="20" t="s">
        <v>26</v>
      </c>
      <c r="J34" s="20">
        <f>K34+L34</f>
        <v>44</v>
      </c>
      <c r="K34" s="21"/>
      <c r="L34" s="20">
        <v>44</v>
      </c>
      <c r="M34" s="110" t="s">
        <v>885</v>
      </c>
    </row>
    <row r="35" spans="1:13" ht="46.5" customHeight="1" x14ac:dyDescent="0.25">
      <c r="A35" s="537" t="s">
        <v>434</v>
      </c>
      <c r="B35" s="47" t="s">
        <v>53</v>
      </c>
      <c r="C35" s="47" t="s">
        <v>159</v>
      </c>
      <c r="D35" s="47">
        <v>2014</v>
      </c>
      <c r="E35" s="47" t="s">
        <v>216</v>
      </c>
      <c r="F35" s="47" t="s">
        <v>638</v>
      </c>
      <c r="G35" s="47" t="s">
        <v>277</v>
      </c>
      <c r="H35" s="47" t="s">
        <v>644</v>
      </c>
      <c r="I35" s="47" t="s">
        <v>25</v>
      </c>
      <c r="J35" s="47">
        <f>(K35+L35)</f>
        <v>30</v>
      </c>
      <c r="K35" s="47">
        <v>30</v>
      </c>
      <c r="L35" s="47"/>
      <c r="M35" s="47" t="s">
        <v>886</v>
      </c>
    </row>
    <row r="36" spans="1:13" ht="108.75" customHeight="1" x14ac:dyDescent="0.25">
      <c r="A36" s="535" t="s">
        <v>478</v>
      </c>
      <c r="B36" s="20" t="s">
        <v>53</v>
      </c>
      <c r="C36" s="20" t="s">
        <v>159</v>
      </c>
      <c r="D36" s="20">
        <v>2014</v>
      </c>
      <c r="E36" s="20" t="s">
        <v>215</v>
      </c>
      <c r="F36" s="20" t="s">
        <v>40</v>
      </c>
      <c r="G36" s="20" t="s">
        <v>278</v>
      </c>
      <c r="H36" s="47" t="s">
        <v>396</v>
      </c>
      <c r="I36" s="20" t="s">
        <v>26</v>
      </c>
      <c r="J36" s="20">
        <f>(K36+L36)</f>
        <v>30</v>
      </c>
      <c r="K36" s="21"/>
      <c r="L36" s="20">
        <v>30</v>
      </c>
      <c r="M36" s="47" t="s">
        <v>886</v>
      </c>
    </row>
    <row r="37" spans="1:13" ht="64.5" customHeight="1" x14ac:dyDescent="0.25">
      <c r="A37" s="535" t="s">
        <v>37</v>
      </c>
      <c r="B37" s="20" t="s">
        <v>38</v>
      </c>
      <c r="C37" s="20" t="s">
        <v>157</v>
      </c>
      <c r="D37" s="20">
        <v>2014</v>
      </c>
      <c r="E37" s="20" t="s">
        <v>39</v>
      </c>
      <c r="F37" s="20" t="s">
        <v>40</v>
      </c>
      <c r="G37" s="20" t="s">
        <v>719</v>
      </c>
      <c r="H37" s="20" t="s">
        <v>644</v>
      </c>
      <c r="I37" s="20" t="s">
        <v>26</v>
      </c>
      <c r="J37" s="20">
        <f>K37+L37</f>
        <v>21</v>
      </c>
      <c r="K37" s="21"/>
      <c r="L37" s="20">
        <f>21*1</f>
        <v>21</v>
      </c>
      <c r="M37" s="47" t="s">
        <v>886</v>
      </c>
    </row>
    <row r="38" spans="1:13" ht="138" customHeight="1" x14ac:dyDescent="0.25">
      <c r="A38" s="141" t="s">
        <v>301</v>
      </c>
      <c r="B38" s="20" t="s">
        <v>44</v>
      </c>
      <c r="C38" s="20" t="s">
        <v>158</v>
      </c>
      <c r="D38" s="47">
        <v>2014</v>
      </c>
      <c r="E38" s="20"/>
      <c r="F38" s="47"/>
      <c r="G38" s="47"/>
      <c r="H38" s="47" t="s">
        <v>318</v>
      </c>
      <c r="I38" s="20" t="s">
        <v>26</v>
      </c>
      <c r="J38" s="20">
        <f>K38+L38</f>
        <v>0</v>
      </c>
      <c r="K38" s="21"/>
      <c r="L38" s="20">
        <f>32*0</f>
        <v>0</v>
      </c>
      <c r="M38" s="47" t="s">
        <v>886</v>
      </c>
    </row>
    <row r="39" spans="1:13" ht="101.85" customHeight="1" x14ac:dyDescent="0.25">
      <c r="A39" s="141" t="s">
        <v>409</v>
      </c>
      <c r="B39" s="47" t="s">
        <v>46</v>
      </c>
      <c r="C39" s="47" t="s">
        <v>157</v>
      </c>
      <c r="D39" s="47">
        <v>2014</v>
      </c>
      <c r="E39" s="47" t="s">
        <v>315</v>
      </c>
      <c r="F39" s="47" t="s">
        <v>638</v>
      </c>
      <c r="G39" s="47" t="s">
        <v>719</v>
      </c>
      <c r="H39" s="47" t="s">
        <v>244</v>
      </c>
      <c r="I39" s="47" t="s">
        <v>26</v>
      </c>
      <c r="J39" s="47">
        <f>(K39+L39)</f>
        <v>47</v>
      </c>
      <c r="K39" s="101"/>
      <c r="L39" s="47">
        <v>47</v>
      </c>
      <c r="M39" s="20" t="s">
        <v>885</v>
      </c>
    </row>
    <row r="40" spans="1:13" ht="57.75" customHeight="1" x14ac:dyDescent="0.25">
      <c r="A40" s="143" t="s">
        <v>358</v>
      </c>
      <c r="B40" s="20" t="s">
        <v>46</v>
      </c>
      <c r="C40" s="20" t="s">
        <v>157</v>
      </c>
      <c r="D40" s="20">
        <v>2014</v>
      </c>
      <c r="E40" s="20" t="s">
        <v>529</v>
      </c>
      <c r="F40" s="20" t="s">
        <v>74</v>
      </c>
      <c r="G40" s="20" t="s">
        <v>273</v>
      </c>
      <c r="H40" s="20" t="s">
        <v>244</v>
      </c>
      <c r="I40" s="20" t="s">
        <v>26</v>
      </c>
      <c r="J40" s="20">
        <f>K40+L40</f>
        <v>50</v>
      </c>
      <c r="K40" s="21"/>
      <c r="L40" s="20">
        <v>50</v>
      </c>
      <c r="M40" s="20" t="s">
        <v>885</v>
      </c>
    </row>
    <row r="41" spans="1:13" ht="58.7" customHeight="1" x14ac:dyDescent="0.25">
      <c r="A41" s="52" t="s">
        <v>542</v>
      </c>
      <c r="B41" s="20" t="s">
        <v>62</v>
      </c>
      <c r="C41" s="20" t="s">
        <v>158</v>
      </c>
      <c r="D41" s="20">
        <v>2013</v>
      </c>
      <c r="E41" s="20" t="s">
        <v>63</v>
      </c>
      <c r="F41" s="20" t="s">
        <v>511</v>
      </c>
      <c r="G41" s="20" t="s">
        <v>275</v>
      </c>
      <c r="H41" s="20" t="s">
        <v>244</v>
      </c>
      <c r="I41" s="20" t="s">
        <v>25</v>
      </c>
      <c r="J41" s="20">
        <f>K41+L41</f>
        <v>27</v>
      </c>
      <c r="K41" s="20">
        <v>27</v>
      </c>
      <c r="L41" s="21"/>
      <c r="M41" s="20" t="s">
        <v>885</v>
      </c>
    </row>
    <row r="42" spans="1:13" ht="70.7" customHeight="1" x14ac:dyDescent="0.25">
      <c r="A42" s="52" t="s">
        <v>541</v>
      </c>
      <c r="B42" s="20" t="s">
        <v>62</v>
      </c>
      <c r="C42" s="20" t="s">
        <v>158</v>
      </c>
      <c r="D42" s="20">
        <v>2013</v>
      </c>
      <c r="E42" s="20" t="s">
        <v>63</v>
      </c>
      <c r="F42" s="20" t="s">
        <v>511</v>
      </c>
      <c r="G42" s="20" t="s">
        <v>275</v>
      </c>
      <c r="H42" s="20" t="s">
        <v>244</v>
      </c>
      <c r="I42" s="20" t="s">
        <v>26</v>
      </c>
      <c r="J42" s="20">
        <f>K42+L42</f>
        <v>83</v>
      </c>
      <c r="K42" s="21"/>
      <c r="L42" s="20">
        <v>83</v>
      </c>
      <c r="M42" s="20" t="s">
        <v>885</v>
      </c>
    </row>
    <row r="43" spans="1:13" ht="29.25" customHeight="1" x14ac:dyDescent="0.25">
      <c r="A43" s="534" t="s">
        <v>573</v>
      </c>
      <c r="B43" s="20" t="s">
        <v>217</v>
      </c>
      <c r="C43" s="20" t="s">
        <v>159</v>
      </c>
      <c r="D43" s="20">
        <v>2015</v>
      </c>
      <c r="E43" s="20" t="s">
        <v>386</v>
      </c>
      <c r="F43" s="20" t="s">
        <v>630</v>
      </c>
      <c r="G43" s="20" t="s">
        <v>273</v>
      </c>
      <c r="H43" s="20" t="s">
        <v>246</v>
      </c>
      <c r="I43" s="47" t="s">
        <v>25</v>
      </c>
      <c r="J43" s="20">
        <v>46</v>
      </c>
      <c r="K43" s="20">
        <v>46</v>
      </c>
      <c r="L43" s="21"/>
      <c r="M43" s="47" t="s">
        <v>886</v>
      </c>
    </row>
    <row r="44" spans="1:13" ht="39.950000000000003" customHeight="1" x14ac:dyDescent="0.25">
      <c r="A44" s="534" t="s">
        <v>573</v>
      </c>
      <c r="B44" s="20" t="s">
        <v>217</v>
      </c>
      <c r="C44" s="20" t="s">
        <v>159</v>
      </c>
      <c r="D44" s="20">
        <v>2015</v>
      </c>
      <c r="E44" s="20" t="s">
        <v>386</v>
      </c>
      <c r="F44" s="20" t="s">
        <v>630</v>
      </c>
      <c r="G44" s="20" t="s">
        <v>273</v>
      </c>
      <c r="H44" s="20" t="s">
        <v>246</v>
      </c>
      <c r="I44" s="47" t="s">
        <v>26</v>
      </c>
      <c r="J44" s="20">
        <f>(K44+L44)</f>
        <v>12</v>
      </c>
      <c r="K44" s="21"/>
      <c r="L44" s="20">
        <v>12</v>
      </c>
      <c r="M44" s="47" t="s">
        <v>886</v>
      </c>
    </row>
    <row r="45" spans="1:13" s="63" customFormat="1" ht="62.25" customHeight="1" x14ac:dyDescent="0.25">
      <c r="A45" s="538" t="s">
        <v>690</v>
      </c>
      <c r="B45" s="20" t="s">
        <v>46</v>
      </c>
      <c r="C45" s="20" t="s">
        <v>157</v>
      </c>
      <c r="D45" s="20">
        <v>2015</v>
      </c>
      <c r="E45" s="20" t="s">
        <v>388</v>
      </c>
      <c r="F45" s="20" t="s">
        <v>511</v>
      </c>
      <c r="G45" s="20" t="s">
        <v>719</v>
      </c>
      <c r="H45" s="20" t="s">
        <v>246</v>
      </c>
      <c r="I45" s="47" t="s">
        <v>25</v>
      </c>
      <c r="J45" s="20">
        <f>(K45+L45)</f>
        <v>20</v>
      </c>
      <c r="K45" s="20">
        <v>20</v>
      </c>
      <c r="L45" s="21"/>
      <c r="M45" s="47" t="s">
        <v>886</v>
      </c>
    </row>
    <row r="46" spans="1:13" ht="149.25" customHeight="1" x14ac:dyDescent="0.25">
      <c r="A46" s="20" t="s">
        <v>382</v>
      </c>
      <c r="B46" s="20" t="s">
        <v>53</v>
      </c>
      <c r="C46" s="20" t="s">
        <v>159</v>
      </c>
      <c r="D46" s="20">
        <v>2015</v>
      </c>
      <c r="E46" s="20" t="s">
        <v>387</v>
      </c>
      <c r="F46" s="20" t="s">
        <v>412</v>
      </c>
      <c r="G46" s="20" t="s">
        <v>278</v>
      </c>
      <c r="H46" s="20" t="s">
        <v>246</v>
      </c>
      <c r="I46" s="47" t="s">
        <v>26</v>
      </c>
      <c r="J46" s="20">
        <f>(K46+L46)</f>
        <v>18</v>
      </c>
      <c r="K46" s="21"/>
      <c r="L46" s="20">
        <v>18</v>
      </c>
      <c r="M46" s="47" t="s">
        <v>886</v>
      </c>
    </row>
    <row r="47" spans="1:13" s="84" customFormat="1" ht="112.5" customHeight="1" x14ac:dyDescent="0.25">
      <c r="A47" s="536" t="s">
        <v>404</v>
      </c>
      <c r="B47" s="20" t="s">
        <v>38</v>
      </c>
      <c r="C47" s="20" t="s">
        <v>157</v>
      </c>
      <c r="D47" s="20">
        <v>2015</v>
      </c>
      <c r="E47" s="20" t="s">
        <v>365</v>
      </c>
      <c r="F47" s="20" t="s">
        <v>511</v>
      </c>
      <c r="G47" s="20" t="s">
        <v>719</v>
      </c>
      <c r="H47" s="20" t="s">
        <v>246</v>
      </c>
      <c r="I47" s="47" t="s">
        <v>26</v>
      </c>
      <c r="J47" s="20">
        <f>(K47+L47)</f>
        <v>20</v>
      </c>
      <c r="K47" s="21"/>
      <c r="L47" s="20">
        <v>20</v>
      </c>
      <c r="M47" s="47" t="s">
        <v>886</v>
      </c>
    </row>
    <row r="48" spans="1:13" s="84" customFormat="1" ht="81.599999999999994" customHeight="1" x14ac:dyDescent="0.25">
      <c r="A48" s="536" t="s">
        <v>691</v>
      </c>
      <c r="B48" s="110" t="s">
        <v>62</v>
      </c>
      <c r="C48" s="110" t="s">
        <v>158</v>
      </c>
      <c r="D48" s="110">
        <v>2015</v>
      </c>
      <c r="E48" s="110" t="s">
        <v>389</v>
      </c>
      <c r="F48" s="110" t="s">
        <v>511</v>
      </c>
      <c r="G48" s="110" t="s">
        <v>278</v>
      </c>
      <c r="H48" s="112" t="s">
        <v>644</v>
      </c>
      <c r="I48" s="111" t="s">
        <v>26</v>
      </c>
      <c r="J48" s="20">
        <f>L48</f>
        <v>18</v>
      </c>
      <c r="K48" s="121"/>
      <c r="L48" s="110">
        <v>18</v>
      </c>
      <c r="M48" s="47" t="s">
        <v>886</v>
      </c>
    </row>
    <row r="49" spans="1:13" ht="57" customHeight="1" x14ac:dyDescent="0.25">
      <c r="A49" s="553" t="s">
        <v>407</v>
      </c>
      <c r="B49" s="47" t="s">
        <v>41</v>
      </c>
      <c r="C49" s="47" t="s">
        <v>157</v>
      </c>
      <c r="D49" s="47">
        <v>2015</v>
      </c>
      <c r="E49" s="47" t="s">
        <v>390</v>
      </c>
      <c r="F49" s="47" t="s">
        <v>40</v>
      </c>
      <c r="G49" s="47" t="s">
        <v>277</v>
      </c>
      <c r="H49" s="47" t="s">
        <v>246</v>
      </c>
      <c r="I49" s="47" t="s">
        <v>26</v>
      </c>
      <c r="J49" s="20">
        <f>(K49+L49)</f>
        <v>19</v>
      </c>
      <c r="K49" s="101"/>
      <c r="L49" s="47">
        <v>19</v>
      </c>
      <c r="M49" s="47" t="s">
        <v>886</v>
      </c>
    </row>
    <row r="50" spans="1:13" ht="61.5" customHeight="1" x14ac:dyDescent="0.25">
      <c r="A50" s="553" t="s">
        <v>784</v>
      </c>
      <c r="B50" s="20" t="s">
        <v>38</v>
      </c>
      <c r="C50" s="20" t="s">
        <v>157</v>
      </c>
      <c r="D50" s="20">
        <v>2015</v>
      </c>
      <c r="E50" s="20"/>
      <c r="F50" s="20" t="s">
        <v>40</v>
      </c>
      <c r="G50" s="20" t="s">
        <v>273</v>
      </c>
      <c r="H50" s="110" t="s">
        <v>644</v>
      </c>
      <c r="I50" s="47" t="s">
        <v>26</v>
      </c>
      <c r="J50" s="20">
        <f>(K50+L50)</f>
        <v>55</v>
      </c>
      <c r="K50" s="21"/>
      <c r="L50" s="20">
        <f>55*1</f>
        <v>55</v>
      </c>
      <c r="M50" s="47" t="s">
        <v>886</v>
      </c>
    </row>
    <row r="51" spans="1:13" s="84" customFormat="1" ht="30" customHeight="1" x14ac:dyDescent="0.25">
      <c r="A51" s="19" t="s">
        <v>428</v>
      </c>
      <c r="B51" s="20" t="s">
        <v>398</v>
      </c>
      <c r="C51" s="20" t="s">
        <v>159</v>
      </c>
      <c r="D51" s="20">
        <v>2016</v>
      </c>
      <c r="E51" s="20"/>
      <c r="F51" s="20" t="s">
        <v>638</v>
      </c>
      <c r="G51" s="20" t="s">
        <v>278</v>
      </c>
      <c r="H51" s="20" t="s">
        <v>644</v>
      </c>
      <c r="I51" s="20" t="s">
        <v>26</v>
      </c>
      <c r="J51" s="20">
        <f>(K51+L51)</f>
        <v>23</v>
      </c>
      <c r="K51" s="21"/>
      <c r="L51" s="20">
        <v>23</v>
      </c>
      <c r="M51" s="47" t="s">
        <v>886</v>
      </c>
    </row>
    <row r="52" spans="1:13" s="84" customFormat="1" ht="30" customHeight="1" x14ac:dyDescent="0.25">
      <c r="A52" s="19" t="s">
        <v>450</v>
      </c>
      <c r="B52" s="20" t="s">
        <v>59</v>
      </c>
      <c r="C52" s="20" t="s">
        <v>157</v>
      </c>
      <c r="D52" s="20">
        <v>2016</v>
      </c>
      <c r="E52" s="20" t="s">
        <v>489</v>
      </c>
      <c r="F52" s="20" t="s">
        <v>511</v>
      </c>
      <c r="G52" s="20" t="s">
        <v>273</v>
      </c>
      <c r="H52" s="20" t="s">
        <v>611</v>
      </c>
      <c r="I52" s="20" t="s">
        <v>26</v>
      </c>
      <c r="J52" s="20">
        <f>(K52+L52)</f>
        <v>18</v>
      </c>
      <c r="K52" s="21"/>
      <c r="L52" s="20">
        <v>18</v>
      </c>
      <c r="M52" s="47" t="s">
        <v>886</v>
      </c>
    </row>
    <row r="53" spans="1:13" ht="30" customHeight="1" x14ac:dyDescent="0.25">
      <c r="A53" s="52" t="s">
        <v>449</v>
      </c>
      <c r="B53" s="20" t="s">
        <v>59</v>
      </c>
      <c r="C53" s="20" t="s">
        <v>157</v>
      </c>
      <c r="D53" s="20">
        <v>2016</v>
      </c>
      <c r="E53" s="20" t="s">
        <v>488</v>
      </c>
      <c r="F53" s="20" t="s">
        <v>511</v>
      </c>
      <c r="G53" s="20" t="s">
        <v>278</v>
      </c>
      <c r="H53" s="20" t="s">
        <v>611</v>
      </c>
      <c r="I53" s="20" t="s">
        <v>26</v>
      </c>
      <c r="J53" s="20">
        <f>(K53+L53)</f>
        <v>35</v>
      </c>
      <c r="K53" s="21"/>
      <c r="L53" s="20">
        <v>35</v>
      </c>
      <c r="M53" s="47" t="s">
        <v>886</v>
      </c>
    </row>
    <row r="54" spans="1:13" s="84" customFormat="1" ht="30" customHeight="1" x14ac:dyDescent="0.25">
      <c r="A54" s="52" t="s">
        <v>551</v>
      </c>
      <c r="B54" s="20" t="s">
        <v>101</v>
      </c>
      <c r="C54" s="20" t="s">
        <v>159</v>
      </c>
      <c r="D54" s="20">
        <v>2016</v>
      </c>
      <c r="E54" s="20" t="s">
        <v>448</v>
      </c>
      <c r="F54" s="20" t="s">
        <v>40</v>
      </c>
      <c r="G54" s="20" t="s">
        <v>273</v>
      </c>
      <c r="H54" s="20" t="s">
        <v>245</v>
      </c>
      <c r="I54" s="20" t="s">
        <v>26</v>
      </c>
      <c r="J54" s="20">
        <f>K54+L54</f>
        <v>28</v>
      </c>
      <c r="K54" s="21"/>
      <c r="L54" s="20">
        <v>28</v>
      </c>
      <c r="M54" s="47" t="s">
        <v>886</v>
      </c>
    </row>
    <row r="55" spans="1:13" ht="30" customHeight="1" x14ac:dyDescent="0.25">
      <c r="A55" s="146" t="s">
        <v>522</v>
      </c>
      <c r="B55" s="110" t="s">
        <v>38</v>
      </c>
      <c r="C55" s="110" t="s">
        <v>157</v>
      </c>
      <c r="D55" s="110">
        <v>2016</v>
      </c>
      <c r="E55" s="110" t="s">
        <v>427</v>
      </c>
      <c r="F55" s="110" t="s">
        <v>412</v>
      </c>
      <c r="G55" s="110" t="s">
        <v>719</v>
      </c>
      <c r="H55" s="110" t="s">
        <v>245</v>
      </c>
      <c r="I55" s="110" t="s">
        <v>26</v>
      </c>
      <c r="J55" s="20">
        <f>(K55+L55)</f>
        <v>40</v>
      </c>
      <c r="K55" s="121"/>
      <c r="L55" s="110">
        <v>40</v>
      </c>
      <c r="M55" s="47" t="s">
        <v>886</v>
      </c>
    </row>
    <row r="56" spans="1:13" ht="88.5" customHeight="1" x14ac:dyDescent="0.25">
      <c r="A56" s="444" t="s">
        <v>49</v>
      </c>
      <c r="B56" s="111" t="s">
        <v>44</v>
      </c>
      <c r="C56" s="111" t="s">
        <v>158</v>
      </c>
      <c r="D56" s="111">
        <v>2016</v>
      </c>
      <c r="E56" s="111" t="s">
        <v>50</v>
      </c>
      <c r="F56" s="111" t="s">
        <v>637</v>
      </c>
      <c r="G56" s="110" t="s">
        <v>278</v>
      </c>
      <c r="H56" s="111" t="s">
        <v>246</v>
      </c>
      <c r="I56" s="111" t="s">
        <v>26</v>
      </c>
      <c r="J56" s="47">
        <f>K56+L56</f>
        <v>14</v>
      </c>
      <c r="K56" s="121"/>
      <c r="L56" s="111">
        <v>14</v>
      </c>
      <c r="M56" s="47" t="s">
        <v>886</v>
      </c>
    </row>
    <row r="57" spans="1:13" ht="30" customHeight="1" x14ac:dyDescent="0.25">
      <c r="A57" s="146" t="s">
        <v>581</v>
      </c>
      <c r="B57" s="110" t="s">
        <v>46</v>
      </c>
      <c r="C57" s="110" t="s">
        <v>157</v>
      </c>
      <c r="D57" s="110">
        <v>2016</v>
      </c>
      <c r="E57" s="110" t="s">
        <v>388</v>
      </c>
      <c r="F57" s="110" t="s">
        <v>511</v>
      </c>
      <c r="G57" s="110" t="s">
        <v>719</v>
      </c>
      <c r="H57" s="110" t="s">
        <v>246</v>
      </c>
      <c r="I57" s="111" t="s">
        <v>26</v>
      </c>
      <c r="J57" s="110">
        <f>(K57+L57)</f>
        <v>69</v>
      </c>
      <c r="K57" s="121"/>
      <c r="L57" s="110">
        <v>69</v>
      </c>
      <c r="M57" s="47" t="s">
        <v>886</v>
      </c>
    </row>
    <row r="58" spans="1:13" ht="30" customHeight="1" x14ac:dyDescent="0.25">
      <c r="A58" s="146" t="s">
        <v>571</v>
      </c>
      <c r="B58" s="110" t="s">
        <v>46</v>
      </c>
      <c r="C58" s="110" t="s">
        <v>157</v>
      </c>
      <c r="D58" s="110">
        <v>2016</v>
      </c>
      <c r="E58" s="110" t="s">
        <v>447</v>
      </c>
      <c r="F58" s="110" t="s">
        <v>630</v>
      </c>
      <c r="G58" s="110" t="s">
        <v>278</v>
      </c>
      <c r="H58" s="110" t="s">
        <v>611</v>
      </c>
      <c r="I58" s="110" t="s">
        <v>26</v>
      </c>
      <c r="J58" s="20">
        <f>K58+L58</f>
        <v>22</v>
      </c>
      <c r="K58" s="121"/>
      <c r="L58" s="110">
        <v>22</v>
      </c>
      <c r="M58" s="47" t="s">
        <v>886</v>
      </c>
    </row>
    <row r="59" spans="1:13" ht="39.950000000000003" customHeight="1" x14ac:dyDescent="0.25">
      <c r="A59" s="146" t="s">
        <v>823</v>
      </c>
      <c r="B59" s="110" t="s">
        <v>824</v>
      </c>
      <c r="C59" s="110" t="s">
        <v>158</v>
      </c>
      <c r="D59" s="110">
        <v>2017</v>
      </c>
      <c r="E59" s="110"/>
      <c r="F59" s="110"/>
      <c r="G59" s="20"/>
      <c r="H59" s="110"/>
      <c r="I59" s="110" t="s">
        <v>25</v>
      </c>
      <c r="J59" s="20">
        <f>(K59+L59)</f>
        <v>55</v>
      </c>
      <c r="K59" s="110">
        <v>55</v>
      </c>
      <c r="L59" s="121"/>
      <c r="M59" s="47" t="s">
        <v>886</v>
      </c>
    </row>
    <row r="60" spans="1:13" ht="30" customHeight="1" x14ac:dyDescent="0.25">
      <c r="A60" s="444" t="s">
        <v>56</v>
      </c>
      <c r="B60" s="110" t="s">
        <v>46</v>
      </c>
      <c r="C60" s="110" t="s">
        <v>157</v>
      </c>
      <c r="D60" s="110">
        <v>2016</v>
      </c>
      <c r="E60" s="110" t="s">
        <v>57</v>
      </c>
      <c r="F60" s="110" t="s">
        <v>74</v>
      </c>
      <c r="G60" s="135" t="s">
        <v>719</v>
      </c>
      <c r="H60" s="110" t="s">
        <v>383</v>
      </c>
      <c r="I60" s="110" t="s">
        <v>25</v>
      </c>
      <c r="J60" s="20">
        <f>K60+L60</f>
        <v>30</v>
      </c>
      <c r="K60" s="110">
        <v>30</v>
      </c>
      <c r="L60" s="121"/>
      <c r="M60" s="47" t="s">
        <v>886</v>
      </c>
    </row>
    <row r="61" spans="1:13" ht="56.25" customHeight="1" x14ac:dyDescent="0.25">
      <c r="A61" s="146" t="s">
        <v>862</v>
      </c>
      <c r="B61" s="110" t="s">
        <v>46</v>
      </c>
      <c r="C61" s="110" t="s">
        <v>157</v>
      </c>
      <c r="D61" s="110">
        <v>2017</v>
      </c>
      <c r="E61" s="110"/>
      <c r="F61" s="110"/>
      <c r="G61" s="110"/>
      <c r="H61" s="110"/>
      <c r="I61" s="110" t="s">
        <v>25</v>
      </c>
      <c r="J61" s="20">
        <f t="shared" ref="J61:J72" si="1">(K61+L61)</f>
        <v>31</v>
      </c>
      <c r="K61" s="110">
        <v>31</v>
      </c>
      <c r="L61" s="121"/>
      <c r="M61" s="47" t="s">
        <v>886</v>
      </c>
    </row>
    <row r="62" spans="1:13" ht="53.25" customHeight="1" x14ac:dyDescent="0.25">
      <c r="A62" s="159" t="s">
        <v>221</v>
      </c>
      <c r="B62" s="111" t="s">
        <v>38</v>
      </c>
      <c r="C62" s="111" t="s">
        <v>157</v>
      </c>
      <c r="D62" s="110">
        <v>2017</v>
      </c>
      <c r="E62" s="111" t="s">
        <v>222</v>
      </c>
      <c r="F62" s="110" t="s">
        <v>74</v>
      </c>
      <c r="G62" s="110" t="s">
        <v>439</v>
      </c>
      <c r="H62" s="111" t="s">
        <v>245</v>
      </c>
      <c r="I62" s="111" t="s">
        <v>26</v>
      </c>
      <c r="J62" s="47">
        <f t="shared" si="1"/>
        <v>19</v>
      </c>
      <c r="K62" s="457"/>
      <c r="L62" s="111">
        <v>19</v>
      </c>
      <c r="M62" s="47" t="s">
        <v>886</v>
      </c>
    </row>
    <row r="63" spans="1:13" ht="44.1" customHeight="1" x14ac:dyDescent="0.25">
      <c r="A63" s="146" t="s">
        <v>744</v>
      </c>
      <c r="B63" s="110" t="s">
        <v>398</v>
      </c>
      <c r="C63" s="110" t="s">
        <v>159</v>
      </c>
      <c r="D63" s="110">
        <v>2017</v>
      </c>
      <c r="E63" s="110" t="s">
        <v>714</v>
      </c>
      <c r="F63" s="110" t="s">
        <v>637</v>
      </c>
      <c r="G63" s="20" t="s">
        <v>273</v>
      </c>
      <c r="H63" s="112" t="s">
        <v>713</v>
      </c>
      <c r="I63" s="110" t="s">
        <v>26</v>
      </c>
      <c r="J63" s="20">
        <f t="shared" si="1"/>
        <v>21</v>
      </c>
      <c r="K63" s="121"/>
      <c r="L63" s="110">
        <v>21</v>
      </c>
      <c r="M63" s="47" t="s">
        <v>886</v>
      </c>
    </row>
    <row r="64" spans="1:13" ht="60.75" customHeight="1" x14ac:dyDescent="0.25">
      <c r="A64" s="159" t="s">
        <v>374</v>
      </c>
      <c r="B64" s="111" t="s">
        <v>44</v>
      </c>
      <c r="C64" s="111" t="s">
        <v>158</v>
      </c>
      <c r="D64" s="111">
        <v>2017</v>
      </c>
      <c r="E64" s="111" t="s">
        <v>218</v>
      </c>
      <c r="F64" s="111"/>
      <c r="G64" s="20" t="s">
        <v>278</v>
      </c>
      <c r="H64" s="111" t="s">
        <v>245</v>
      </c>
      <c r="I64" s="111" t="s">
        <v>26</v>
      </c>
      <c r="J64" s="47">
        <f t="shared" si="1"/>
        <v>19</v>
      </c>
      <c r="K64" s="457"/>
      <c r="L64" s="111">
        <v>19</v>
      </c>
      <c r="M64" s="47" t="s">
        <v>886</v>
      </c>
    </row>
    <row r="65" spans="1:13" ht="60.75" customHeight="1" x14ac:dyDescent="0.25">
      <c r="A65" s="146" t="s">
        <v>814</v>
      </c>
      <c r="B65" s="110" t="s">
        <v>44</v>
      </c>
      <c r="C65" s="110" t="s">
        <v>158</v>
      </c>
      <c r="D65" s="110">
        <v>2017</v>
      </c>
      <c r="E65" s="110" t="s">
        <v>715</v>
      </c>
      <c r="F65" s="110" t="s">
        <v>630</v>
      </c>
      <c r="G65" s="110"/>
      <c r="H65" s="112" t="s">
        <v>713</v>
      </c>
      <c r="I65" s="110" t="s">
        <v>26</v>
      </c>
      <c r="J65" s="20">
        <f t="shared" si="1"/>
        <v>15</v>
      </c>
      <c r="K65" s="110">
        <v>15</v>
      </c>
      <c r="L65" s="121"/>
      <c r="M65" s="47" t="s">
        <v>886</v>
      </c>
    </row>
    <row r="66" spans="1:13" ht="60.75" customHeight="1" x14ac:dyDescent="0.25">
      <c r="A66" s="146" t="s">
        <v>815</v>
      </c>
      <c r="B66" s="110" t="s">
        <v>44</v>
      </c>
      <c r="C66" s="110" t="s">
        <v>158</v>
      </c>
      <c r="D66" s="110">
        <v>2017</v>
      </c>
      <c r="E66" s="110" t="s">
        <v>715</v>
      </c>
      <c r="F66" s="110" t="s">
        <v>630</v>
      </c>
      <c r="G66" s="110"/>
      <c r="H66" s="112" t="s">
        <v>713</v>
      </c>
      <c r="I66" s="110" t="s">
        <v>26</v>
      </c>
      <c r="J66" s="20">
        <f t="shared" si="1"/>
        <v>125</v>
      </c>
      <c r="K66" s="121"/>
      <c r="L66" s="110">
        <v>125</v>
      </c>
      <c r="M66" s="47" t="s">
        <v>886</v>
      </c>
    </row>
    <row r="67" spans="1:13" ht="46.15" customHeight="1" x14ac:dyDescent="0.25">
      <c r="A67" s="146" t="s">
        <v>400</v>
      </c>
      <c r="B67" s="110" t="s">
        <v>62</v>
      </c>
      <c r="C67" s="110" t="s">
        <v>158</v>
      </c>
      <c r="D67" s="110">
        <v>2017</v>
      </c>
      <c r="E67" s="110" t="s">
        <v>517</v>
      </c>
      <c r="F67" s="110" t="s">
        <v>412</v>
      </c>
      <c r="G67" s="110" t="s">
        <v>278</v>
      </c>
      <c r="H67" s="112" t="s">
        <v>245</v>
      </c>
      <c r="I67" s="110" t="s">
        <v>26</v>
      </c>
      <c r="J67" s="20">
        <f t="shared" si="1"/>
        <v>40</v>
      </c>
      <c r="K67" s="121"/>
      <c r="L67" s="110">
        <v>40</v>
      </c>
      <c r="M67" s="47" t="s">
        <v>886</v>
      </c>
    </row>
    <row r="68" spans="1:13" ht="46.15" customHeight="1" x14ac:dyDescent="0.25">
      <c r="A68" s="146" t="s">
        <v>435</v>
      </c>
      <c r="B68" s="110" t="s">
        <v>62</v>
      </c>
      <c r="C68" s="110" t="s">
        <v>158</v>
      </c>
      <c r="D68" s="110">
        <v>2017</v>
      </c>
      <c r="E68" s="110"/>
      <c r="F68" s="110"/>
      <c r="G68" s="110" t="s">
        <v>273</v>
      </c>
      <c r="H68" s="112" t="s">
        <v>318</v>
      </c>
      <c r="I68" s="110" t="s">
        <v>26</v>
      </c>
      <c r="J68" s="110">
        <f t="shared" si="1"/>
        <v>48</v>
      </c>
      <c r="K68" s="121"/>
      <c r="L68" s="110">
        <v>48</v>
      </c>
      <c r="M68" s="47" t="s">
        <v>886</v>
      </c>
    </row>
    <row r="69" spans="1:13" ht="63" customHeight="1" x14ac:dyDescent="0.25">
      <c r="A69" s="146" t="s">
        <v>882</v>
      </c>
      <c r="B69" s="110" t="s">
        <v>46</v>
      </c>
      <c r="C69" s="110" t="s">
        <v>157</v>
      </c>
      <c r="D69" s="110">
        <v>2017</v>
      </c>
      <c r="E69" s="110"/>
      <c r="F69" s="110"/>
      <c r="G69" s="110"/>
      <c r="H69" s="112"/>
      <c r="I69" s="110" t="s">
        <v>26</v>
      </c>
      <c r="J69" s="20">
        <f t="shared" si="1"/>
        <v>43</v>
      </c>
      <c r="K69" s="121"/>
      <c r="L69" s="110">
        <v>43</v>
      </c>
      <c r="M69" s="47" t="s">
        <v>886</v>
      </c>
    </row>
    <row r="70" spans="1:13" ht="63" customHeight="1" x14ac:dyDescent="0.25">
      <c r="A70" s="146" t="s">
        <v>817</v>
      </c>
      <c r="B70" s="110" t="s">
        <v>130</v>
      </c>
      <c r="C70" s="110" t="s">
        <v>159</v>
      </c>
      <c r="D70" s="110">
        <v>2017</v>
      </c>
      <c r="E70" s="110"/>
      <c r="F70" s="110"/>
      <c r="G70" s="110"/>
      <c r="H70" s="110" t="s">
        <v>712</v>
      </c>
      <c r="I70" s="110" t="s">
        <v>26</v>
      </c>
      <c r="J70" s="20">
        <f t="shared" si="1"/>
        <v>30</v>
      </c>
      <c r="K70" s="121"/>
      <c r="L70" s="110">
        <v>30</v>
      </c>
      <c r="M70" s="47" t="s">
        <v>886</v>
      </c>
    </row>
    <row r="71" spans="1:13" ht="63" customHeight="1" x14ac:dyDescent="0.25">
      <c r="A71" s="146" t="s">
        <v>705</v>
      </c>
      <c r="B71" s="110" t="s">
        <v>46</v>
      </c>
      <c r="C71" s="110" t="s">
        <v>157</v>
      </c>
      <c r="D71" s="110">
        <v>2017</v>
      </c>
      <c r="E71" s="110"/>
      <c r="F71" s="110" t="s">
        <v>637</v>
      </c>
      <c r="G71" s="110"/>
      <c r="H71" s="110" t="s">
        <v>712</v>
      </c>
      <c r="I71" s="110" t="s">
        <v>26</v>
      </c>
      <c r="J71" s="20">
        <f t="shared" si="1"/>
        <v>29</v>
      </c>
      <c r="K71" s="121"/>
      <c r="L71" s="110">
        <v>29</v>
      </c>
      <c r="M71" s="47" t="s">
        <v>886</v>
      </c>
    </row>
    <row r="72" spans="1:13" ht="63" customHeight="1" x14ac:dyDescent="0.25">
      <c r="A72" s="146" t="s">
        <v>707</v>
      </c>
      <c r="B72" s="110" t="s">
        <v>46</v>
      </c>
      <c r="C72" s="110" t="s">
        <v>157</v>
      </c>
      <c r="D72" s="110">
        <v>2017</v>
      </c>
      <c r="E72" s="110" t="s">
        <v>717</v>
      </c>
      <c r="F72" s="110" t="s">
        <v>638</v>
      </c>
      <c r="G72" s="110" t="s">
        <v>439</v>
      </c>
      <c r="H72" s="110" t="s">
        <v>712</v>
      </c>
      <c r="I72" s="110" t="s">
        <v>26</v>
      </c>
      <c r="J72" s="20">
        <f t="shared" si="1"/>
        <v>24</v>
      </c>
      <c r="K72" s="121"/>
      <c r="L72" s="110">
        <v>24</v>
      </c>
      <c r="M72" s="47" t="s">
        <v>886</v>
      </c>
    </row>
    <row r="73" spans="1:13" ht="63" customHeight="1" x14ac:dyDescent="0.25">
      <c r="A73" s="159" t="s">
        <v>828</v>
      </c>
      <c r="B73" s="110" t="s">
        <v>38</v>
      </c>
      <c r="C73" s="110" t="s">
        <v>157</v>
      </c>
      <c r="D73" s="111">
        <v>2017</v>
      </c>
      <c r="E73" s="110"/>
      <c r="F73" s="111"/>
      <c r="G73" s="111"/>
      <c r="H73" s="111"/>
      <c r="I73" s="111" t="s">
        <v>26</v>
      </c>
      <c r="J73" s="20">
        <f>K73+L73</f>
        <v>37</v>
      </c>
      <c r="K73" s="121"/>
      <c r="L73" s="110">
        <v>37</v>
      </c>
      <c r="M73" s="47" t="s">
        <v>886</v>
      </c>
    </row>
    <row r="74" spans="1:13" ht="63" customHeight="1" x14ac:dyDescent="0.25">
      <c r="A74" s="146" t="s">
        <v>702</v>
      </c>
      <c r="B74" s="110" t="s">
        <v>46</v>
      </c>
      <c r="C74" s="110" t="s">
        <v>157</v>
      </c>
      <c r="D74" s="110">
        <v>2017</v>
      </c>
      <c r="E74" s="110" t="s">
        <v>716</v>
      </c>
      <c r="F74" s="110" t="s">
        <v>638</v>
      </c>
      <c r="G74" s="110" t="s">
        <v>278</v>
      </c>
      <c r="H74" s="110" t="s">
        <v>712</v>
      </c>
      <c r="I74" s="110" t="s">
        <v>26</v>
      </c>
      <c r="J74" s="20">
        <f>(K74+L74)</f>
        <v>26</v>
      </c>
      <c r="K74" s="121"/>
      <c r="L74" s="110">
        <v>26</v>
      </c>
      <c r="M74" s="47" t="s">
        <v>886</v>
      </c>
    </row>
    <row r="75" spans="1:13" ht="63" customHeight="1" x14ac:dyDescent="0.25">
      <c r="A75" s="159" t="s">
        <v>867</v>
      </c>
      <c r="B75" s="110" t="s">
        <v>62</v>
      </c>
      <c r="C75" s="110" t="s">
        <v>159</v>
      </c>
      <c r="D75" s="110">
        <v>2017</v>
      </c>
      <c r="E75" s="110"/>
      <c r="F75" s="110"/>
      <c r="G75" s="110"/>
      <c r="H75" s="110"/>
      <c r="I75" s="110" t="s">
        <v>26</v>
      </c>
      <c r="J75" s="20">
        <f>(K75+L75)</f>
        <v>38</v>
      </c>
      <c r="K75" s="121"/>
      <c r="L75" s="110">
        <v>38</v>
      </c>
      <c r="M75" s="47" t="s">
        <v>886</v>
      </c>
    </row>
    <row r="76" spans="1:13" ht="63" customHeight="1" x14ac:dyDescent="0.25">
      <c r="A76" s="146" t="s">
        <v>864</v>
      </c>
      <c r="B76" s="110" t="s">
        <v>217</v>
      </c>
      <c r="C76" s="110" t="s">
        <v>159</v>
      </c>
      <c r="D76" s="110">
        <v>2017</v>
      </c>
      <c r="E76" s="110" t="s">
        <v>865</v>
      </c>
      <c r="F76" s="110"/>
      <c r="G76" s="110"/>
      <c r="H76" s="110"/>
      <c r="I76" s="110" t="s">
        <v>26</v>
      </c>
      <c r="J76" s="110">
        <f>(K76+L76)</f>
        <v>38</v>
      </c>
      <c r="K76" s="121"/>
      <c r="L76" s="110">
        <v>38</v>
      </c>
      <c r="M76" s="47" t="s">
        <v>886</v>
      </c>
    </row>
    <row r="77" spans="1:13" ht="63" customHeight="1" x14ac:dyDescent="0.25">
      <c r="A77" s="146" t="s">
        <v>869</v>
      </c>
      <c r="B77" s="110" t="s">
        <v>62</v>
      </c>
      <c r="C77" s="110" t="s">
        <v>158</v>
      </c>
      <c r="D77" s="110">
        <v>2017</v>
      </c>
      <c r="E77" s="110"/>
      <c r="F77" s="110"/>
      <c r="G77" s="110"/>
      <c r="H77" s="110"/>
      <c r="I77" s="111" t="s">
        <v>26</v>
      </c>
      <c r="J77" s="110">
        <f>K77+L77</f>
        <v>48</v>
      </c>
      <c r="K77" s="121"/>
      <c r="L77" s="110">
        <f>48</f>
        <v>48</v>
      </c>
      <c r="M77" s="47" t="s">
        <v>886</v>
      </c>
    </row>
    <row r="78" spans="1:13" ht="63" customHeight="1" x14ac:dyDescent="0.25">
      <c r="A78" s="146" t="s">
        <v>574</v>
      </c>
      <c r="B78" s="110" t="s">
        <v>217</v>
      </c>
      <c r="C78" s="110" t="s">
        <v>159</v>
      </c>
      <c r="D78" s="110">
        <v>2017</v>
      </c>
      <c r="E78" s="110"/>
      <c r="F78" s="110"/>
      <c r="G78" s="110"/>
      <c r="H78" s="110"/>
      <c r="I78" s="111" t="s">
        <v>26</v>
      </c>
      <c r="J78" s="20">
        <f>(K78+L78)</f>
        <v>59</v>
      </c>
      <c r="K78" s="121"/>
      <c r="L78" s="110">
        <f>59</f>
        <v>59</v>
      </c>
      <c r="M78" s="47" t="s">
        <v>886</v>
      </c>
    </row>
    <row r="79" spans="1:13" ht="63" customHeight="1" x14ac:dyDescent="0.25">
      <c r="A79" s="146" t="s">
        <v>818</v>
      </c>
      <c r="B79" s="110" t="s">
        <v>130</v>
      </c>
      <c r="C79" s="110" t="s">
        <v>159</v>
      </c>
      <c r="D79" s="110">
        <v>2017</v>
      </c>
      <c r="E79" s="110"/>
      <c r="F79" s="110"/>
      <c r="G79" s="110"/>
      <c r="H79" s="110"/>
      <c r="I79" s="110" t="s">
        <v>819</v>
      </c>
      <c r="J79" s="110">
        <f>(K79+L79)</f>
        <v>200</v>
      </c>
      <c r="K79" s="121"/>
      <c r="L79" s="110">
        <v>200</v>
      </c>
      <c r="M79" s="47" t="s">
        <v>886</v>
      </c>
    </row>
    <row r="80" spans="1:13" ht="63" customHeight="1" x14ac:dyDescent="0.25">
      <c r="A80" s="146" t="s">
        <v>821</v>
      </c>
      <c r="B80" s="110" t="s">
        <v>46</v>
      </c>
      <c r="C80" s="110" t="s">
        <v>157</v>
      </c>
      <c r="D80" s="110">
        <v>2017</v>
      </c>
      <c r="E80" s="110"/>
      <c r="F80" s="110"/>
      <c r="G80" s="110"/>
      <c r="H80" s="110"/>
      <c r="I80" s="110" t="s">
        <v>819</v>
      </c>
      <c r="J80" s="110">
        <f>(K80+L80)</f>
        <v>100</v>
      </c>
      <c r="K80" s="121"/>
      <c r="L80" s="110">
        <v>100</v>
      </c>
      <c r="M80" s="47" t="s">
        <v>886</v>
      </c>
    </row>
    <row r="81" spans="1:13" ht="63" customHeight="1" x14ac:dyDescent="0.25">
      <c r="A81" s="146" t="s">
        <v>832</v>
      </c>
      <c r="B81" s="110" t="s">
        <v>38</v>
      </c>
      <c r="C81" s="110" t="s">
        <v>157</v>
      </c>
      <c r="D81" s="110">
        <v>2017</v>
      </c>
      <c r="E81" s="110"/>
      <c r="F81" s="110" t="s">
        <v>834</v>
      </c>
      <c r="G81" s="110" t="s">
        <v>439</v>
      </c>
      <c r="H81" s="110"/>
      <c r="I81" s="110" t="s">
        <v>833</v>
      </c>
      <c r="J81" s="110">
        <v>26</v>
      </c>
      <c r="K81" s="121"/>
      <c r="L81" s="110"/>
      <c r="M81" s="47" t="s">
        <v>886</v>
      </c>
    </row>
    <row r="82" spans="1:13" ht="63" customHeight="1" x14ac:dyDescent="0.25">
      <c r="A82" s="146" t="s">
        <v>836</v>
      </c>
      <c r="B82" s="110" t="s">
        <v>38</v>
      </c>
      <c r="C82" s="110" t="s">
        <v>157</v>
      </c>
      <c r="D82" s="110">
        <v>2017</v>
      </c>
      <c r="E82" s="110"/>
      <c r="F82" s="110" t="s">
        <v>834</v>
      </c>
      <c r="G82" s="110" t="s">
        <v>276</v>
      </c>
      <c r="H82" s="110"/>
      <c r="I82" s="110" t="s">
        <v>833</v>
      </c>
      <c r="J82" s="110">
        <v>10</v>
      </c>
      <c r="K82" s="121"/>
      <c r="L82" s="110"/>
      <c r="M82" s="47" t="s">
        <v>886</v>
      </c>
    </row>
    <row r="83" spans="1:13" ht="63" customHeight="1" x14ac:dyDescent="0.25">
      <c r="A83" s="146" t="s">
        <v>838</v>
      </c>
      <c r="B83" s="110" t="s">
        <v>59</v>
      </c>
      <c r="C83" s="110" t="s">
        <v>157</v>
      </c>
      <c r="D83" s="110">
        <v>2017</v>
      </c>
      <c r="E83" s="110"/>
      <c r="F83" s="110" t="s">
        <v>834</v>
      </c>
      <c r="G83" s="110" t="s">
        <v>277</v>
      </c>
      <c r="H83" s="110"/>
      <c r="I83" s="110" t="s">
        <v>833</v>
      </c>
      <c r="J83" s="110">
        <v>6</v>
      </c>
      <c r="K83" s="121"/>
      <c r="L83" s="110"/>
      <c r="M83" s="47" t="s">
        <v>886</v>
      </c>
    </row>
    <row r="84" spans="1:13" ht="63" customHeight="1" x14ac:dyDescent="0.25">
      <c r="A84" s="146" t="s">
        <v>840</v>
      </c>
      <c r="B84" s="110" t="s">
        <v>46</v>
      </c>
      <c r="C84" s="110" t="s">
        <v>157</v>
      </c>
      <c r="D84" s="110">
        <v>2017</v>
      </c>
      <c r="E84" s="110"/>
      <c r="F84" s="110" t="s">
        <v>834</v>
      </c>
      <c r="G84" s="110" t="s">
        <v>277</v>
      </c>
      <c r="H84" s="110"/>
      <c r="I84" s="110" t="s">
        <v>833</v>
      </c>
      <c r="J84" s="110">
        <v>74</v>
      </c>
      <c r="K84" s="121"/>
      <c r="L84" s="110"/>
      <c r="M84" s="47" t="s">
        <v>886</v>
      </c>
    </row>
    <row r="85" spans="1:13" ht="63" customHeight="1" x14ac:dyDescent="0.25">
      <c r="A85" s="146" t="s">
        <v>842</v>
      </c>
      <c r="B85" s="110" t="s">
        <v>46</v>
      </c>
      <c r="C85" s="110" t="s">
        <v>157</v>
      </c>
      <c r="D85" s="110">
        <v>2017</v>
      </c>
      <c r="E85" s="110"/>
      <c r="F85" s="110" t="s">
        <v>834</v>
      </c>
      <c r="G85" s="110" t="s">
        <v>276</v>
      </c>
      <c r="H85" s="110"/>
      <c r="I85" s="110" t="s">
        <v>833</v>
      </c>
      <c r="J85" s="110">
        <v>45</v>
      </c>
      <c r="K85" s="121"/>
      <c r="L85" s="110"/>
      <c r="M85" s="47" t="s">
        <v>886</v>
      </c>
    </row>
    <row r="86" spans="1:13" ht="63" hidden="1" customHeight="1" x14ac:dyDescent="0.25">
      <c r="A86" s="552" t="s">
        <v>847</v>
      </c>
      <c r="B86" s="110" t="s">
        <v>38</v>
      </c>
      <c r="C86" s="110" t="s">
        <v>157</v>
      </c>
      <c r="D86" s="110">
        <v>2018</v>
      </c>
      <c r="E86" s="110"/>
      <c r="F86" s="110" t="s">
        <v>834</v>
      </c>
      <c r="G86" s="110"/>
      <c r="H86" s="110"/>
      <c r="I86" s="110" t="s">
        <v>833</v>
      </c>
      <c r="J86" s="110">
        <v>30</v>
      </c>
      <c r="K86" s="121"/>
      <c r="L86" s="110"/>
      <c r="M86" s="47" t="s">
        <v>886</v>
      </c>
    </row>
    <row r="87" spans="1:13" ht="63" hidden="1" customHeight="1" x14ac:dyDescent="0.25">
      <c r="A87" s="552" t="s">
        <v>849</v>
      </c>
      <c r="B87" s="110" t="s">
        <v>38</v>
      </c>
      <c r="C87" s="110" t="s">
        <v>157</v>
      </c>
      <c r="D87" s="110">
        <v>2018</v>
      </c>
      <c r="E87" s="110"/>
      <c r="F87" s="110" t="s">
        <v>834</v>
      </c>
      <c r="G87" s="110"/>
      <c r="H87" s="110"/>
      <c r="I87" s="110" t="s">
        <v>833</v>
      </c>
      <c r="J87" s="110">
        <v>23</v>
      </c>
      <c r="K87" s="121"/>
      <c r="L87" s="110"/>
      <c r="M87" s="47" t="s">
        <v>886</v>
      </c>
    </row>
    <row r="88" spans="1:13" ht="63" hidden="1" customHeight="1" x14ac:dyDescent="0.25">
      <c r="A88" s="552" t="s">
        <v>850</v>
      </c>
      <c r="B88" s="110" t="s">
        <v>59</v>
      </c>
      <c r="C88" s="110" t="s">
        <v>157</v>
      </c>
      <c r="D88" s="110">
        <v>2018</v>
      </c>
      <c r="E88" s="110"/>
      <c r="F88" s="110" t="s">
        <v>834</v>
      </c>
      <c r="G88" s="110"/>
      <c r="H88" s="110"/>
      <c r="I88" s="110" t="s">
        <v>833</v>
      </c>
      <c r="J88" s="110">
        <v>34</v>
      </c>
      <c r="K88" s="121"/>
      <c r="L88" s="110"/>
      <c r="M88" s="47" t="s">
        <v>886</v>
      </c>
    </row>
    <row r="89" spans="1:13" ht="63" hidden="1" customHeight="1" x14ac:dyDescent="0.25">
      <c r="A89" s="552" t="s">
        <v>851</v>
      </c>
      <c r="B89" s="110" t="s">
        <v>46</v>
      </c>
      <c r="C89" s="110" t="s">
        <v>157</v>
      </c>
      <c r="D89" s="110">
        <v>2018</v>
      </c>
      <c r="E89" s="110"/>
      <c r="F89" s="110" t="s">
        <v>834</v>
      </c>
      <c r="G89" s="110"/>
      <c r="H89" s="110"/>
      <c r="I89" s="110" t="s">
        <v>833</v>
      </c>
      <c r="J89" s="110">
        <v>128</v>
      </c>
      <c r="K89" s="121"/>
      <c r="L89" s="110"/>
      <c r="M89" s="47" t="s">
        <v>886</v>
      </c>
    </row>
    <row r="90" spans="1:13" ht="63" hidden="1" customHeight="1" x14ac:dyDescent="0.25">
      <c r="A90" s="552" t="s">
        <v>852</v>
      </c>
      <c r="B90" s="110" t="s">
        <v>46</v>
      </c>
      <c r="C90" s="110" t="s">
        <v>157</v>
      </c>
      <c r="D90" s="110">
        <v>2019</v>
      </c>
      <c r="E90" s="110"/>
      <c r="F90" s="110" t="s">
        <v>834</v>
      </c>
      <c r="G90" s="110"/>
      <c r="H90" s="110"/>
      <c r="I90" s="110" t="s">
        <v>833</v>
      </c>
      <c r="J90" s="110">
        <v>38</v>
      </c>
      <c r="K90" s="121"/>
      <c r="L90" s="110"/>
      <c r="M90" s="47" t="s">
        <v>886</v>
      </c>
    </row>
    <row r="91" spans="1:13" ht="63" hidden="1" customHeight="1" x14ac:dyDescent="0.25">
      <c r="A91" s="552" t="s">
        <v>853</v>
      </c>
      <c r="B91" s="110" t="s">
        <v>59</v>
      </c>
      <c r="C91" s="110" t="s">
        <v>157</v>
      </c>
      <c r="D91" s="110">
        <v>2019</v>
      </c>
      <c r="E91" s="110"/>
      <c r="F91" s="110" t="s">
        <v>834</v>
      </c>
      <c r="G91" s="110"/>
      <c r="H91" s="110"/>
      <c r="I91" s="110" t="s">
        <v>833</v>
      </c>
      <c r="J91" s="110">
        <v>16</v>
      </c>
      <c r="K91" s="121"/>
      <c r="L91" s="110"/>
      <c r="M91" s="47" t="s">
        <v>886</v>
      </c>
    </row>
    <row r="92" spans="1:13" ht="63" hidden="1" customHeight="1" x14ac:dyDescent="0.25">
      <c r="A92" s="552" t="s">
        <v>857</v>
      </c>
      <c r="B92" s="110" t="s">
        <v>38</v>
      </c>
      <c r="C92" s="110" t="s">
        <v>157</v>
      </c>
      <c r="D92" s="110">
        <v>2019</v>
      </c>
      <c r="E92" s="110"/>
      <c r="F92" s="110" t="s">
        <v>834</v>
      </c>
      <c r="G92" s="110"/>
      <c r="H92" s="110"/>
      <c r="I92" s="110" t="s">
        <v>833</v>
      </c>
      <c r="J92" s="110">
        <v>30</v>
      </c>
      <c r="K92" s="121"/>
      <c r="L92" s="110"/>
      <c r="M92" s="47" t="s">
        <v>886</v>
      </c>
    </row>
    <row r="93" spans="1:13" ht="63" hidden="1" customHeight="1" x14ac:dyDescent="0.25">
      <c r="A93" s="552" t="s">
        <v>858</v>
      </c>
      <c r="B93" s="110" t="s">
        <v>38</v>
      </c>
      <c r="C93" s="110" t="s">
        <v>157</v>
      </c>
      <c r="D93" s="110">
        <v>2019</v>
      </c>
      <c r="E93" s="110"/>
      <c r="F93" s="110" t="s">
        <v>834</v>
      </c>
      <c r="G93" s="110"/>
      <c r="H93" s="110"/>
      <c r="I93" s="110" t="s">
        <v>833</v>
      </c>
      <c r="J93" s="110">
        <v>32</v>
      </c>
      <c r="K93" s="121"/>
      <c r="L93" s="110"/>
      <c r="M93" s="47" t="s">
        <v>886</v>
      </c>
    </row>
    <row r="94" spans="1:13" ht="63" hidden="1" customHeight="1" x14ac:dyDescent="0.25">
      <c r="A94" s="552" t="s">
        <v>859</v>
      </c>
      <c r="B94" s="110" t="s">
        <v>46</v>
      </c>
      <c r="C94" s="110" t="s">
        <v>157</v>
      </c>
      <c r="D94" s="110">
        <v>2019</v>
      </c>
      <c r="E94" s="110"/>
      <c r="F94" s="110" t="s">
        <v>834</v>
      </c>
      <c r="G94" s="110"/>
      <c r="H94" s="110"/>
      <c r="I94" s="110" t="s">
        <v>833</v>
      </c>
      <c r="J94" s="110">
        <v>83</v>
      </c>
      <c r="K94" s="121"/>
      <c r="L94" s="110"/>
      <c r="M94" s="47" t="s">
        <v>886</v>
      </c>
    </row>
    <row r="95" spans="1:13" ht="63" hidden="1" customHeight="1" x14ac:dyDescent="0.25">
      <c r="A95" s="552" t="s">
        <v>860</v>
      </c>
      <c r="B95" s="110" t="s">
        <v>38</v>
      </c>
      <c r="C95" s="110" t="s">
        <v>157</v>
      </c>
      <c r="D95" s="110">
        <v>2019</v>
      </c>
      <c r="E95" s="110"/>
      <c r="F95" s="110" t="s">
        <v>834</v>
      </c>
      <c r="G95" s="110"/>
      <c r="H95" s="110"/>
      <c r="I95" s="110" t="s">
        <v>833</v>
      </c>
      <c r="J95" s="110">
        <v>26</v>
      </c>
      <c r="K95" s="121"/>
      <c r="L95" s="110"/>
      <c r="M95" s="47" t="s">
        <v>886</v>
      </c>
    </row>
    <row r="96" spans="1:13" ht="63" hidden="1" customHeight="1" x14ac:dyDescent="0.25">
      <c r="A96" s="552" t="s">
        <v>861</v>
      </c>
      <c r="B96" s="110" t="s">
        <v>38</v>
      </c>
      <c r="C96" s="110" t="s">
        <v>157</v>
      </c>
      <c r="D96" s="110">
        <v>2019</v>
      </c>
      <c r="E96" s="110"/>
      <c r="F96" s="110" t="s">
        <v>834</v>
      </c>
      <c r="G96" s="110"/>
      <c r="H96" s="110"/>
      <c r="I96" s="110" t="s">
        <v>833</v>
      </c>
      <c r="J96" s="110">
        <v>18</v>
      </c>
      <c r="K96" s="121"/>
      <c r="L96" s="110"/>
      <c r="M96" s="47" t="s">
        <v>886</v>
      </c>
    </row>
    <row r="97" spans="1:13" ht="63" hidden="1" customHeight="1" x14ac:dyDescent="0.25">
      <c r="A97" s="552" t="s">
        <v>564</v>
      </c>
      <c r="B97" s="110" t="s">
        <v>44</v>
      </c>
      <c r="C97" s="110" t="s">
        <v>158</v>
      </c>
      <c r="D97" s="110">
        <v>2018</v>
      </c>
      <c r="E97" s="110"/>
      <c r="F97" s="110"/>
      <c r="G97" s="110"/>
      <c r="H97" s="110"/>
      <c r="I97" s="111" t="s">
        <v>26</v>
      </c>
      <c r="J97" s="20">
        <f>K97+L97</f>
        <v>49</v>
      </c>
      <c r="K97" s="121"/>
      <c r="L97" s="110">
        <f>49</f>
        <v>49</v>
      </c>
      <c r="M97" s="47" t="s">
        <v>886</v>
      </c>
    </row>
    <row r="98" spans="1:13" ht="63" customHeight="1" x14ac:dyDescent="0.25">
      <c r="A98" s="146" t="s">
        <v>844</v>
      </c>
      <c r="B98" s="110" t="s">
        <v>845</v>
      </c>
      <c r="C98" s="110" t="s">
        <v>159</v>
      </c>
      <c r="D98" s="110">
        <v>2017</v>
      </c>
      <c r="E98" s="110"/>
      <c r="F98" s="110" t="s">
        <v>834</v>
      </c>
      <c r="G98" s="110" t="s">
        <v>439</v>
      </c>
      <c r="H98" s="110"/>
      <c r="I98" s="110" t="s">
        <v>833</v>
      </c>
      <c r="J98" s="20">
        <v>31</v>
      </c>
      <c r="K98" s="121"/>
      <c r="L98" s="110"/>
      <c r="M98" s="47" t="s">
        <v>886</v>
      </c>
    </row>
    <row r="99" spans="1:13" ht="63" hidden="1" customHeight="1" x14ac:dyDescent="0.25">
      <c r="A99" s="552" t="s">
        <v>874</v>
      </c>
      <c r="B99" s="110" t="s">
        <v>46</v>
      </c>
      <c r="C99" s="110" t="s">
        <v>157</v>
      </c>
      <c r="D99" s="110">
        <v>2018</v>
      </c>
      <c r="E99" s="110"/>
      <c r="F99" s="110"/>
      <c r="G99" s="110"/>
      <c r="H99" s="110"/>
      <c r="I99" s="111" t="s">
        <v>26</v>
      </c>
      <c r="J99" s="20">
        <f>K99+L99</f>
        <v>60</v>
      </c>
      <c r="K99" s="121"/>
      <c r="L99" s="110">
        <v>60</v>
      </c>
      <c r="M99" s="47" t="s">
        <v>886</v>
      </c>
    </row>
    <row r="100" spans="1:13" ht="63" hidden="1" customHeight="1" x14ac:dyDescent="0.25">
      <c r="A100" s="552" t="s">
        <v>870</v>
      </c>
      <c r="B100" s="110" t="s">
        <v>46</v>
      </c>
      <c r="C100" s="110" t="s">
        <v>157</v>
      </c>
      <c r="D100" s="110">
        <v>2018</v>
      </c>
      <c r="E100" s="110"/>
      <c r="F100" s="110"/>
      <c r="G100" s="110"/>
      <c r="H100" s="110"/>
      <c r="I100" s="111" t="s">
        <v>26</v>
      </c>
      <c r="J100" s="20">
        <f>(K100+L100)</f>
        <v>40</v>
      </c>
      <c r="K100" s="121"/>
      <c r="L100" s="110">
        <v>40</v>
      </c>
      <c r="M100" s="47" t="s">
        <v>886</v>
      </c>
    </row>
    <row r="101" spans="1:13" ht="63" hidden="1" customHeight="1" x14ac:dyDescent="0.25">
      <c r="A101" s="552" t="s">
        <v>873</v>
      </c>
      <c r="B101" s="110" t="s">
        <v>62</v>
      </c>
      <c r="C101" s="110" t="s">
        <v>158</v>
      </c>
      <c r="D101" s="110">
        <v>2018</v>
      </c>
      <c r="E101" s="110"/>
      <c r="F101" s="110"/>
      <c r="G101" s="110"/>
      <c r="H101" s="110"/>
      <c r="I101" s="111" t="s">
        <v>25</v>
      </c>
      <c r="J101" s="20">
        <f>(K101+L101)</f>
        <v>23</v>
      </c>
      <c r="K101" s="121"/>
      <c r="L101" s="110">
        <v>23</v>
      </c>
      <c r="M101" s="47" t="s">
        <v>886</v>
      </c>
    </row>
    <row r="102" spans="1:13" ht="48.2" hidden="1" customHeight="1" x14ac:dyDescent="0.25">
      <c r="A102" s="552" t="s">
        <v>561</v>
      </c>
      <c r="B102" s="110" t="s">
        <v>217</v>
      </c>
      <c r="C102" s="110" t="s">
        <v>159</v>
      </c>
      <c r="D102" s="110">
        <v>2018</v>
      </c>
      <c r="E102" s="110"/>
      <c r="F102" s="110"/>
      <c r="G102" s="110"/>
      <c r="H102" s="110"/>
      <c r="I102" s="111" t="s">
        <v>26</v>
      </c>
      <c r="J102" s="20">
        <f>(K102+L102)</f>
        <v>0</v>
      </c>
      <c r="K102" s="121"/>
      <c r="L102" s="110">
        <f>50*0</f>
        <v>0</v>
      </c>
      <c r="M102" s="47" t="s">
        <v>886</v>
      </c>
    </row>
    <row r="103" spans="1:13" ht="39.950000000000003" hidden="1" customHeight="1" x14ac:dyDescent="0.25">
      <c r="A103" s="146" t="s">
        <v>563</v>
      </c>
      <c r="B103" s="110" t="s">
        <v>217</v>
      </c>
      <c r="C103" s="110" t="s">
        <v>159</v>
      </c>
      <c r="D103" s="110">
        <v>2018</v>
      </c>
      <c r="E103" s="110"/>
      <c r="F103" s="110"/>
      <c r="G103" s="110"/>
      <c r="H103" s="110"/>
      <c r="I103" s="111" t="s">
        <v>26</v>
      </c>
      <c r="J103" s="20">
        <f>(K103+L103)</f>
        <v>0</v>
      </c>
      <c r="K103" s="121"/>
      <c r="L103" s="110">
        <f>85*0</f>
        <v>0</v>
      </c>
      <c r="M103" s="47" t="s">
        <v>886</v>
      </c>
    </row>
    <row r="104" spans="1:13" ht="27.95" hidden="1" customHeight="1" x14ac:dyDescent="0.25">
      <c r="A104" s="552" t="s">
        <v>566</v>
      </c>
      <c r="B104" s="110" t="s">
        <v>62</v>
      </c>
      <c r="C104" s="110" t="s">
        <v>158</v>
      </c>
      <c r="D104" s="110">
        <v>2018</v>
      </c>
      <c r="E104" s="110"/>
      <c r="F104" s="110"/>
      <c r="G104" s="110"/>
      <c r="H104" s="110"/>
      <c r="I104" s="111" t="s">
        <v>26</v>
      </c>
      <c r="J104" s="110">
        <f>K104+L104</f>
        <v>47</v>
      </c>
      <c r="K104" s="121"/>
      <c r="L104" s="110">
        <f>47</f>
        <v>47</v>
      </c>
      <c r="M104" s="47" t="s">
        <v>886</v>
      </c>
    </row>
    <row r="105" spans="1:13" ht="39.950000000000003" hidden="1" customHeight="1" x14ac:dyDescent="0.25">
      <c r="A105" s="552" t="s">
        <v>829</v>
      </c>
      <c r="B105" s="110" t="s">
        <v>38</v>
      </c>
      <c r="C105" s="110" t="s">
        <v>157</v>
      </c>
      <c r="D105" s="111">
        <v>2018</v>
      </c>
      <c r="E105" s="110"/>
      <c r="F105" s="111"/>
      <c r="G105" s="111"/>
      <c r="H105" s="111"/>
      <c r="I105" s="111" t="s">
        <v>26</v>
      </c>
      <c r="J105" s="110">
        <f>K105+L105</f>
        <v>22</v>
      </c>
      <c r="K105" s="121"/>
      <c r="L105" s="110">
        <v>22</v>
      </c>
      <c r="M105" s="47" t="s">
        <v>886</v>
      </c>
    </row>
    <row r="106" spans="1:13" ht="39.950000000000003" hidden="1" customHeight="1" x14ac:dyDescent="0.25">
      <c r="A106" s="552" t="s">
        <v>877</v>
      </c>
      <c r="B106" s="110" t="s">
        <v>46</v>
      </c>
      <c r="C106" s="110" t="s">
        <v>157</v>
      </c>
      <c r="D106" s="110">
        <v>2018</v>
      </c>
      <c r="E106" s="110"/>
      <c r="F106" s="111"/>
      <c r="G106" s="111"/>
      <c r="H106" s="111"/>
      <c r="I106" s="111" t="s">
        <v>26</v>
      </c>
      <c r="J106" s="110">
        <f>K106+L106</f>
        <v>37</v>
      </c>
      <c r="K106" s="121"/>
      <c r="L106" s="110">
        <v>37</v>
      </c>
      <c r="M106" s="47" t="s">
        <v>886</v>
      </c>
    </row>
    <row r="107" spans="1:13" ht="39.950000000000003" hidden="1" customHeight="1" x14ac:dyDescent="0.25">
      <c r="A107" s="552" t="s">
        <v>879</v>
      </c>
      <c r="B107" s="110" t="s">
        <v>38</v>
      </c>
      <c r="C107" s="110" t="s">
        <v>157</v>
      </c>
      <c r="D107" s="111">
        <v>2018</v>
      </c>
      <c r="E107" s="110"/>
      <c r="F107" s="111"/>
      <c r="G107" s="111"/>
      <c r="H107" s="111"/>
      <c r="I107" s="111" t="s">
        <v>26</v>
      </c>
      <c r="J107" s="110">
        <f>K107+L107</f>
        <v>15</v>
      </c>
      <c r="K107" s="121"/>
      <c r="L107" s="110">
        <v>15</v>
      </c>
      <c r="M107" s="47" t="s">
        <v>886</v>
      </c>
    </row>
    <row r="108" spans="1:13" ht="39.950000000000003" hidden="1" customHeight="1" x14ac:dyDescent="0.25">
      <c r="A108" s="552" t="s">
        <v>880</v>
      </c>
      <c r="B108" s="110" t="s">
        <v>38</v>
      </c>
      <c r="C108" s="110" t="s">
        <v>157</v>
      </c>
      <c r="D108" s="111">
        <v>2018</v>
      </c>
      <c r="E108" s="110"/>
      <c r="F108" s="111"/>
      <c r="G108" s="111"/>
      <c r="H108" s="111"/>
      <c r="I108" s="111" t="s">
        <v>26</v>
      </c>
      <c r="J108" s="110">
        <f>K108+L108</f>
        <v>15</v>
      </c>
      <c r="K108" s="121"/>
      <c r="L108" s="110">
        <v>15</v>
      </c>
      <c r="M108" s="47" t="s">
        <v>886</v>
      </c>
    </row>
    <row r="109" spans="1:13" ht="39.950000000000003" hidden="1" customHeight="1" x14ac:dyDescent="0.25">
      <c r="A109" s="552" t="s">
        <v>711</v>
      </c>
      <c r="B109" s="110" t="s">
        <v>41</v>
      </c>
      <c r="C109" s="110" t="s">
        <v>157</v>
      </c>
      <c r="D109" s="110">
        <v>2018</v>
      </c>
      <c r="E109" s="110"/>
      <c r="F109" s="110"/>
      <c r="G109" s="110"/>
      <c r="H109" s="110" t="s">
        <v>712</v>
      </c>
      <c r="I109" s="110" t="s">
        <v>26</v>
      </c>
      <c r="J109" s="110">
        <f t="shared" ref="J109:J114" si="2">(K109+L109)</f>
        <v>18</v>
      </c>
      <c r="K109" s="121"/>
      <c r="L109" s="110">
        <v>18</v>
      </c>
      <c r="M109" s="47" t="s">
        <v>886</v>
      </c>
    </row>
    <row r="110" spans="1:13" ht="39.950000000000003" hidden="1" customHeight="1" x14ac:dyDescent="0.25">
      <c r="A110" s="552" t="s">
        <v>401</v>
      </c>
      <c r="B110" s="110" t="s">
        <v>130</v>
      </c>
      <c r="C110" s="110" t="s">
        <v>159</v>
      </c>
      <c r="D110" s="110">
        <v>2018</v>
      </c>
      <c r="E110" s="110"/>
      <c r="F110" s="110"/>
      <c r="G110" s="110"/>
      <c r="H110" s="110" t="s">
        <v>415</v>
      </c>
      <c r="I110" s="110" t="s">
        <v>25</v>
      </c>
      <c r="J110" s="110">
        <f t="shared" si="2"/>
        <v>50</v>
      </c>
      <c r="K110" s="121"/>
      <c r="L110" s="110">
        <v>50</v>
      </c>
      <c r="M110" s="47" t="s">
        <v>886</v>
      </c>
    </row>
    <row r="111" spans="1:13" ht="39.950000000000003" hidden="1" customHeight="1" x14ac:dyDescent="0.25">
      <c r="A111" s="488" t="s">
        <v>826</v>
      </c>
      <c r="B111" s="110" t="s">
        <v>46</v>
      </c>
      <c r="C111" s="110" t="s">
        <v>157</v>
      </c>
      <c r="D111" s="110">
        <v>2019</v>
      </c>
      <c r="E111" s="110"/>
      <c r="F111" s="110"/>
      <c r="G111" s="110"/>
      <c r="H111" s="110" t="s">
        <v>366</v>
      </c>
      <c r="I111" s="110" t="s">
        <v>26</v>
      </c>
      <c r="J111" s="110">
        <f t="shared" si="2"/>
        <v>37</v>
      </c>
      <c r="K111" s="121"/>
      <c r="L111" s="110">
        <v>37</v>
      </c>
      <c r="M111" s="47" t="s">
        <v>886</v>
      </c>
    </row>
    <row r="112" spans="1:13" ht="39.950000000000003" hidden="1" customHeight="1" x14ac:dyDescent="0.25">
      <c r="A112" s="488" t="s">
        <v>876</v>
      </c>
      <c r="B112" s="110" t="s">
        <v>46</v>
      </c>
      <c r="C112" s="110" t="s">
        <v>157</v>
      </c>
      <c r="D112" s="110">
        <v>2018</v>
      </c>
      <c r="E112" s="110"/>
      <c r="F112" s="110"/>
      <c r="G112" s="110"/>
      <c r="H112" s="110"/>
      <c r="I112" s="110" t="s">
        <v>26</v>
      </c>
      <c r="J112" s="110">
        <f t="shared" si="2"/>
        <v>70</v>
      </c>
      <c r="K112" s="121"/>
      <c r="L112" s="110">
        <v>70</v>
      </c>
      <c r="M112" s="47" t="s">
        <v>886</v>
      </c>
    </row>
    <row r="113" spans="1:13" ht="39.950000000000003" hidden="1" customHeight="1" x14ac:dyDescent="0.25">
      <c r="A113" s="552" t="s">
        <v>367</v>
      </c>
      <c r="B113" s="110" t="s">
        <v>46</v>
      </c>
      <c r="C113" s="110" t="s">
        <v>157</v>
      </c>
      <c r="D113" s="110">
        <v>2019</v>
      </c>
      <c r="E113" s="110" t="s">
        <v>373</v>
      </c>
      <c r="F113" s="110" t="s">
        <v>630</v>
      </c>
      <c r="G113" s="110" t="s">
        <v>273</v>
      </c>
      <c r="H113" s="110" t="s">
        <v>366</v>
      </c>
      <c r="I113" s="111" t="s">
        <v>26</v>
      </c>
      <c r="J113" s="110">
        <f t="shared" si="2"/>
        <v>78</v>
      </c>
      <c r="K113" s="121"/>
      <c r="L113" s="110">
        <v>78</v>
      </c>
      <c r="M113" s="47" t="s">
        <v>886</v>
      </c>
    </row>
    <row r="114" spans="1:13" ht="39.950000000000003" hidden="1" customHeight="1" x14ac:dyDescent="0.25">
      <c r="A114" s="552" t="s">
        <v>709</v>
      </c>
      <c r="B114" s="110" t="s">
        <v>46</v>
      </c>
      <c r="C114" s="110" t="s">
        <v>157</v>
      </c>
      <c r="D114" s="110">
        <v>2019</v>
      </c>
      <c r="E114" s="110"/>
      <c r="F114" s="110"/>
      <c r="G114" s="110"/>
      <c r="H114" s="110" t="s">
        <v>712</v>
      </c>
      <c r="I114" s="110" t="s">
        <v>26</v>
      </c>
      <c r="J114" s="20">
        <f t="shared" si="2"/>
        <v>0</v>
      </c>
      <c r="K114" s="121"/>
      <c r="L114" s="110"/>
      <c r="M114" s="47" t="s">
        <v>886</v>
      </c>
    </row>
    <row r="115" spans="1:13" s="18" customFormat="1" ht="20.100000000000001" customHeight="1" x14ac:dyDescent="0.25">
      <c r="A115" s="236"/>
      <c r="B115" s="236"/>
      <c r="C115" s="236"/>
      <c r="D115" s="236"/>
      <c r="E115" s="236"/>
      <c r="F115" s="236"/>
      <c r="G115" s="236"/>
      <c r="H115" s="236"/>
      <c r="I115" s="236"/>
      <c r="J115" s="32">
        <f>SUM(J2:J114)</f>
        <v>3940</v>
      </c>
      <c r="K115" s="32">
        <f>SUM(K2:K114)</f>
        <v>609</v>
      </c>
      <c r="L115" s="32">
        <f>SUM(L2:L114)</f>
        <v>2681</v>
      </c>
      <c r="M115" s="236"/>
    </row>
    <row r="116" spans="1:13" s="18" customFormat="1" ht="14.25" customHeight="1" x14ac:dyDescent="0.25">
      <c r="A116" s="236"/>
      <c r="B116" s="242"/>
      <c r="C116" s="242"/>
      <c r="D116" s="242"/>
      <c r="E116" s="242">
        <f>COUNTA(#REF!)</f>
        <v>1</v>
      </c>
      <c r="F116" s="242"/>
      <c r="G116" s="242"/>
      <c r="H116" s="242"/>
      <c r="I116" s="242"/>
      <c r="J116" s="242"/>
      <c r="K116" s="242"/>
      <c r="L116" s="276"/>
      <c r="M116" s="242"/>
    </row>
    <row r="117" spans="1:13" s="18" customFormat="1" ht="15.6" customHeight="1" x14ac:dyDescent="0.25">
      <c r="A117" s="168"/>
      <c r="E117" s="27"/>
      <c r="F117" s="27"/>
      <c r="G117" s="27"/>
      <c r="H117" s="27"/>
      <c r="L117" s="276"/>
      <c r="M117" s="27"/>
    </row>
    <row r="118" spans="1:13" ht="15.75" thickBot="1" x14ac:dyDescent="0.3">
      <c r="C118" s="247"/>
    </row>
    <row r="119" spans="1:13" ht="15.75" thickBot="1" x14ac:dyDescent="0.3">
      <c r="J119" s="56">
        <f>SUBTOTAL(9,J2:J114)</f>
        <v>2921</v>
      </c>
      <c r="K119" s="57">
        <f>SUBTOTAL(9,K2:K114)</f>
        <v>609</v>
      </c>
      <c r="L119" s="57">
        <f>SUBTOTAL(9,L2:L114)</f>
        <v>2120</v>
      </c>
    </row>
    <row r="120" spans="1:13" x14ac:dyDescent="0.25">
      <c r="K120" s="62">
        <f>K119/$J$119</f>
        <v>0.20849024306744265</v>
      </c>
      <c r="L120" s="62">
        <f>L119/$J$119</f>
        <v>0.72577884286203354</v>
      </c>
    </row>
    <row r="121" spans="1:13" x14ac:dyDescent="0.25">
      <c r="J121" s="27">
        <f>J119-J31-J29</f>
        <v>2868</v>
      </c>
      <c r="K121" s="62"/>
      <c r="L121" s="62"/>
    </row>
    <row r="122" spans="1:13" ht="34.15" customHeight="1" x14ac:dyDescent="0.25">
      <c r="A122" s="251" t="s">
        <v>572</v>
      </c>
      <c r="B122" s="252" t="s">
        <v>442</v>
      </c>
      <c r="K122" s="62"/>
      <c r="L122" s="62"/>
    </row>
    <row r="123" spans="1:13" x14ac:dyDescent="0.25">
      <c r="K123" s="62"/>
      <c r="L123" s="62"/>
    </row>
    <row r="124" spans="1:13" x14ac:dyDescent="0.25">
      <c r="A124" s="253"/>
      <c r="D124" s="254"/>
    </row>
    <row r="125" spans="1:13" ht="26.45" customHeight="1" x14ac:dyDescent="0.25">
      <c r="A125" s="253"/>
      <c r="B125" s="255" t="s">
        <v>75</v>
      </c>
      <c r="C125" s="255" t="s">
        <v>76</v>
      </c>
      <c r="I125" s="248"/>
      <c r="J125" s="62"/>
    </row>
    <row r="126" spans="1:13" x14ac:dyDescent="0.25">
      <c r="A126" s="253" t="s">
        <v>59</v>
      </c>
      <c r="B126" s="27">
        <f>COUNTIF(Ville,"*Entre-Deux*")</f>
        <v>6</v>
      </c>
      <c r="C126" s="27">
        <f>SUMPRODUCT((Ville=A126)*(Nlgts))</f>
        <v>127</v>
      </c>
      <c r="I126" s="248"/>
      <c r="J126" s="62"/>
    </row>
    <row r="127" spans="1:13" x14ac:dyDescent="0.25">
      <c r="A127" s="253" t="s">
        <v>53</v>
      </c>
      <c r="B127" s="27">
        <f>COUNTIF(Ville,"*Etang-Salé*")</f>
        <v>6</v>
      </c>
      <c r="C127" s="27">
        <f t="shared" ref="C127:C135" si="3">SUMPRODUCT((Ville=A127)*(Nlgts))</f>
        <v>117</v>
      </c>
      <c r="E127" s="27" t="s">
        <v>237</v>
      </c>
      <c r="I127" s="248"/>
      <c r="J127" s="62"/>
    </row>
    <row r="128" spans="1:13" x14ac:dyDescent="0.25">
      <c r="A128" s="253" t="s">
        <v>101</v>
      </c>
      <c r="B128" s="27">
        <f>COUNTIF(Ville,"*Petite-Ile*")</f>
        <v>4</v>
      </c>
      <c r="C128" s="27">
        <f t="shared" si="3"/>
        <v>92</v>
      </c>
      <c r="I128" s="248"/>
      <c r="J128" s="62"/>
    </row>
    <row r="129" spans="1:13" x14ac:dyDescent="0.25">
      <c r="A129" s="253" t="s">
        <v>38</v>
      </c>
      <c r="B129" s="27">
        <f>COUNTIF(Ville,"*St Joseph*")</f>
        <v>19</v>
      </c>
      <c r="C129" s="27">
        <f t="shared" si="3"/>
        <v>488</v>
      </c>
      <c r="I129" s="248"/>
      <c r="J129" s="62"/>
    </row>
    <row r="130" spans="1:13" x14ac:dyDescent="0.25">
      <c r="A130" s="253" t="s">
        <v>44</v>
      </c>
      <c r="B130" s="27">
        <f>COUNTIF(Ville,"*St Leu*")</f>
        <v>14</v>
      </c>
      <c r="C130" s="27">
        <f t="shared" si="3"/>
        <v>393</v>
      </c>
      <c r="I130" s="248"/>
      <c r="J130" s="62"/>
    </row>
    <row r="131" spans="1:13" x14ac:dyDescent="0.25">
      <c r="A131" s="253" t="s">
        <v>62</v>
      </c>
      <c r="B131" s="27">
        <f>COUNTIF(Ville,"*St Paul*")</f>
        <v>9</v>
      </c>
      <c r="C131" s="27">
        <f t="shared" si="3"/>
        <v>372</v>
      </c>
      <c r="I131" s="248"/>
      <c r="J131" s="62"/>
    </row>
    <row r="132" spans="1:13" x14ac:dyDescent="0.25">
      <c r="A132" s="253" t="s">
        <v>41</v>
      </c>
      <c r="B132" s="27">
        <f>COUNTIF(Ville,"*St Philippe*")</f>
        <v>3</v>
      </c>
      <c r="C132" s="27">
        <f t="shared" si="3"/>
        <v>51</v>
      </c>
      <c r="I132" s="248"/>
      <c r="J132" s="62"/>
    </row>
    <row r="133" spans="1:13" x14ac:dyDescent="0.25">
      <c r="A133" s="253" t="s">
        <v>130</v>
      </c>
      <c r="B133" s="27">
        <f>COUNTIF(Ville,"*St Pierre*")</f>
        <v>4</v>
      </c>
      <c r="C133" s="27">
        <f t="shared" si="3"/>
        <v>303</v>
      </c>
      <c r="I133" s="248"/>
      <c r="J133" s="62"/>
    </row>
    <row r="134" spans="1:13" x14ac:dyDescent="0.25">
      <c r="A134" s="253" t="s">
        <v>46</v>
      </c>
      <c r="B134" s="27">
        <f>COUNTIF(Ville,"*Tampon*")</f>
        <v>37</v>
      </c>
      <c r="C134" s="27">
        <f t="shared" si="3"/>
        <v>1688</v>
      </c>
      <c r="I134" s="248"/>
      <c r="J134" s="62"/>
    </row>
    <row r="135" spans="1:13" x14ac:dyDescent="0.25">
      <c r="A135" s="253" t="s">
        <v>54</v>
      </c>
      <c r="B135" s="27">
        <f>COUNTIF(Ville,"*Trois Bassins*")</f>
        <v>1</v>
      </c>
      <c r="C135" s="27">
        <f t="shared" si="3"/>
        <v>24</v>
      </c>
      <c r="I135" s="248"/>
      <c r="J135" s="62"/>
    </row>
    <row r="136" spans="1:13" x14ac:dyDescent="0.25">
      <c r="B136" s="63">
        <f>SUM(B126:B135)</f>
        <v>103</v>
      </c>
      <c r="C136" s="63">
        <f>SUM(C126:C135)</f>
        <v>3655</v>
      </c>
      <c r="I136" s="248"/>
      <c r="J136" s="62"/>
    </row>
    <row r="140" spans="1:13" ht="15.75" thickBot="1" x14ac:dyDescent="0.3">
      <c r="B140" s="63">
        <v>2011</v>
      </c>
      <c r="C140" s="63">
        <v>2012</v>
      </c>
      <c r="D140" s="63">
        <v>2013</v>
      </c>
      <c r="E140" s="63">
        <v>2014</v>
      </c>
      <c r="F140" s="63">
        <v>2015</v>
      </c>
    </row>
    <row r="141" spans="1:13" x14ac:dyDescent="0.25">
      <c r="A141" s="285" t="s">
        <v>84</v>
      </c>
      <c r="B141" s="286" t="e">
        <f t="shared" ref="B141:B146" si="4">SUMPRODUCT((Notaire=A141)*(Prog=$B$140))</f>
        <v>#REF!</v>
      </c>
      <c r="C141" s="286" t="e">
        <f t="shared" ref="C141:C146" si="5">SUMPRODUCT((Notaire=A141)*(Prog=$C$140))</f>
        <v>#REF!</v>
      </c>
      <c r="D141" s="286" t="e">
        <f t="shared" ref="D141:D146" si="6">SUMPRODUCT((Notaire=A141)*(Prog=$D$140))</f>
        <v>#REF!</v>
      </c>
      <c r="E141" s="286" t="e">
        <f t="shared" ref="E141:E146" si="7">SUMPRODUCT((Notaire=A141)*(Prog=$E$140))</f>
        <v>#REF!</v>
      </c>
      <c r="F141" s="286" t="e">
        <f t="shared" ref="F141:F146" si="8">SUMPRODUCT((Notaire=A141)*(Prog=$F$140))</f>
        <v>#REF!</v>
      </c>
      <c r="G141" s="463"/>
      <c r="H141" s="62"/>
      <c r="M141" s="62"/>
    </row>
    <row r="142" spans="1:13" x14ac:dyDescent="0.25">
      <c r="A142" s="287" t="s">
        <v>279</v>
      </c>
      <c r="B142" s="288" t="e">
        <f t="shared" si="4"/>
        <v>#REF!</v>
      </c>
      <c r="C142" s="288" t="e">
        <f t="shared" si="5"/>
        <v>#REF!</v>
      </c>
      <c r="D142" s="288" t="e">
        <f t="shared" si="6"/>
        <v>#REF!</v>
      </c>
      <c r="E142" s="288" t="e">
        <f t="shared" si="7"/>
        <v>#REF!</v>
      </c>
      <c r="F142" s="288" t="e">
        <f t="shared" si="8"/>
        <v>#REF!</v>
      </c>
      <c r="G142" s="463"/>
      <c r="H142" s="62"/>
      <c r="M142" s="62"/>
    </row>
    <row r="143" spans="1:13" x14ac:dyDescent="0.25">
      <c r="A143" s="287" t="s">
        <v>195</v>
      </c>
      <c r="B143" s="288" t="e">
        <f t="shared" si="4"/>
        <v>#REF!</v>
      </c>
      <c r="C143" s="288" t="e">
        <f t="shared" si="5"/>
        <v>#REF!</v>
      </c>
      <c r="D143" s="288" t="e">
        <f t="shared" si="6"/>
        <v>#REF!</v>
      </c>
      <c r="E143" s="288" t="e">
        <f t="shared" si="7"/>
        <v>#REF!</v>
      </c>
      <c r="F143" s="288" t="e">
        <f t="shared" si="8"/>
        <v>#REF!</v>
      </c>
      <c r="G143" s="463"/>
      <c r="H143" s="62"/>
      <c r="M143" s="62"/>
    </row>
    <row r="144" spans="1:13" x14ac:dyDescent="0.25">
      <c r="A144" s="287" t="s">
        <v>188</v>
      </c>
      <c r="B144" s="288" t="e">
        <f t="shared" si="4"/>
        <v>#REF!</v>
      </c>
      <c r="C144" s="288" t="e">
        <f t="shared" si="5"/>
        <v>#REF!</v>
      </c>
      <c r="D144" s="288" t="e">
        <f t="shared" si="6"/>
        <v>#REF!</v>
      </c>
      <c r="E144" s="288" t="e">
        <f t="shared" si="7"/>
        <v>#REF!</v>
      </c>
      <c r="F144" s="288" t="e">
        <f t="shared" si="8"/>
        <v>#REF!</v>
      </c>
      <c r="G144" s="463"/>
      <c r="H144" s="62"/>
      <c r="M144" s="62"/>
    </row>
    <row r="145" spans="1:13" x14ac:dyDescent="0.25">
      <c r="A145" s="287" t="s">
        <v>88</v>
      </c>
      <c r="B145" s="288" t="e">
        <f t="shared" si="4"/>
        <v>#REF!</v>
      </c>
      <c r="C145" s="288" t="e">
        <f t="shared" si="5"/>
        <v>#REF!</v>
      </c>
      <c r="D145" s="288" t="e">
        <f t="shared" si="6"/>
        <v>#REF!</v>
      </c>
      <c r="E145" s="288" t="e">
        <f t="shared" si="7"/>
        <v>#REF!</v>
      </c>
      <c r="F145" s="288" t="e">
        <f t="shared" si="8"/>
        <v>#REF!</v>
      </c>
      <c r="G145" s="463"/>
      <c r="H145" s="62"/>
      <c r="M145" s="62"/>
    </row>
    <row r="146" spans="1:13" x14ac:dyDescent="0.25">
      <c r="A146" s="287" t="s">
        <v>202</v>
      </c>
      <c r="B146" s="288" t="e">
        <f t="shared" si="4"/>
        <v>#REF!</v>
      </c>
      <c r="C146" s="288" t="e">
        <f t="shared" si="5"/>
        <v>#REF!</v>
      </c>
      <c r="D146" s="288" t="e">
        <f t="shared" si="6"/>
        <v>#REF!</v>
      </c>
      <c r="E146" s="288" t="e">
        <f t="shared" si="7"/>
        <v>#REF!</v>
      </c>
      <c r="F146" s="288" t="e">
        <f t="shared" si="8"/>
        <v>#REF!</v>
      </c>
      <c r="G146" s="463"/>
      <c r="H146" s="62"/>
      <c r="M146" s="62"/>
    </row>
    <row r="147" spans="1:13" x14ac:dyDescent="0.25">
      <c r="B147" s="63" t="e">
        <f>SUBTOTAL(9,B141:B146)</f>
        <v>#REF!</v>
      </c>
      <c r="C147" s="63" t="e">
        <f>SUM(C141:C146)</f>
        <v>#REF!</v>
      </c>
      <c r="D147" s="63" t="e">
        <f>SUM(D141:D146)</f>
        <v>#REF!</v>
      </c>
      <c r="E147" s="63" t="e">
        <f>SUM(E141:E146)</f>
        <v>#REF!</v>
      </c>
      <c r="F147" s="63" t="e">
        <f>SUM(F141:F146)</f>
        <v>#REF!</v>
      </c>
      <c r="I147" s="63" t="e">
        <f>SUM(D141:D146)</f>
        <v>#REF!</v>
      </c>
      <c r="J147" s="63" t="e">
        <f>SUM(E141:E146)</f>
        <v>#REF!</v>
      </c>
    </row>
    <row r="155" spans="1:13" x14ac:dyDescent="0.25">
      <c r="C155" s="467"/>
      <c r="D155" s="468" t="s">
        <v>278</v>
      </c>
      <c r="E155" s="468" t="s">
        <v>439</v>
      </c>
      <c r="F155" s="468" t="s">
        <v>277</v>
      </c>
      <c r="G155" s="469" t="s">
        <v>274</v>
      </c>
      <c r="H155" s="469" t="s">
        <v>276</v>
      </c>
      <c r="M155" s="469"/>
    </row>
    <row r="156" spans="1:13" x14ac:dyDescent="0.25">
      <c r="C156" s="468" t="s">
        <v>412</v>
      </c>
      <c r="D156" s="470">
        <f t="shared" ref="D156:D165" si="9">SUMPRODUCT((RO=C156)*(Ass=$D$155)*(Avancement&lt;&gt;"patrimoine"))</f>
        <v>2</v>
      </c>
      <c r="E156" s="470">
        <f t="shared" ref="E156:E165" si="10">SUMPRODUCT((RO=C156)*(Ass=$E$155)*(Avancement&lt;&gt;"patrimoine"))</f>
        <v>0</v>
      </c>
      <c r="F156" s="470">
        <f t="shared" ref="F156:F165" si="11">SUMPRODUCT((RO=C156)*(Ass=$F$155)*(Avancement&lt;&gt;"patrimoine"))</f>
        <v>1</v>
      </c>
      <c r="G156" s="470">
        <f t="shared" ref="G156:G165" si="12">SUMPRODUCT((RO=C156)*(Ass=$G$155)*(Avancement&lt;&gt;"patrimoine"))</f>
        <v>0</v>
      </c>
      <c r="H156" s="470">
        <f t="shared" ref="H156:H165" si="13">SUMPRODUCT((RO=C156)*(Ass=$H$155)*(Avancement&lt;&gt;"patrimoine"))</f>
        <v>0</v>
      </c>
      <c r="M156" s="470"/>
    </row>
    <row r="157" spans="1:13" x14ac:dyDescent="0.25">
      <c r="C157" s="468" t="s">
        <v>199</v>
      </c>
      <c r="D157" s="470">
        <f t="shared" si="9"/>
        <v>0</v>
      </c>
      <c r="E157" s="470">
        <f t="shared" si="10"/>
        <v>0</v>
      </c>
      <c r="F157" s="470">
        <f t="shared" si="11"/>
        <v>0</v>
      </c>
      <c r="G157" s="470">
        <f t="shared" si="12"/>
        <v>0</v>
      </c>
      <c r="H157" s="470">
        <f t="shared" si="13"/>
        <v>0</v>
      </c>
      <c r="M157" s="470"/>
    </row>
    <row r="158" spans="1:13" x14ac:dyDescent="0.25">
      <c r="C158" s="468" t="s">
        <v>511</v>
      </c>
      <c r="D158" s="470">
        <f t="shared" si="9"/>
        <v>2</v>
      </c>
      <c r="E158" s="470">
        <f t="shared" si="10"/>
        <v>0</v>
      </c>
      <c r="F158" s="470">
        <f t="shared" si="11"/>
        <v>0</v>
      </c>
      <c r="G158" s="470">
        <f t="shared" si="12"/>
        <v>0</v>
      </c>
      <c r="H158" s="470">
        <f t="shared" si="13"/>
        <v>0</v>
      </c>
      <c r="M158" s="470"/>
    </row>
    <row r="159" spans="1:13" x14ac:dyDescent="0.25">
      <c r="C159" s="468" t="s">
        <v>40</v>
      </c>
      <c r="D159" s="470">
        <f t="shared" si="9"/>
        <v>1</v>
      </c>
      <c r="E159" s="470">
        <f t="shared" si="10"/>
        <v>0</v>
      </c>
      <c r="F159" s="470">
        <f t="shared" si="11"/>
        <v>2</v>
      </c>
      <c r="G159" s="470">
        <f t="shared" si="12"/>
        <v>0</v>
      </c>
      <c r="H159" s="470">
        <f t="shared" si="13"/>
        <v>1</v>
      </c>
      <c r="M159" s="470"/>
    </row>
    <row r="160" spans="1:13" x14ac:dyDescent="0.25">
      <c r="C160" s="468" t="s">
        <v>48</v>
      </c>
      <c r="D160" s="470">
        <f t="shared" si="9"/>
        <v>0</v>
      </c>
      <c r="E160" s="470">
        <f t="shared" si="10"/>
        <v>0</v>
      </c>
      <c r="F160" s="470">
        <f t="shared" si="11"/>
        <v>0</v>
      </c>
      <c r="G160" s="470">
        <f t="shared" si="12"/>
        <v>0</v>
      </c>
      <c r="H160" s="470">
        <f t="shared" si="13"/>
        <v>2</v>
      </c>
      <c r="M160" s="470"/>
    </row>
    <row r="161" spans="3:13" x14ac:dyDescent="0.25">
      <c r="C161" s="468" t="s">
        <v>637</v>
      </c>
      <c r="D161" s="470">
        <f t="shared" si="9"/>
        <v>3</v>
      </c>
      <c r="E161" s="470">
        <f t="shared" si="10"/>
        <v>0</v>
      </c>
      <c r="F161" s="470">
        <f t="shared" si="11"/>
        <v>0</v>
      </c>
      <c r="G161" s="470">
        <f t="shared" si="12"/>
        <v>0</v>
      </c>
      <c r="H161" s="470">
        <f t="shared" si="13"/>
        <v>0</v>
      </c>
      <c r="M161" s="470"/>
    </row>
    <row r="162" spans="3:13" x14ac:dyDescent="0.25">
      <c r="C162" s="468" t="s">
        <v>630</v>
      </c>
      <c r="D162" s="470">
        <f t="shared" si="9"/>
        <v>1</v>
      </c>
      <c r="E162" s="470">
        <f t="shared" si="10"/>
        <v>0</v>
      </c>
      <c r="F162" s="470">
        <f t="shared" si="11"/>
        <v>0</v>
      </c>
      <c r="G162" s="470">
        <f t="shared" si="12"/>
        <v>0</v>
      </c>
      <c r="H162" s="470">
        <f t="shared" si="13"/>
        <v>1</v>
      </c>
      <c r="M162" s="470"/>
    </row>
    <row r="163" spans="3:13" x14ac:dyDescent="0.25">
      <c r="C163" s="468" t="s">
        <v>113</v>
      </c>
      <c r="D163" s="470">
        <f>SUMPRODUCT((RO=C163)*(Ass=$D$155)*(Avancement&lt;&gt;"patrimoine"))</f>
        <v>0</v>
      </c>
      <c r="E163" s="470">
        <f>SUMPRODUCT((RO=C163)*(Ass=$E$155)*(Avancement&lt;&gt;"patrimoine"))</f>
        <v>1</v>
      </c>
      <c r="F163" s="470">
        <f>SUMPRODUCT((RO=C163)*(Ass=$F$155)*(Avancement&lt;&gt;"patrimoine"))</f>
        <v>0</v>
      </c>
      <c r="G163" s="470">
        <f>SUMPRODUCT((RO=C163)*(Ass=$G$155)*(Avancement&lt;&gt;"patrimoine"))</f>
        <v>0</v>
      </c>
      <c r="H163" s="470">
        <f>SUMPRODUCT((RO=C163)*(Ass=$H$155)*(Avancement&lt;&gt;"patrimoine"))</f>
        <v>0</v>
      </c>
      <c r="M163" s="470"/>
    </row>
    <row r="164" spans="3:13" x14ac:dyDescent="0.25">
      <c r="C164" s="468" t="s">
        <v>74</v>
      </c>
      <c r="D164" s="470">
        <f t="shared" si="9"/>
        <v>0</v>
      </c>
      <c r="E164" s="470">
        <f t="shared" si="10"/>
        <v>1</v>
      </c>
      <c r="F164" s="470">
        <f t="shared" si="11"/>
        <v>1</v>
      </c>
      <c r="G164" s="470">
        <f t="shared" si="12"/>
        <v>0</v>
      </c>
      <c r="H164" s="470">
        <f t="shared" si="13"/>
        <v>0</v>
      </c>
      <c r="M164" s="470"/>
    </row>
    <row r="165" spans="3:13" x14ac:dyDescent="0.25">
      <c r="C165" s="468" t="s">
        <v>638</v>
      </c>
      <c r="D165" s="470">
        <f t="shared" si="9"/>
        <v>2</v>
      </c>
      <c r="E165" s="470">
        <f t="shared" si="10"/>
        <v>1</v>
      </c>
      <c r="F165" s="470">
        <f t="shared" si="11"/>
        <v>1</v>
      </c>
      <c r="G165" s="470">
        <f t="shared" si="12"/>
        <v>0</v>
      </c>
      <c r="H165" s="470">
        <f t="shared" si="13"/>
        <v>0</v>
      </c>
      <c r="M165" s="470"/>
    </row>
    <row r="166" spans="3:13" x14ac:dyDescent="0.25">
      <c r="C166" s="467"/>
      <c r="D166" s="470">
        <f>SUM(D156:D165)</f>
        <v>11</v>
      </c>
      <c r="E166" s="470">
        <f>SUM(E156:E165)</f>
        <v>3</v>
      </c>
      <c r="F166" s="470">
        <f>SUM(F156:F165)</f>
        <v>5</v>
      </c>
      <c r="G166" s="470">
        <f>SUM(G156:G165)</f>
        <v>0</v>
      </c>
      <c r="H166" s="470">
        <f>SUM(H156:H165)</f>
        <v>4</v>
      </c>
      <c r="M166" s="470"/>
    </row>
    <row r="167" spans="3:13" x14ac:dyDescent="0.25">
      <c r="C167" s="467"/>
      <c r="D167" s="467"/>
      <c r="E167" s="467"/>
      <c r="F167" s="467"/>
      <c r="G167" s="467">
        <v>-2</v>
      </c>
      <c r="H167" s="467">
        <v>-1</v>
      </c>
      <c r="M167" s="467"/>
    </row>
    <row r="168" spans="3:13" x14ac:dyDescent="0.25">
      <c r="C168" s="467"/>
      <c r="D168" s="468">
        <f>D166+D167</f>
        <v>11</v>
      </c>
      <c r="E168" s="468">
        <f>E166+E167</f>
        <v>3</v>
      </c>
      <c r="F168" s="468">
        <f>F166+F167</f>
        <v>5</v>
      </c>
      <c r="G168" s="468">
        <f>G166+G167</f>
        <v>-2</v>
      </c>
      <c r="H168" s="468">
        <f>H166+H167</f>
        <v>3</v>
      </c>
      <c r="M168" s="468"/>
    </row>
    <row r="170" spans="3:13" x14ac:dyDescent="0.25">
      <c r="C170" s="467"/>
      <c r="D170" s="471" t="s">
        <v>420</v>
      </c>
      <c r="E170" s="471" t="s">
        <v>16</v>
      </c>
      <c r="F170" s="471" t="s">
        <v>646</v>
      </c>
    </row>
    <row r="171" spans="3:13" x14ac:dyDescent="0.2">
      <c r="C171" s="472" t="s">
        <v>617</v>
      </c>
      <c r="D171" s="471" t="s">
        <v>645</v>
      </c>
      <c r="E171" s="471" t="s">
        <v>199</v>
      </c>
      <c r="F171" s="471" t="s">
        <v>278</v>
      </c>
    </row>
    <row r="172" spans="3:13" x14ac:dyDescent="0.2">
      <c r="C172" s="472" t="s">
        <v>613</v>
      </c>
      <c r="D172" s="471" t="s">
        <v>647</v>
      </c>
      <c r="E172" s="471" t="s">
        <v>199</v>
      </c>
      <c r="F172" s="471" t="s">
        <v>273</v>
      </c>
    </row>
    <row r="173" spans="3:13" x14ac:dyDescent="0.2">
      <c r="C173" s="472" t="s">
        <v>614</v>
      </c>
      <c r="D173" s="471" t="s">
        <v>243</v>
      </c>
      <c r="E173" s="471" t="s">
        <v>199</v>
      </c>
      <c r="F173" s="471" t="s">
        <v>273</v>
      </c>
    </row>
    <row r="174" spans="3:13" x14ac:dyDescent="0.2">
      <c r="C174" s="472" t="s">
        <v>615</v>
      </c>
      <c r="D174" s="471" t="s">
        <v>243</v>
      </c>
      <c r="E174" s="471" t="s">
        <v>199</v>
      </c>
      <c r="F174" s="471" t="s">
        <v>370</v>
      </c>
    </row>
    <row r="175" spans="3:13" x14ac:dyDescent="0.2">
      <c r="C175" s="473" t="s">
        <v>616</v>
      </c>
      <c r="D175" s="471" t="s">
        <v>243</v>
      </c>
      <c r="E175" s="471" t="s">
        <v>48</v>
      </c>
      <c r="F175" s="471" t="s">
        <v>370</v>
      </c>
    </row>
    <row r="176" spans="3:13" x14ac:dyDescent="0.2">
      <c r="C176" s="473" t="s">
        <v>648</v>
      </c>
      <c r="D176" s="471" t="s">
        <v>649</v>
      </c>
      <c r="E176" s="471" t="s">
        <v>199</v>
      </c>
      <c r="F176" s="471"/>
    </row>
  </sheetData>
  <autoFilter ref="A1:L117">
    <filterColumn colId="3">
      <filters blank="1">
        <filter val="2010"/>
        <filter val="2011"/>
        <filter val="2012"/>
        <filter val="2013"/>
        <filter val="2014"/>
        <filter val="2015"/>
        <filter val="2016"/>
        <filter val="2017"/>
      </filters>
    </filterColumn>
  </autoFilter>
  <dataConsolidate/>
  <dataValidations count="5">
    <dataValidation type="list" allowBlank="1" showInputMessage="1" showErrorMessage="1" sqref="B2:B114">
      <formula1>"Avirons,Cilaos,Entre-Deux,Etang-Salé,La Possession,Petite-Ile,St Joseph,St Leu,St Louis,St Paul,St Philippe,St Pierre,Tampon,Trois Bassins"</formula1>
    </dataValidation>
    <dataValidation type="list" allowBlank="1" showInputMessage="1" showErrorMessage="1" sqref="F2:F114">
      <formula1>"ADE,AGA,APU,BBL,FBR,FHO,FVA,JER,YFR"</formula1>
    </dataValidation>
    <dataValidation type="list" allowBlank="1" showInputMessage="1" showErrorMessage="1" sqref="C2:C114">
      <formula1>"CA SUD,CIVIS,TCO"</formula1>
    </dataValidation>
    <dataValidation type="list" allowBlank="1" showInputMessage="1" showErrorMessage="1" sqref="I2:I114">
      <formula1>"LLS,LLTS,PLS,Rehab"</formula1>
    </dataValidation>
    <dataValidation type="list" allowBlank="1" showInputMessage="1" showErrorMessage="1" sqref="B115:C115">
      <formula1>"Avirons,Entre-Deux,Etang-Salé,Petite-Ile,St Joseph,St Leu,St Louis,St Paul,St Philippe,St Pierre,Tampon,Trois Bassins"</formula1>
    </dataValidation>
  </dataValidations>
  <pageMargins left="0.23622047244094491" right="0.23622047244094491" top="0.74803149606299213" bottom="0.74803149606299213" header="0.31496062992125984" footer="0.31496062992125984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31</vt:i4>
      </vt:variant>
    </vt:vector>
  </HeadingPairs>
  <TitlesOfParts>
    <vt:vector size="40" baseType="lpstr">
      <vt:lpstr>Evolution LBU</vt:lpstr>
      <vt:lpstr>Fonds propres</vt:lpstr>
      <vt:lpstr>SYNTHESE</vt:lpstr>
      <vt:lpstr>Données initiales</vt:lpstr>
      <vt:lpstr>Feuil4</vt:lpstr>
      <vt:lpstr>Répartition bassin</vt:lpstr>
      <vt:lpstr>Répartition commune</vt:lpstr>
      <vt:lpstr>avant 2011</vt:lpstr>
      <vt:lpstr>Perimètre SALVIA</vt:lpstr>
      <vt:lpstr>Arrangeur</vt:lpstr>
      <vt:lpstr>Arrêté_LBU</vt:lpstr>
      <vt:lpstr>'Perimètre SALVIA'!Ass</vt:lpstr>
      <vt:lpstr>Ass</vt:lpstr>
      <vt:lpstr>'Perimètre SALVIA'!Avancement</vt:lpstr>
      <vt:lpstr>Avancement</vt:lpstr>
      <vt:lpstr>Bdgt</vt:lpstr>
      <vt:lpstr>HonoS</vt:lpstr>
      <vt:lpstr>'Données initiales'!Impression_des_titres</vt:lpstr>
      <vt:lpstr>'Perimètre SALVIA'!Impression_des_titres</vt:lpstr>
      <vt:lpstr>LBU</vt:lpstr>
      <vt:lpstr>Livraison</vt:lpstr>
      <vt:lpstr>'Perimètre SALVIA'!LLS</vt:lpstr>
      <vt:lpstr>LLS</vt:lpstr>
      <vt:lpstr>'Perimètre SALVIA'!LLTS</vt:lpstr>
      <vt:lpstr>LLTS</vt:lpstr>
      <vt:lpstr>'Perimètre SALVIA'!Nlgts</vt:lpstr>
      <vt:lpstr>Nlgts</vt:lpstr>
      <vt:lpstr>Notaire</vt:lpstr>
      <vt:lpstr>OS</vt:lpstr>
      <vt:lpstr>'Perimètre SALVIA'!Prog</vt:lpstr>
      <vt:lpstr>Prog</vt:lpstr>
      <vt:lpstr>Px_Foncier</vt:lpstr>
      <vt:lpstr>'Perimètre SALVIA'!RO</vt:lpstr>
      <vt:lpstr>RO</vt:lpstr>
      <vt:lpstr>Type</vt:lpstr>
      <vt:lpstr>'Perimètre SALVIA'!Ville</vt:lpstr>
      <vt:lpstr>Ville</vt:lpstr>
      <vt:lpstr>'avant 2011'!Zone_d_impression</vt:lpstr>
      <vt:lpstr>'Données initiales'!Zone_d_impression</vt:lpstr>
      <vt:lpstr>'Perimètre SALVIA'!Zone_d_impression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NBL</dc:creator>
  <cp:lastModifiedBy>Nathalie BLANDINO</cp:lastModifiedBy>
  <cp:lastPrinted>2017-02-23T16:06:16Z</cp:lastPrinted>
  <dcterms:created xsi:type="dcterms:W3CDTF">2012-11-19T18:43:46Z</dcterms:created>
  <dcterms:modified xsi:type="dcterms:W3CDTF">2017-02-23T16:40:00Z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2</vt:i4>
  </property>
</Properties>
</file>