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4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6.xml" ContentType="application/vnd.openxmlformats-officedocument.drawing+xml"/>
  <Override PartName="/xl/charts/chart15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7.xml" ContentType="application/vnd.openxmlformats-officedocument.drawing+xml"/>
  <Override PartName="/xl/charts/chart16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8.xml" ContentType="application/vnd.openxmlformats-officedocument.drawing+xml"/>
  <Override PartName="/xl/charts/chart17.xml" ContentType="application/vnd.openxmlformats-officedocument.drawingml.chart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FICS-01\Organisation\4 - DOP\42 - Pôle Construction Immobilière\Pôle Immobilier\Financement, PRD, Gest° OP\"/>
    </mc:Choice>
  </mc:AlternateContent>
  <bookViews>
    <workbookView xWindow="0" yWindow="660" windowWidth="13905" windowHeight="1110" tabRatio="870" activeTab="3"/>
  </bookViews>
  <sheets>
    <sheet name="SYNTHESE" sheetId="19" r:id="rId1"/>
    <sheet name="CONVENTIONS SIGNEES " sheetId="30" r:id="rId2"/>
    <sheet name="FRAFU DEAL" sheetId="21" r:id="rId3"/>
    <sheet name="LBU DEAL" sheetId="8" r:id="rId4"/>
    <sheet name="ST LEU" sheetId="5" r:id="rId5"/>
    <sheet name="GLOBAL OPERATION" sheetId="29" r:id="rId6"/>
    <sheet name="ADEME" sheetId="15" r:id="rId7"/>
    <sheet name="EDF" sheetId="22" r:id="rId8"/>
    <sheet name="LBU REHAB" sheetId="27" r:id="rId9"/>
    <sheet name="CAF" sheetId="9" r:id="rId10"/>
    <sheet name="REGION" sheetId="13" r:id="rId11"/>
    <sheet name="RECTORAT" sheetId="28" r:id="rId12"/>
    <sheet name="DIECCTE" sheetId="11" r:id="rId13"/>
    <sheet name="TCO" sheetId="14" r:id="rId14"/>
    <sheet name="FEDER" sheetId="10" r:id="rId15"/>
    <sheet name="PETITE ILE" sheetId="18" r:id="rId16"/>
    <sheet name="OFFICE DE L'EAU" sheetId="23" r:id="rId17"/>
    <sheet name="ETANG-SALE" sheetId="24" r:id="rId18"/>
    <sheet name="ST JOSEPH" sheetId="26" r:id="rId19"/>
    <sheet name="CILGERE" sheetId="12" state="hidden" r:id="rId20"/>
    <sheet name="cilgère" sheetId="25" r:id="rId21"/>
  </sheets>
  <definedNames>
    <definedName name="_xlnm._FilterDatabase" localSheetId="9" hidden="1">CAF!$A$4:$P$5</definedName>
    <definedName name="_xlnm._FilterDatabase" localSheetId="1" hidden="1">'CONVENTIONS SIGNEES '!$A$1:$D$19</definedName>
    <definedName name="_xlnm._FilterDatabase" localSheetId="12" hidden="1">DIECCTE!$A$4:$M$5</definedName>
    <definedName name="_xlnm._FilterDatabase" localSheetId="7" hidden="1">EDF!$A$4:$M$61</definedName>
    <definedName name="_xlnm._FilterDatabase" localSheetId="14" hidden="1">FEDER!$A$4:$R$5</definedName>
    <definedName name="_xlnm._FilterDatabase" localSheetId="2" hidden="1">'FRAFU DEAL'!$A$5:$S$155</definedName>
    <definedName name="_xlnm._FilterDatabase" localSheetId="5" hidden="1">'GLOBAL OPERATION'!$A$2:$DT$92</definedName>
    <definedName name="_xlnm._FilterDatabase" localSheetId="3" hidden="1">'LBU DEAL'!$A$4:$T$408</definedName>
    <definedName name="_xlnm._FilterDatabase" localSheetId="10" hidden="1">REGION!$A$4:$R$5</definedName>
    <definedName name="_xlnm._FilterDatabase" localSheetId="4" hidden="1">'ST LEU'!$A$4:$L$36</definedName>
    <definedName name="_xlnm._FilterDatabase" localSheetId="13" hidden="1">TCO!$A$4:$O$5</definedName>
    <definedName name="Bdgt_ADEME">ADEME!$E$6:$E$25</definedName>
    <definedName name="Bdgt_CAF">CAF!$E$6:$E$41</definedName>
    <definedName name="Bdgt_DIECCTE">DIECCTE!$D$6:$D$10</definedName>
    <definedName name="Bdgt_EAU">'OFFICE DE L''EAU'!$D$6:$D$14</definedName>
    <definedName name="Bdgt_EDF">EDF!$E$6:$E$85</definedName>
    <definedName name="Bdgt_ETG_SALE">'ETANG-SALE'!$D$5:$D$11</definedName>
    <definedName name="Bdgt_FEDER">FEDER!$G$6:$G$13</definedName>
    <definedName name="Bdgt_FRAFU">'FRAFU DEAL'!$H$6:$H$153</definedName>
    <definedName name="Bdgt_LBU">'LBU DEAL'!$I$6:$I$406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REHAB'!$I$6:$I$57</definedName>
    <definedName name="Bdgt_ST_JO">'ST JOSEPH'!$D$5:$D$16</definedName>
    <definedName name="Bdgt_ST_LEU">'ST LEU'!$D$6:$D$45</definedName>
    <definedName name="Bdgt_TCO">TCO!$E$6:$E$15</definedName>
    <definedName name="Date_AF_ETG_SALE">'ETANG-SALE'!$G$5:$G$11</definedName>
    <definedName name="Date_AF_FRAFU">'FRAFU DEAL'!$L$6:$L$153</definedName>
    <definedName name="DateAF">'FRAFU DEAL'!$L$6:$L$153</definedName>
    <definedName name="DateAF_ADEME">ADEME!$H$6:$H$25</definedName>
    <definedName name="DateAF_CAF">CAF!$I$6:$I$41</definedName>
    <definedName name="DateAF_EAU">'OFFICE DE L''EAU'!$G$6:$G$14</definedName>
    <definedName name="DateAF_EDF">EDF!$H$6:$H$85</definedName>
    <definedName name="DateAF_FEDER">FEDER!$K$6:$K$13</definedName>
    <definedName name="DateAF_LBU">'LBU DEAL'!$M$6:$M$406</definedName>
    <definedName name="DateAF_LBU_rehab">'LBU REHAB'!$M$6:$M$57</definedName>
    <definedName name="DateAF_P_ILE">'PETITE ILE'!$F$7:$F$16</definedName>
    <definedName name="DateAF_Rectorat">RECTORAT!$K$6:$K$13</definedName>
    <definedName name="DateAF_Region">REGION!$K$6:$K$29</definedName>
    <definedName name="DateAF_ST_JOSEPH">'ST JOSEPH'!$H$6:$H$15</definedName>
    <definedName name="DateAF_ST_LEU">'ST LEU'!$G$6:$G$45</definedName>
    <definedName name="DateAF_TCO">TCO!$H$6:$H$15</definedName>
    <definedName name="DatePmt">'FRAFU DEAL'!$N$6:$N$153</definedName>
    <definedName name="DatePmt_ADEME">ADEME!$J$6:$J$25</definedName>
    <definedName name="DatePmt_caf">CAF!$K$6:$K$41</definedName>
    <definedName name="DatePmt_DIECCTE">DIECCTE!$I$6:$I$10</definedName>
    <definedName name="DatePmt_EAU">'OFFICE DE L''EAU'!$I$6:$I$14</definedName>
    <definedName name="DatePmt_EDF">EDF!$J$6:$J$85</definedName>
    <definedName name="DatePmt_ETG_SALE">'ETANG-SALE'!$I$5:$I$11</definedName>
    <definedName name="DatePmt_FEDER">FEDER!$M$6:$M$13</definedName>
    <definedName name="DatePmt_LBU">'LBU DEAL'!$O$6:$O$406</definedName>
    <definedName name="DatePmt_P_ILE">'PETITE ILE'!$H$6:$H$16</definedName>
    <definedName name="DatePmt_Rectorat">RECTORAT!$M$6:$M$13</definedName>
    <definedName name="DatePmt_Region">REGION!$M$6:$M$29</definedName>
    <definedName name="DatePmt_ST_JOSEPH">'ST JOSEPH'!$J$5:$J$16</definedName>
    <definedName name="DatePmt_ST_LEU">'ST LEU'!$I$6:$I$45</definedName>
    <definedName name="DatePmt_TCO">TCO!$J$6:$J$15</definedName>
    <definedName name="DatePmtRehab">'LBU REHAB'!$O$6:$O$57</definedName>
    <definedName name="_xlnm.Print_Titles" localSheetId="4">'ST LEU'!$4:$4</definedName>
    <definedName name="MontantAF">'FRAFU DEAL'!$J$6:$J$153</definedName>
    <definedName name="MontantAF_ADEME">ADEME!$F$6:$F$25</definedName>
    <definedName name="MontantAF_CAF">CAF!$G$6:$G$41</definedName>
    <definedName name="MontantAF_EAU">'OFFICE DE L''EAU'!$E$6:$E$14</definedName>
    <definedName name="MontantAF_EDF">EDF!$F$6:$F$85</definedName>
    <definedName name="MontantAF_ETG_SALE">'ETANG-SALE'!$E$5:$E$11</definedName>
    <definedName name="MontantAF_FEDER">FEDER!$I$6:$I$13</definedName>
    <definedName name="MontantAF_FRAFU">'FRAFU DEAL'!$J$6:$J$153</definedName>
    <definedName name="MontantAF_LBU">'LBU DEAL'!$K$6:$K$406</definedName>
    <definedName name="MontantAF_LBU_rehab">'LBU REHAB'!$K$6:$K$57</definedName>
    <definedName name="MontantAF_P_ILE">'PETITE ILE'!$D$7:$D$16</definedName>
    <definedName name="MontantAF_Rectorat">RECTORAT!$I$6:$I$13</definedName>
    <definedName name="MontantAF_Region">REGION!$I$6:$I$29</definedName>
    <definedName name="MontantAF_ST_JOSEPH">'ST JOSEPH'!$F$6:$F$15</definedName>
    <definedName name="MontantAF_ST_LEU">'ST LEU'!$E$6:$E$45</definedName>
    <definedName name="MontantAF_TCO">TCO!$F$6:$F$15</definedName>
    <definedName name="MontantPaye">'FRAFU DEAL'!$M$6:$M$153</definedName>
    <definedName name="MontantPayeRehab">'LBU REHAB'!$N$6:$N$57</definedName>
    <definedName name="MtntPaye_ADEME">ADEME!$I$6:$I$25</definedName>
    <definedName name="MtntPaye_CAF">CAF!$J$6:$J$41</definedName>
    <definedName name="MtntPaye_DIECCTE">DIECCTE!$H$6:$H$10</definedName>
    <definedName name="MtntPaye_EAU">'OFFICE DE L''EAU'!$H$6:$H$14</definedName>
    <definedName name="MtntPaye_EDF">EDF!$I$6:$I$85</definedName>
    <definedName name="MtntPaye_ETG_SALE">'ETANG-SALE'!$H$5:$H$11</definedName>
    <definedName name="MtntPaye_FEDER">FEDER!$L$6:$L$13</definedName>
    <definedName name="MtntPaye_LBU">'LBU DEAL'!$N$6:$N$406</definedName>
    <definedName name="MtntPaye_P_ILE">'PETITE ILE'!$G$6:$G$16</definedName>
    <definedName name="MtntPaye_Rectorat">RECTORAT!$L$6:$L$13</definedName>
    <definedName name="MtntPaye_Region">REGION!$L$6:$L$29</definedName>
    <definedName name="MtntPaye_ST_JOSEPH">'ST JOSEPH'!$I$5:$I$16</definedName>
    <definedName name="MtntPaye_ST_LEU">'ST LEU'!$H$6:$H$45</definedName>
    <definedName name="MtntPaye_TCO">TCO!$I$6:$I$15</definedName>
    <definedName name="OP_ADEME">ADEME!$A$6:$A$25</definedName>
    <definedName name="OP_CAF">CAF!$A$6:$A$41</definedName>
    <definedName name="OP_DIECCTE">DIECCTE!$A$6:$A$10</definedName>
    <definedName name="OP_EAU">'OFFICE DE L''EAU'!$A$6:$A$14</definedName>
    <definedName name="OP_EDF">EDF!$A$6:$A$85</definedName>
    <definedName name="OP_ETG_SALE">'ETANG-SALE'!$A$5:$A$11</definedName>
    <definedName name="OP_FEDER">FEDER!$A$6:$A$13</definedName>
    <definedName name="OP_FRAFU">'FRAFU DEAL'!$A$6:$A$153</definedName>
    <definedName name="OP_LBU">'LBU DEAL'!$A$6:$A$406</definedName>
    <definedName name="OP_P_Ile">'PETITE ILE'!$A$6:$A$16</definedName>
    <definedName name="OP_Rectorat">RECTORAT!$A$6:$A$13</definedName>
    <definedName name="OP_Region">REGION!$A$6:$A$29</definedName>
    <definedName name="OP_Rehab">'LBU REHAB'!$A$6:$A$57</definedName>
    <definedName name="OP_ST_JO">'ST JOSEPH'!$A$5:$A$16</definedName>
    <definedName name="OP_ST_LEU">'ST LEU'!$A$6:$A$45</definedName>
    <definedName name="OP_TCO">TCO!$A$6:$A$15</definedName>
    <definedName name="_xlnm.Print_Area" localSheetId="9">CAF!$A$1:$P$97</definedName>
    <definedName name="_xlnm.Print_Area" localSheetId="2">'FRAFU DEAL'!$A$1:$S$305</definedName>
    <definedName name="_xlnm.Print_Area" localSheetId="3">'LBU DEAL'!$A$1:$T$408</definedName>
    <definedName name="_xlnm.Print_Area" localSheetId="4">'ST LEU'!$A$1:$N$92</definedName>
  </definedNames>
  <calcPr calcId="162913"/>
</workbook>
</file>

<file path=xl/calcChain.xml><?xml version="1.0" encoding="utf-8"?>
<calcChain xmlns="http://schemas.openxmlformats.org/spreadsheetml/2006/main">
  <c r="K411" i="8" l="1"/>
  <c r="M54" i="22"/>
  <c r="F90" i="22"/>
  <c r="F86" i="22"/>
  <c r="K407" i="8" l="1"/>
  <c r="Q404" i="8"/>
  <c r="Q402" i="8"/>
  <c r="R404" i="8"/>
  <c r="R403" i="8"/>
  <c r="Q403" i="8"/>
  <c r="N403" i="8"/>
  <c r="G403" i="8"/>
  <c r="D403" i="8"/>
  <c r="C88" i="29"/>
  <c r="D88" i="29"/>
  <c r="E88" i="29"/>
  <c r="F88" i="29"/>
  <c r="G88" i="29"/>
  <c r="H88" i="29"/>
  <c r="I88" i="29"/>
  <c r="J88" i="29"/>
  <c r="K88" i="29"/>
  <c r="L88" i="29"/>
  <c r="M88" i="29"/>
  <c r="N88" i="29"/>
  <c r="O88" i="29"/>
  <c r="P88" i="29"/>
  <c r="Q88" i="29"/>
  <c r="R88" i="29"/>
  <c r="T403" i="8" l="1"/>
  <c r="S88" i="29"/>
  <c r="M53" i="22"/>
  <c r="E43" i="22" l="1"/>
  <c r="F43" i="22" s="1"/>
  <c r="Q336" i="8" l="1"/>
  <c r="Q337" i="8"/>
  <c r="Q339" i="8"/>
  <c r="Q330" i="8"/>
  <c r="Q331" i="8"/>
  <c r="Q333" i="8"/>
  <c r="R332" i="8"/>
  <c r="Q13" i="27" l="1"/>
  <c r="Q15" i="27"/>
  <c r="Q16" i="27"/>
  <c r="R12" i="27"/>
  <c r="R13" i="27"/>
  <c r="R14" i="27"/>
  <c r="Q30" i="27"/>
  <c r="Q32" i="27"/>
  <c r="R29" i="27"/>
  <c r="R30" i="27"/>
  <c r="R31" i="27"/>
  <c r="Q37" i="27"/>
  <c r="R36" i="27"/>
  <c r="R400" i="8" l="1"/>
  <c r="R399" i="8" s="1"/>
  <c r="R402" i="8"/>
  <c r="R401" i="8" s="1"/>
  <c r="Q401" i="8"/>
  <c r="Q358" i="8"/>
  <c r="Q359" i="8"/>
  <c r="Q360" i="8"/>
  <c r="Q361" i="8"/>
  <c r="N354" i="8"/>
  <c r="R358" i="8"/>
  <c r="R359" i="8"/>
  <c r="N369" i="8"/>
  <c r="N401" i="8"/>
  <c r="I407" i="8"/>
  <c r="D401" i="8"/>
  <c r="G401" i="8"/>
  <c r="T401" i="8" l="1"/>
  <c r="E12" i="23"/>
  <c r="E8" i="23"/>
  <c r="K8" i="23"/>
  <c r="N12" i="10"/>
  <c r="N9" i="10"/>
  <c r="E10" i="11"/>
  <c r="D9" i="11"/>
  <c r="G6" i="13"/>
  <c r="Q400" i="8" l="1"/>
  <c r="Q399" i="8" s="1"/>
  <c r="N399" i="8"/>
  <c r="G399" i="8"/>
  <c r="D399" i="8"/>
  <c r="T399" i="8" l="1"/>
  <c r="H25" i="24"/>
  <c r="E25" i="24"/>
  <c r="J28" i="29"/>
  <c r="J29" i="29"/>
  <c r="J30" i="29"/>
  <c r="J31" i="29"/>
  <c r="J32" i="29"/>
  <c r="J33" i="29"/>
  <c r="J34" i="29"/>
  <c r="J35" i="29"/>
  <c r="J36" i="29"/>
  <c r="J37" i="29"/>
  <c r="J38" i="29"/>
  <c r="J39" i="29"/>
  <c r="J40" i="29"/>
  <c r="J41" i="29"/>
  <c r="J42" i="29"/>
  <c r="J43" i="29"/>
  <c r="J44" i="29"/>
  <c r="J45" i="29"/>
  <c r="J46" i="29"/>
  <c r="J47" i="29"/>
  <c r="J48" i="29"/>
  <c r="J49" i="29"/>
  <c r="J50" i="29"/>
  <c r="J51" i="29"/>
  <c r="J52" i="29"/>
  <c r="J53" i="29"/>
  <c r="J54" i="29"/>
  <c r="J55" i="29"/>
  <c r="J56" i="29"/>
  <c r="J57" i="29"/>
  <c r="J58" i="29"/>
  <c r="J59" i="29"/>
  <c r="J60" i="29"/>
  <c r="J61" i="29"/>
  <c r="J62" i="29"/>
  <c r="J63" i="29"/>
  <c r="J64" i="29"/>
  <c r="J65" i="29"/>
  <c r="J66" i="29"/>
  <c r="J67" i="29"/>
  <c r="J68" i="29"/>
  <c r="J69" i="29"/>
  <c r="J70" i="29"/>
  <c r="J71" i="29"/>
  <c r="J72" i="29"/>
  <c r="J73" i="29"/>
  <c r="J74" i="29"/>
  <c r="J75" i="29"/>
  <c r="J76" i="29"/>
  <c r="J77" i="29"/>
  <c r="J78" i="29"/>
  <c r="J79" i="29"/>
  <c r="J80" i="29"/>
  <c r="J81" i="29"/>
  <c r="J82" i="29"/>
  <c r="J83" i="29"/>
  <c r="J84" i="29"/>
  <c r="J85" i="29"/>
  <c r="J86" i="29"/>
  <c r="J87" i="29"/>
  <c r="J89" i="29"/>
  <c r="J90" i="29"/>
  <c r="J4" i="29"/>
  <c r="J5" i="29"/>
  <c r="J6" i="29"/>
  <c r="J7" i="29"/>
  <c r="J8" i="29"/>
  <c r="J9" i="29"/>
  <c r="J10" i="29"/>
  <c r="J11" i="29"/>
  <c r="J12" i="29"/>
  <c r="J13" i="29"/>
  <c r="J14" i="29"/>
  <c r="J15" i="29"/>
  <c r="J16" i="29"/>
  <c r="J17" i="29"/>
  <c r="J18" i="29"/>
  <c r="J19" i="29"/>
  <c r="J20" i="29"/>
  <c r="J21" i="29"/>
  <c r="J22" i="29"/>
  <c r="J23" i="29"/>
  <c r="J24" i="29"/>
  <c r="J25" i="29"/>
  <c r="J26" i="29"/>
  <c r="J27" i="29"/>
  <c r="J3" i="29"/>
  <c r="BZ90" i="29"/>
  <c r="BZ89" i="29"/>
  <c r="BZ87" i="29"/>
  <c r="BZ86" i="29"/>
  <c r="BZ85" i="29"/>
  <c r="BZ84" i="29"/>
  <c r="BZ83" i="29"/>
  <c r="BZ82" i="29"/>
  <c r="BZ81" i="29"/>
  <c r="BZ80" i="29"/>
  <c r="BZ79" i="29"/>
  <c r="BZ78" i="29"/>
  <c r="BZ77" i="29"/>
  <c r="BZ76" i="29"/>
  <c r="BZ75" i="29"/>
  <c r="BZ74" i="29"/>
  <c r="BZ73" i="29"/>
  <c r="BZ72" i="29"/>
  <c r="BZ71" i="29"/>
  <c r="BZ70" i="29"/>
  <c r="BZ69" i="29"/>
  <c r="BZ68" i="29"/>
  <c r="BZ67" i="29"/>
  <c r="BZ66" i="29"/>
  <c r="BZ65" i="29"/>
  <c r="BZ64" i="29"/>
  <c r="BZ63" i="29"/>
  <c r="BZ62" i="29"/>
  <c r="BZ61" i="29"/>
  <c r="BZ60" i="29"/>
  <c r="BZ59" i="29"/>
  <c r="BZ58" i="29"/>
  <c r="BZ57" i="29"/>
  <c r="BZ56" i="29"/>
  <c r="BZ55" i="29"/>
  <c r="BZ54" i="29"/>
  <c r="BZ53" i="29"/>
  <c r="BZ52" i="29"/>
  <c r="BZ51" i="29"/>
  <c r="BZ50" i="29"/>
  <c r="BZ49" i="29"/>
  <c r="BZ48" i="29"/>
  <c r="BZ47" i="29"/>
  <c r="BZ46" i="29"/>
  <c r="BZ45" i="29"/>
  <c r="BZ44" i="29"/>
  <c r="BZ43" i="29"/>
  <c r="BZ42" i="29"/>
  <c r="BZ41" i="29"/>
  <c r="BZ40" i="29"/>
  <c r="BZ39" i="29"/>
  <c r="BZ38" i="29"/>
  <c r="BZ37" i="29"/>
  <c r="BZ36" i="29"/>
  <c r="BZ35" i="29"/>
  <c r="BZ34" i="29"/>
  <c r="BZ33" i="29"/>
  <c r="BZ32" i="29"/>
  <c r="BZ31" i="29"/>
  <c r="BZ30" i="29"/>
  <c r="BZ29" i="29"/>
  <c r="BZ28" i="29"/>
  <c r="BZ27" i="29"/>
  <c r="BZ26" i="29"/>
  <c r="BZ25" i="29"/>
  <c r="BZ24" i="29"/>
  <c r="BZ23" i="29"/>
  <c r="BZ22" i="29"/>
  <c r="BZ21" i="29"/>
  <c r="BZ20" i="29"/>
  <c r="BZ19" i="29"/>
  <c r="BZ18" i="29"/>
  <c r="BZ17" i="29"/>
  <c r="BZ16" i="29"/>
  <c r="BZ15" i="29"/>
  <c r="BZ14" i="29"/>
  <c r="BZ13" i="29"/>
  <c r="BZ12" i="29"/>
  <c r="BZ11" i="29"/>
  <c r="BZ10" i="29"/>
  <c r="BZ9" i="29"/>
  <c r="BZ8" i="29"/>
  <c r="BZ7" i="29"/>
  <c r="BZ6" i="29"/>
  <c r="BZ5" i="29"/>
  <c r="BZ4" i="29"/>
  <c r="BZ3" i="29"/>
  <c r="C6" i="29"/>
  <c r="E6" i="29"/>
  <c r="G6" i="29"/>
  <c r="I6" i="29"/>
  <c r="M6" i="29"/>
  <c r="Q6" i="29"/>
  <c r="R6" i="29"/>
  <c r="CE6" i="29"/>
  <c r="CO6" i="29"/>
  <c r="DF6" i="29"/>
  <c r="DG6" i="29"/>
  <c r="DR6" i="29"/>
  <c r="DS6" i="29"/>
  <c r="C4" i="29"/>
  <c r="E4" i="29"/>
  <c r="G4" i="29"/>
  <c r="I4" i="29"/>
  <c r="M4" i="29"/>
  <c r="Q4" i="29"/>
  <c r="R4" i="29"/>
  <c r="CE4" i="29"/>
  <c r="CO4" i="29"/>
  <c r="DF4" i="29"/>
  <c r="DG4" i="29"/>
  <c r="DR4" i="29"/>
  <c r="DS4" i="29"/>
  <c r="C10" i="29"/>
  <c r="E10" i="29"/>
  <c r="G10" i="29"/>
  <c r="I10" i="29"/>
  <c r="M10" i="29"/>
  <c r="Q10" i="29"/>
  <c r="R10" i="29"/>
  <c r="CE10" i="29"/>
  <c r="CO10" i="29"/>
  <c r="DF10" i="29"/>
  <c r="DG10" i="29"/>
  <c r="DR10" i="29"/>
  <c r="DS10" i="29"/>
  <c r="C11" i="29"/>
  <c r="E11" i="29"/>
  <c r="G11" i="29"/>
  <c r="I11" i="29"/>
  <c r="M11" i="29"/>
  <c r="Q11" i="29"/>
  <c r="R11" i="29"/>
  <c r="CE11" i="29"/>
  <c r="CO11" i="29"/>
  <c r="DF11" i="29"/>
  <c r="DG11" i="29"/>
  <c r="DR11" i="29"/>
  <c r="DS11" i="29"/>
  <c r="C9" i="29"/>
  <c r="E9" i="29"/>
  <c r="G9" i="29"/>
  <c r="I9" i="29"/>
  <c r="M9" i="29"/>
  <c r="Q9" i="29"/>
  <c r="R9" i="29"/>
  <c r="CE9" i="29"/>
  <c r="CO9" i="29"/>
  <c r="DF9" i="29"/>
  <c r="DG9" i="29"/>
  <c r="DR9" i="29"/>
  <c r="DS9" i="29"/>
  <c r="C8" i="29"/>
  <c r="E8" i="29"/>
  <c r="G8" i="29"/>
  <c r="I8" i="29"/>
  <c r="M8" i="29"/>
  <c r="Q8" i="29"/>
  <c r="R8" i="29"/>
  <c r="CE8" i="29"/>
  <c r="CO8" i="29"/>
  <c r="DF8" i="29"/>
  <c r="DG8" i="29"/>
  <c r="DR8" i="29"/>
  <c r="DS8" i="29"/>
  <c r="C7" i="29"/>
  <c r="E7" i="29"/>
  <c r="G7" i="29"/>
  <c r="I7" i="29"/>
  <c r="M7" i="29"/>
  <c r="Q7" i="29"/>
  <c r="R7" i="29"/>
  <c r="CE7" i="29"/>
  <c r="CO7" i="29"/>
  <c r="DF7" i="29"/>
  <c r="DG7" i="29"/>
  <c r="DR7" i="29"/>
  <c r="DS7" i="29"/>
  <c r="C5" i="29"/>
  <c r="E5" i="29"/>
  <c r="G5" i="29"/>
  <c r="I5" i="29"/>
  <c r="M5" i="29"/>
  <c r="Q5" i="29"/>
  <c r="R5" i="29"/>
  <c r="CE5" i="29"/>
  <c r="CO5" i="29"/>
  <c r="DF5" i="29"/>
  <c r="DG5" i="29"/>
  <c r="DR5" i="29"/>
  <c r="DS5" i="29"/>
  <c r="C3" i="29"/>
  <c r="E3" i="29"/>
  <c r="G3" i="29"/>
  <c r="I3" i="29"/>
  <c r="M3" i="29"/>
  <c r="Q3" i="29"/>
  <c r="R3" i="29"/>
  <c r="CE3" i="29"/>
  <c r="CO3" i="29"/>
  <c r="DF3" i="29"/>
  <c r="DG3" i="29"/>
  <c r="DR3" i="29"/>
  <c r="DS3" i="29"/>
  <c r="CE90" i="29"/>
  <c r="CE89" i="29"/>
  <c r="CE87" i="29"/>
  <c r="CE86" i="29"/>
  <c r="CE85" i="29"/>
  <c r="CE84" i="29"/>
  <c r="CE83" i="29"/>
  <c r="CE82" i="29"/>
  <c r="CE81" i="29"/>
  <c r="CE80" i="29"/>
  <c r="CE79" i="29"/>
  <c r="CE78" i="29"/>
  <c r="CE77" i="29"/>
  <c r="CE76" i="29"/>
  <c r="CE75" i="29"/>
  <c r="CE74" i="29"/>
  <c r="CE73" i="29"/>
  <c r="CE72" i="29"/>
  <c r="CE71" i="29"/>
  <c r="CE70" i="29"/>
  <c r="CE69" i="29"/>
  <c r="CE68" i="29"/>
  <c r="CE67" i="29"/>
  <c r="CE66" i="29"/>
  <c r="CE65" i="29"/>
  <c r="CE64" i="29"/>
  <c r="CE63" i="29"/>
  <c r="CE62" i="29"/>
  <c r="CE61" i="29"/>
  <c r="CE60" i="29"/>
  <c r="CE59" i="29"/>
  <c r="CE58" i="29"/>
  <c r="CE57" i="29"/>
  <c r="CE56" i="29"/>
  <c r="CE55" i="29"/>
  <c r="CE54" i="29"/>
  <c r="CE53" i="29"/>
  <c r="CE52" i="29"/>
  <c r="CE51" i="29"/>
  <c r="CE50" i="29"/>
  <c r="CE49" i="29"/>
  <c r="CE48" i="29"/>
  <c r="CE47" i="29"/>
  <c r="CE46" i="29"/>
  <c r="CE45" i="29"/>
  <c r="CE44" i="29"/>
  <c r="CE43" i="29"/>
  <c r="CE42" i="29"/>
  <c r="CE41" i="29"/>
  <c r="CE40" i="29"/>
  <c r="CE39" i="29"/>
  <c r="CE38" i="29"/>
  <c r="CE37" i="29"/>
  <c r="CE36" i="29"/>
  <c r="CE35" i="29"/>
  <c r="CE34" i="29"/>
  <c r="CE33" i="29"/>
  <c r="CE32" i="29"/>
  <c r="CE31" i="29"/>
  <c r="CE30" i="29"/>
  <c r="CE29" i="29"/>
  <c r="CE28" i="29"/>
  <c r="CE27" i="29"/>
  <c r="CE26" i="29"/>
  <c r="CE25" i="29"/>
  <c r="CE24" i="29"/>
  <c r="CE23" i="29"/>
  <c r="CE22" i="29"/>
  <c r="CE21" i="29"/>
  <c r="CE20" i="29"/>
  <c r="CE19" i="29"/>
  <c r="CE18" i="29"/>
  <c r="CE17" i="29"/>
  <c r="CE16" i="29"/>
  <c r="CE15" i="29"/>
  <c r="CE14" i="29"/>
  <c r="CE13" i="29"/>
  <c r="CE12" i="29"/>
  <c r="C43" i="29"/>
  <c r="E43" i="29"/>
  <c r="G43" i="29"/>
  <c r="I43" i="29"/>
  <c r="M43" i="29"/>
  <c r="Q43" i="29"/>
  <c r="R43" i="29"/>
  <c r="CO43" i="29"/>
  <c r="DF43" i="29"/>
  <c r="DG43" i="29"/>
  <c r="DR43" i="29"/>
  <c r="DS43" i="29"/>
  <c r="C14" i="29"/>
  <c r="E14" i="29"/>
  <c r="G14" i="29"/>
  <c r="I14" i="29"/>
  <c r="M14" i="29"/>
  <c r="Q14" i="29"/>
  <c r="R14" i="29"/>
  <c r="CO14" i="29"/>
  <c r="DF14" i="29"/>
  <c r="DG14" i="29"/>
  <c r="DR14" i="29"/>
  <c r="DS14" i="29"/>
  <c r="CO13" i="29"/>
  <c r="DF13" i="29"/>
  <c r="DG13" i="29"/>
  <c r="DR13" i="29"/>
  <c r="DS13" i="29"/>
  <c r="C13" i="29"/>
  <c r="E13" i="29"/>
  <c r="G13" i="29"/>
  <c r="I13" i="29"/>
  <c r="M13" i="29"/>
  <c r="Q13" i="29"/>
  <c r="R13" i="29"/>
  <c r="CO12" i="29"/>
  <c r="DF12" i="29"/>
  <c r="DG12" i="29"/>
  <c r="DR12" i="29"/>
  <c r="DS12" i="29"/>
  <c r="C12" i="29"/>
  <c r="E12" i="29"/>
  <c r="G12" i="29"/>
  <c r="I12" i="29"/>
  <c r="M12" i="29"/>
  <c r="Q12" i="29"/>
  <c r="R12" i="29"/>
  <c r="BZ91" i="29" l="1"/>
  <c r="CE91" i="29"/>
  <c r="CO90" i="29" l="1"/>
  <c r="CO89" i="29"/>
  <c r="CO87" i="29"/>
  <c r="CO86" i="29"/>
  <c r="CO85" i="29"/>
  <c r="CO84" i="29"/>
  <c r="CO83" i="29"/>
  <c r="CO82" i="29"/>
  <c r="CO81" i="29"/>
  <c r="CO80" i="29"/>
  <c r="CO79" i="29"/>
  <c r="CO78" i="29"/>
  <c r="CO77" i="29"/>
  <c r="CO76" i="29"/>
  <c r="CO75" i="29"/>
  <c r="CO74" i="29"/>
  <c r="CO73" i="29"/>
  <c r="CO72" i="29"/>
  <c r="CO71" i="29"/>
  <c r="CO70" i="29"/>
  <c r="CO69" i="29"/>
  <c r="CO68" i="29"/>
  <c r="CO67" i="29"/>
  <c r="CO66" i="29"/>
  <c r="CO65" i="29"/>
  <c r="CO64" i="29"/>
  <c r="CO63" i="29"/>
  <c r="CO62" i="29"/>
  <c r="CO61" i="29"/>
  <c r="CO60" i="29"/>
  <c r="CO59" i="29"/>
  <c r="CO58" i="29"/>
  <c r="CO57" i="29"/>
  <c r="CO56" i="29"/>
  <c r="CO55" i="29"/>
  <c r="CO54" i="29"/>
  <c r="CO53" i="29"/>
  <c r="CO52" i="29"/>
  <c r="CO51" i="29"/>
  <c r="CO50" i="29"/>
  <c r="CO49" i="29"/>
  <c r="CO48" i="29"/>
  <c r="CO47" i="29"/>
  <c r="CO46" i="29"/>
  <c r="CO45" i="29"/>
  <c r="CO44" i="29"/>
  <c r="CO42" i="29"/>
  <c r="CO41" i="29"/>
  <c r="CO40" i="29"/>
  <c r="CO39" i="29"/>
  <c r="CO38" i="29"/>
  <c r="CO37" i="29"/>
  <c r="CO36" i="29"/>
  <c r="CO35" i="29"/>
  <c r="CO34" i="29"/>
  <c r="CO33" i="29"/>
  <c r="CO32" i="29"/>
  <c r="CO31" i="29"/>
  <c r="CO30" i="29"/>
  <c r="CO29" i="29"/>
  <c r="CO28" i="29"/>
  <c r="CO27" i="29"/>
  <c r="CO26" i="29"/>
  <c r="CO25" i="29"/>
  <c r="CO24" i="29"/>
  <c r="CO23" i="29"/>
  <c r="CO22" i="29"/>
  <c r="CO21" i="29"/>
  <c r="CO20" i="29"/>
  <c r="CO19" i="29"/>
  <c r="CO18" i="29"/>
  <c r="CO17" i="29"/>
  <c r="CO16" i="29"/>
  <c r="CO15" i="29"/>
  <c r="CO91" i="29" l="1"/>
  <c r="N382" i="8"/>
  <c r="Q33" i="27" l="1"/>
  <c r="Q27" i="27"/>
  <c r="Q20" i="27"/>
  <c r="Q21" i="27"/>
  <c r="Q9" i="27"/>
  <c r="Q10" i="27"/>
  <c r="C29" i="29" l="1"/>
  <c r="E29" i="29"/>
  <c r="G29" i="29"/>
  <c r="I29" i="29"/>
  <c r="M29" i="29"/>
  <c r="Q29" i="29"/>
  <c r="R29" i="29"/>
  <c r="DF29" i="29"/>
  <c r="DG29" i="29"/>
  <c r="DR29" i="29"/>
  <c r="DS29" i="29"/>
  <c r="C19" i="29"/>
  <c r="E19" i="29"/>
  <c r="G19" i="29"/>
  <c r="I19" i="29"/>
  <c r="M19" i="29"/>
  <c r="Q19" i="29"/>
  <c r="R19" i="29"/>
  <c r="DF19" i="29"/>
  <c r="DG19" i="29"/>
  <c r="DR19" i="29"/>
  <c r="DS19" i="29"/>
  <c r="C18" i="29"/>
  <c r="E18" i="29"/>
  <c r="G18" i="29"/>
  <c r="I18" i="29"/>
  <c r="M18" i="29"/>
  <c r="Q18" i="29"/>
  <c r="R18" i="29"/>
  <c r="DF18" i="29"/>
  <c r="DG18" i="29"/>
  <c r="DR18" i="29"/>
  <c r="DS18" i="29"/>
  <c r="C23" i="29"/>
  <c r="E23" i="29"/>
  <c r="G23" i="29"/>
  <c r="I23" i="29"/>
  <c r="M23" i="29"/>
  <c r="Q23" i="29"/>
  <c r="R23" i="29"/>
  <c r="DF23" i="29"/>
  <c r="DG23" i="29"/>
  <c r="DR23" i="29"/>
  <c r="DS23" i="29"/>
  <c r="C22" i="29"/>
  <c r="E22" i="29"/>
  <c r="G22" i="29"/>
  <c r="I22" i="29"/>
  <c r="M22" i="29"/>
  <c r="Q22" i="29"/>
  <c r="R22" i="29"/>
  <c r="DF22" i="29"/>
  <c r="DG22" i="29"/>
  <c r="DR22" i="29"/>
  <c r="DS22" i="29"/>
  <c r="C20" i="29"/>
  <c r="E20" i="29"/>
  <c r="G20" i="29"/>
  <c r="I20" i="29"/>
  <c r="M20" i="29"/>
  <c r="Q20" i="29"/>
  <c r="R20" i="29"/>
  <c r="DF20" i="29"/>
  <c r="DG20" i="29"/>
  <c r="DR20" i="29"/>
  <c r="DS20" i="29"/>
  <c r="C78" i="29"/>
  <c r="E78" i="29"/>
  <c r="G78" i="29"/>
  <c r="I78" i="29"/>
  <c r="M78" i="29"/>
  <c r="Q78" i="29"/>
  <c r="R78" i="29"/>
  <c r="DF78" i="29"/>
  <c r="DG78" i="29"/>
  <c r="DR78" i="29"/>
  <c r="DS78" i="29"/>
  <c r="C24" i="29"/>
  <c r="E24" i="29"/>
  <c r="G24" i="29"/>
  <c r="I24" i="29"/>
  <c r="M24" i="29"/>
  <c r="Q24" i="29"/>
  <c r="R24" i="29"/>
  <c r="DF24" i="29"/>
  <c r="DG24" i="29"/>
  <c r="DR24" i="29"/>
  <c r="DS24" i="29"/>
  <c r="C30" i="29"/>
  <c r="E30" i="29"/>
  <c r="G30" i="29"/>
  <c r="I30" i="29"/>
  <c r="M30" i="29"/>
  <c r="Q30" i="29"/>
  <c r="R30" i="29"/>
  <c r="DF30" i="29"/>
  <c r="DG30" i="29"/>
  <c r="DR30" i="29"/>
  <c r="DS30" i="29"/>
  <c r="C49" i="29"/>
  <c r="E49" i="29"/>
  <c r="G49" i="29"/>
  <c r="I49" i="29"/>
  <c r="M49" i="29"/>
  <c r="Q49" i="29"/>
  <c r="R49" i="29"/>
  <c r="DF49" i="29"/>
  <c r="DG49" i="29"/>
  <c r="DR49" i="29"/>
  <c r="DS49" i="29"/>
  <c r="C50" i="29"/>
  <c r="E50" i="29"/>
  <c r="G50" i="29"/>
  <c r="I50" i="29"/>
  <c r="M50" i="29"/>
  <c r="Q50" i="29"/>
  <c r="R50" i="29"/>
  <c r="DF50" i="29"/>
  <c r="DG50" i="29"/>
  <c r="DR50" i="29"/>
  <c r="DS50" i="29"/>
  <c r="C31" i="29"/>
  <c r="E31" i="29"/>
  <c r="G31" i="29"/>
  <c r="I31" i="29"/>
  <c r="M31" i="29"/>
  <c r="Q31" i="29"/>
  <c r="R31" i="29"/>
  <c r="DF31" i="29"/>
  <c r="DG31" i="29"/>
  <c r="DR31" i="29"/>
  <c r="DS31" i="29"/>
  <c r="C51" i="29"/>
  <c r="E51" i="29"/>
  <c r="G51" i="29"/>
  <c r="I51" i="29"/>
  <c r="M51" i="29"/>
  <c r="Q51" i="29"/>
  <c r="R51" i="29"/>
  <c r="DF51" i="29"/>
  <c r="DG51" i="29"/>
  <c r="DR51" i="29"/>
  <c r="DS51" i="29"/>
  <c r="C52" i="29"/>
  <c r="E52" i="29"/>
  <c r="G52" i="29"/>
  <c r="I52" i="29"/>
  <c r="M52" i="29"/>
  <c r="Q52" i="29"/>
  <c r="R52" i="29"/>
  <c r="DF52" i="29"/>
  <c r="DG52" i="29"/>
  <c r="DR52" i="29"/>
  <c r="DS52" i="29"/>
  <c r="C53" i="29"/>
  <c r="E53" i="29"/>
  <c r="G53" i="29"/>
  <c r="I53" i="29"/>
  <c r="M53" i="29"/>
  <c r="Q53" i="29"/>
  <c r="R53" i="29"/>
  <c r="DF53" i="29"/>
  <c r="DG53" i="29"/>
  <c r="DR53" i="29"/>
  <c r="DS53" i="29"/>
  <c r="C54" i="29"/>
  <c r="E54" i="29"/>
  <c r="G54" i="29"/>
  <c r="I54" i="29"/>
  <c r="M54" i="29"/>
  <c r="Q54" i="29"/>
  <c r="R54" i="29"/>
  <c r="DF54" i="29"/>
  <c r="DG54" i="29"/>
  <c r="DR54" i="29"/>
  <c r="DS54" i="29"/>
  <c r="C55" i="29"/>
  <c r="E55" i="29"/>
  <c r="G55" i="29"/>
  <c r="I55" i="29"/>
  <c r="M55" i="29"/>
  <c r="Q55" i="29"/>
  <c r="R55" i="29"/>
  <c r="DF55" i="29"/>
  <c r="DG55" i="29"/>
  <c r="DR55" i="29"/>
  <c r="DS55" i="29"/>
  <c r="C56" i="29"/>
  <c r="E56" i="29"/>
  <c r="G56" i="29"/>
  <c r="I56" i="29"/>
  <c r="M56" i="29"/>
  <c r="Q56" i="29"/>
  <c r="R56" i="29"/>
  <c r="DF56" i="29"/>
  <c r="DG56" i="29"/>
  <c r="DR56" i="29"/>
  <c r="DS56" i="29"/>
  <c r="C57" i="29"/>
  <c r="E57" i="29"/>
  <c r="G57" i="29"/>
  <c r="I57" i="29"/>
  <c r="M57" i="29"/>
  <c r="Q57" i="29"/>
  <c r="R57" i="29"/>
  <c r="DF57" i="29"/>
  <c r="DG57" i="29"/>
  <c r="DR57" i="29"/>
  <c r="DS57" i="29"/>
  <c r="C58" i="29"/>
  <c r="E58" i="29"/>
  <c r="G58" i="29"/>
  <c r="I58" i="29"/>
  <c r="M58" i="29"/>
  <c r="Q58" i="29"/>
  <c r="R58" i="29"/>
  <c r="DF58" i="29"/>
  <c r="DG58" i="29"/>
  <c r="DR58" i="29"/>
  <c r="DS58" i="29"/>
  <c r="C59" i="29"/>
  <c r="E59" i="29"/>
  <c r="G59" i="29"/>
  <c r="I59" i="29"/>
  <c r="M59" i="29"/>
  <c r="Q59" i="29"/>
  <c r="R59" i="29"/>
  <c r="DF59" i="29"/>
  <c r="DG59" i="29"/>
  <c r="DR59" i="29"/>
  <c r="DS59" i="29"/>
  <c r="C60" i="29"/>
  <c r="E60" i="29"/>
  <c r="G60" i="29"/>
  <c r="I60" i="29"/>
  <c r="M60" i="29"/>
  <c r="Q60" i="29"/>
  <c r="R60" i="29"/>
  <c r="DF60" i="29"/>
  <c r="DG60" i="29"/>
  <c r="DR60" i="29"/>
  <c r="DS60" i="29"/>
  <c r="C61" i="29"/>
  <c r="E61" i="29"/>
  <c r="G61" i="29"/>
  <c r="I61" i="29"/>
  <c r="M61" i="29"/>
  <c r="Q61" i="29"/>
  <c r="R61" i="29"/>
  <c r="DF61" i="29"/>
  <c r="DG61" i="29"/>
  <c r="DR61" i="29"/>
  <c r="DS61" i="29"/>
  <c r="C62" i="29"/>
  <c r="E62" i="29"/>
  <c r="G62" i="29"/>
  <c r="I62" i="29"/>
  <c r="M62" i="29"/>
  <c r="Q62" i="29"/>
  <c r="R62" i="29"/>
  <c r="DF62" i="29"/>
  <c r="DG62" i="29"/>
  <c r="DR62" i="29"/>
  <c r="DS62" i="29"/>
  <c r="C63" i="29"/>
  <c r="E63" i="29"/>
  <c r="G63" i="29"/>
  <c r="I63" i="29"/>
  <c r="M63" i="29"/>
  <c r="Q63" i="29"/>
  <c r="R63" i="29"/>
  <c r="DF63" i="29"/>
  <c r="DG63" i="29"/>
  <c r="DR63" i="29"/>
  <c r="DS63" i="29"/>
  <c r="C64" i="29"/>
  <c r="E64" i="29"/>
  <c r="G64" i="29"/>
  <c r="I64" i="29"/>
  <c r="M64" i="29"/>
  <c r="Q64" i="29"/>
  <c r="R64" i="29"/>
  <c r="DF64" i="29"/>
  <c r="DG64" i="29"/>
  <c r="DR64" i="29"/>
  <c r="DS64" i="29"/>
  <c r="C27" i="29"/>
  <c r="E27" i="29"/>
  <c r="G27" i="29"/>
  <c r="I27" i="29"/>
  <c r="M27" i="29"/>
  <c r="Q27" i="29"/>
  <c r="R27" i="29"/>
  <c r="DF27" i="29"/>
  <c r="DG27" i="29"/>
  <c r="DR27" i="29"/>
  <c r="DS27" i="29"/>
  <c r="C33" i="29"/>
  <c r="E33" i="29"/>
  <c r="G33" i="29"/>
  <c r="I33" i="29"/>
  <c r="M33" i="29"/>
  <c r="Q33" i="29"/>
  <c r="R33" i="29"/>
  <c r="DF33" i="29"/>
  <c r="DG33" i="29"/>
  <c r="DR33" i="29"/>
  <c r="DS33" i="29"/>
  <c r="C65" i="29"/>
  <c r="E65" i="29"/>
  <c r="G65" i="29"/>
  <c r="I65" i="29"/>
  <c r="M65" i="29"/>
  <c r="Q65" i="29"/>
  <c r="R65" i="29"/>
  <c r="DF65" i="29"/>
  <c r="DG65" i="29"/>
  <c r="DR65" i="29"/>
  <c r="DS65" i="29"/>
  <c r="C66" i="29"/>
  <c r="E66" i="29"/>
  <c r="G66" i="29"/>
  <c r="I66" i="29"/>
  <c r="M66" i="29"/>
  <c r="Q66" i="29"/>
  <c r="R66" i="29"/>
  <c r="DF66" i="29"/>
  <c r="DG66" i="29"/>
  <c r="DR66" i="29"/>
  <c r="DS66" i="29"/>
  <c r="C34" i="29"/>
  <c r="E34" i="29"/>
  <c r="G34" i="29"/>
  <c r="I34" i="29"/>
  <c r="M34" i="29"/>
  <c r="Q34" i="29"/>
  <c r="R34" i="29"/>
  <c r="DF34" i="29"/>
  <c r="DG34" i="29"/>
  <c r="DR34" i="29"/>
  <c r="DS34" i="29"/>
  <c r="C32" i="29"/>
  <c r="E32" i="29"/>
  <c r="G32" i="29"/>
  <c r="I32" i="29"/>
  <c r="M32" i="29"/>
  <c r="Q32" i="29"/>
  <c r="R32" i="29"/>
  <c r="DF32" i="29"/>
  <c r="DG32" i="29"/>
  <c r="DR32" i="29"/>
  <c r="DS32" i="29"/>
  <c r="C36" i="29"/>
  <c r="E36" i="29"/>
  <c r="G36" i="29"/>
  <c r="I36" i="29"/>
  <c r="M36" i="29"/>
  <c r="Q36" i="29"/>
  <c r="R36" i="29"/>
  <c r="DF36" i="29"/>
  <c r="DG36" i="29"/>
  <c r="DR36" i="29"/>
  <c r="DS36" i="29"/>
  <c r="C67" i="29"/>
  <c r="E67" i="29"/>
  <c r="G67" i="29"/>
  <c r="I67" i="29"/>
  <c r="M67" i="29"/>
  <c r="Q67" i="29"/>
  <c r="R67" i="29"/>
  <c r="DF67" i="29"/>
  <c r="DG67" i="29"/>
  <c r="DR67" i="29"/>
  <c r="DS67" i="29"/>
  <c r="C68" i="29"/>
  <c r="E68" i="29"/>
  <c r="G68" i="29"/>
  <c r="I68" i="29"/>
  <c r="M68" i="29"/>
  <c r="Q68" i="29"/>
  <c r="R68" i="29"/>
  <c r="DF68" i="29"/>
  <c r="DG68" i="29"/>
  <c r="DR68" i="29"/>
  <c r="DS68" i="29"/>
  <c r="C69" i="29"/>
  <c r="E69" i="29"/>
  <c r="G69" i="29"/>
  <c r="I69" i="29"/>
  <c r="M69" i="29"/>
  <c r="Q69" i="29"/>
  <c r="R69" i="29"/>
  <c r="DF69" i="29"/>
  <c r="DG69" i="29"/>
  <c r="DR69" i="29"/>
  <c r="DS69" i="29"/>
  <c r="C70" i="29"/>
  <c r="E70" i="29"/>
  <c r="G70" i="29"/>
  <c r="I70" i="29"/>
  <c r="M70" i="29"/>
  <c r="Q70" i="29"/>
  <c r="R70" i="29"/>
  <c r="DF70" i="29"/>
  <c r="DG70" i="29"/>
  <c r="DR70" i="29"/>
  <c r="DS70" i="29"/>
  <c r="C35" i="29"/>
  <c r="E35" i="29"/>
  <c r="G35" i="29"/>
  <c r="I35" i="29"/>
  <c r="M35" i="29"/>
  <c r="Q35" i="29"/>
  <c r="R35" i="29"/>
  <c r="DF35" i="29"/>
  <c r="DG35" i="29"/>
  <c r="DR35" i="29"/>
  <c r="DS35" i="29"/>
  <c r="C71" i="29"/>
  <c r="E71" i="29"/>
  <c r="G71" i="29"/>
  <c r="I71" i="29"/>
  <c r="M71" i="29"/>
  <c r="Q71" i="29"/>
  <c r="R71" i="29"/>
  <c r="DF71" i="29"/>
  <c r="DG71" i="29"/>
  <c r="DR71" i="29"/>
  <c r="DS71" i="29"/>
  <c r="C72" i="29"/>
  <c r="E72" i="29"/>
  <c r="G72" i="29"/>
  <c r="I72" i="29"/>
  <c r="M72" i="29"/>
  <c r="Q72" i="29"/>
  <c r="R72" i="29"/>
  <c r="DF72" i="29"/>
  <c r="DG72" i="29"/>
  <c r="DR72" i="29"/>
  <c r="DS72" i="29"/>
  <c r="C37" i="29"/>
  <c r="E37" i="29"/>
  <c r="G37" i="29"/>
  <c r="I37" i="29"/>
  <c r="M37" i="29"/>
  <c r="Q37" i="29"/>
  <c r="R37" i="29"/>
  <c r="DF37" i="29"/>
  <c r="DG37" i="29"/>
  <c r="DR37" i="29"/>
  <c r="DS37" i="29"/>
  <c r="C25" i="29"/>
  <c r="E25" i="29"/>
  <c r="G25" i="29"/>
  <c r="I25" i="29"/>
  <c r="M25" i="29"/>
  <c r="Q25" i="29"/>
  <c r="R25" i="29"/>
  <c r="DF25" i="29"/>
  <c r="DG25" i="29"/>
  <c r="DR25" i="29"/>
  <c r="DS25" i="29"/>
  <c r="C26" i="29"/>
  <c r="E26" i="29"/>
  <c r="G26" i="29"/>
  <c r="I26" i="29"/>
  <c r="M26" i="29"/>
  <c r="Q26" i="29"/>
  <c r="R26" i="29"/>
  <c r="DF26" i="29"/>
  <c r="DG26" i="29"/>
  <c r="DR26" i="29"/>
  <c r="DS26" i="29"/>
  <c r="C15" i="29"/>
  <c r="E15" i="29"/>
  <c r="G15" i="29"/>
  <c r="I15" i="29"/>
  <c r="M15" i="29"/>
  <c r="Q15" i="29"/>
  <c r="R15" i="29"/>
  <c r="DF15" i="29"/>
  <c r="DG15" i="29"/>
  <c r="DR15" i="29"/>
  <c r="DS15" i="29"/>
  <c r="C73" i="29"/>
  <c r="E73" i="29"/>
  <c r="G73" i="29"/>
  <c r="I73" i="29"/>
  <c r="M73" i="29"/>
  <c r="Q73" i="29"/>
  <c r="R73" i="29"/>
  <c r="DF73" i="29"/>
  <c r="DG73" i="29"/>
  <c r="DR73" i="29"/>
  <c r="DS73" i="29"/>
  <c r="C74" i="29"/>
  <c r="E74" i="29"/>
  <c r="G74" i="29"/>
  <c r="I74" i="29"/>
  <c r="M74" i="29"/>
  <c r="Q74" i="29"/>
  <c r="R74" i="29"/>
  <c r="DF74" i="29"/>
  <c r="DG74" i="29"/>
  <c r="DR74" i="29"/>
  <c r="DS74" i="29"/>
  <c r="C75" i="29"/>
  <c r="E75" i="29"/>
  <c r="G75" i="29"/>
  <c r="I75" i="29"/>
  <c r="M75" i="29"/>
  <c r="Q75" i="29"/>
  <c r="R75" i="29"/>
  <c r="DF75" i="29"/>
  <c r="DG75" i="29"/>
  <c r="DR75" i="29"/>
  <c r="DS75" i="29"/>
  <c r="C76" i="29"/>
  <c r="E76" i="29"/>
  <c r="G76" i="29"/>
  <c r="I76" i="29"/>
  <c r="M76" i="29"/>
  <c r="Q76" i="29"/>
  <c r="R76" i="29"/>
  <c r="DF76" i="29"/>
  <c r="DG76" i="29"/>
  <c r="DR76" i="29"/>
  <c r="DS76" i="29"/>
  <c r="C77" i="29"/>
  <c r="E77" i="29"/>
  <c r="G77" i="29"/>
  <c r="I77" i="29"/>
  <c r="M77" i="29"/>
  <c r="Q77" i="29"/>
  <c r="R77" i="29"/>
  <c r="DF77" i="29"/>
  <c r="DG77" i="29"/>
  <c r="DR77" i="29"/>
  <c r="DS77" i="29"/>
  <c r="C79" i="29"/>
  <c r="E79" i="29"/>
  <c r="G79" i="29"/>
  <c r="I79" i="29"/>
  <c r="M79" i="29"/>
  <c r="Q79" i="29"/>
  <c r="R79" i="29"/>
  <c r="DF79" i="29"/>
  <c r="DG79" i="29"/>
  <c r="DR79" i="29"/>
  <c r="DS79" i="29"/>
  <c r="C80" i="29"/>
  <c r="E80" i="29"/>
  <c r="G80" i="29"/>
  <c r="I80" i="29"/>
  <c r="M80" i="29"/>
  <c r="Q80" i="29"/>
  <c r="R80" i="29"/>
  <c r="DF80" i="29"/>
  <c r="DG80" i="29"/>
  <c r="DR80" i="29"/>
  <c r="DS80" i="29"/>
  <c r="C81" i="29"/>
  <c r="E81" i="29"/>
  <c r="G81" i="29"/>
  <c r="I81" i="29"/>
  <c r="M81" i="29"/>
  <c r="Q81" i="29"/>
  <c r="R81" i="29"/>
  <c r="DF81" i="29"/>
  <c r="DG81" i="29"/>
  <c r="DR81" i="29"/>
  <c r="DS81" i="29"/>
  <c r="C39" i="29"/>
  <c r="E39" i="29"/>
  <c r="G39" i="29"/>
  <c r="I39" i="29"/>
  <c r="M39" i="29"/>
  <c r="Q39" i="29"/>
  <c r="R39" i="29"/>
  <c r="DF39" i="29"/>
  <c r="DG39" i="29"/>
  <c r="DR39" i="29"/>
  <c r="DS39" i="29"/>
  <c r="C40" i="29"/>
  <c r="E40" i="29"/>
  <c r="G40" i="29"/>
  <c r="I40" i="29"/>
  <c r="M40" i="29"/>
  <c r="Q40" i="29"/>
  <c r="R40" i="29"/>
  <c r="DF40" i="29"/>
  <c r="DG40" i="29"/>
  <c r="DR40" i="29"/>
  <c r="DS40" i="29"/>
  <c r="C41" i="29"/>
  <c r="E41" i="29"/>
  <c r="G41" i="29"/>
  <c r="I41" i="29"/>
  <c r="M41" i="29"/>
  <c r="Q41" i="29"/>
  <c r="R41" i="29"/>
  <c r="DF41" i="29"/>
  <c r="DG41" i="29"/>
  <c r="DR41" i="29"/>
  <c r="DS41" i="29"/>
  <c r="C82" i="29"/>
  <c r="E82" i="29"/>
  <c r="G82" i="29"/>
  <c r="I82" i="29"/>
  <c r="M82" i="29"/>
  <c r="Q82" i="29"/>
  <c r="R82" i="29"/>
  <c r="DF82" i="29"/>
  <c r="DG82" i="29"/>
  <c r="DR82" i="29"/>
  <c r="DS82" i="29"/>
  <c r="C21" i="29"/>
  <c r="E21" i="29"/>
  <c r="G21" i="29"/>
  <c r="I21" i="29"/>
  <c r="M21" i="29"/>
  <c r="Q21" i="29"/>
  <c r="R21" i="29"/>
  <c r="DF21" i="29"/>
  <c r="DG21" i="29"/>
  <c r="DR21" i="29"/>
  <c r="DS21" i="29"/>
  <c r="C42" i="29"/>
  <c r="E42" i="29"/>
  <c r="G42" i="29"/>
  <c r="I42" i="29"/>
  <c r="M42" i="29"/>
  <c r="Q42" i="29"/>
  <c r="R42" i="29"/>
  <c r="DF42" i="29"/>
  <c r="DG42" i="29"/>
  <c r="DR42" i="29"/>
  <c r="DS42" i="29"/>
  <c r="C16" i="29"/>
  <c r="E16" i="29"/>
  <c r="G16" i="29"/>
  <c r="I16" i="29"/>
  <c r="M16" i="29"/>
  <c r="Q16" i="29"/>
  <c r="R16" i="29"/>
  <c r="DF16" i="29"/>
  <c r="DG16" i="29"/>
  <c r="DR16" i="29"/>
  <c r="DS16" i="29"/>
  <c r="C83" i="29"/>
  <c r="E83" i="29"/>
  <c r="G83" i="29"/>
  <c r="I83" i="29"/>
  <c r="M83" i="29"/>
  <c r="Q83" i="29"/>
  <c r="R83" i="29"/>
  <c r="DF83" i="29"/>
  <c r="DG83" i="29"/>
  <c r="DR83" i="29"/>
  <c r="DS83" i="29"/>
  <c r="C84" i="29"/>
  <c r="E84" i="29"/>
  <c r="G84" i="29"/>
  <c r="I84" i="29"/>
  <c r="M84" i="29"/>
  <c r="Q84" i="29"/>
  <c r="R84" i="29"/>
  <c r="DF84" i="29"/>
  <c r="DG84" i="29"/>
  <c r="DR84" i="29"/>
  <c r="DS84" i="29"/>
  <c r="C85" i="29"/>
  <c r="E85" i="29"/>
  <c r="G85" i="29"/>
  <c r="I85" i="29"/>
  <c r="M85" i="29"/>
  <c r="Q85" i="29"/>
  <c r="R85" i="29"/>
  <c r="DF85" i="29"/>
  <c r="DG85" i="29"/>
  <c r="DR85" i="29"/>
  <c r="DS85" i="29"/>
  <c r="C86" i="29"/>
  <c r="E86" i="29"/>
  <c r="G86" i="29"/>
  <c r="I86" i="29"/>
  <c r="M86" i="29"/>
  <c r="Q86" i="29"/>
  <c r="R86" i="29"/>
  <c r="DF86" i="29"/>
  <c r="DG86" i="29"/>
  <c r="DR86" i="29"/>
  <c r="DS86" i="29"/>
  <c r="C38" i="29"/>
  <c r="E38" i="29"/>
  <c r="G38" i="29"/>
  <c r="I38" i="29"/>
  <c r="M38" i="29"/>
  <c r="Q38" i="29"/>
  <c r="R38" i="29"/>
  <c r="DF38" i="29"/>
  <c r="DG38" i="29"/>
  <c r="DR38" i="29"/>
  <c r="DS38" i="29"/>
  <c r="C17" i="29"/>
  <c r="E17" i="29"/>
  <c r="G17" i="29"/>
  <c r="I17" i="29"/>
  <c r="M17" i="29"/>
  <c r="Q17" i="29"/>
  <c r="R17" i="29"/>
  <c r="DF17" i="29"/>
  <c r="DG17" i="29"/>
  <c r="DR17" i="29"/>
  <c r="DS17" i="29"/>
  <c r="C28" i="29"/>
  <c r="E28" i="29"/>
  <c r="G28" i="29"/>
  <c r="I28" i="29"/>
  <c r="M28" i="29"/>
  <c r="Q28" i="29"/>
  <c r="R28" i="29"/>
  <c r="DF28" i="29"/>
  <c r="DG28" i="29"/>
  <c r="DR28" i="29"/>
  <c r="DS28" i="29"/>
  <c r="C87" i="29"/>
  <c r="E87" i="29"/>
  <c r="G87" i="29"/>
  <c r="I87" i="29"/>
  <c r="M87" i="29"/>
  <c r="Q87" i="29"/>
  <c r="R87" i="29"/>
  <c r="DF87" i="29"/>
  <c r="DG87" i="29"/>
  <c r="DR87" i="29"/>
  <c r="DS87" i="29"/>
  <c r="C89" i="29"/>
  <c r="E89" i="29"/>
  <c r="G89" i="29"/>
  <c r="I89" i="29"/>
  <c r="M89" i="29"/>
  <c r="Q89" i="29"/>
  <c r="R89" i="29"/>
  <c r="DF89" i="29"/>
  <c r="DG89" i="29"/>
  <c r="DR89" i="29"/>
  <c r="DS89" i="29"/>
  <c r="C90" i="29"/>
  <c r="E90" i="29"/>
  <c r="G90" i="29"/>
  <c r="I90" i="29"/>
  <c r="M90" i="29"/>
  <c r="Q90" i="29"/>
  <c r="R90" i="29"/>
  <c r="DF90" i="29"/>
  <c r="DG90" i="29"/>
  <c r="DR90" i="29"/>
  <c r="DS90" i="29"/>
  <c r="C44" i="29"/>
  <c r="E44" i="29"/>
  <c r="G44" i="29"/>
  <c r="I44" i="29"/>
  <c r="M44" i="29"/>
  <c r="Q44" i="29"/>
  <c r="R44" i="29"/>
  <c r="DF44" i="29"/>
  <c r="DG44" i="29"/>
  <c r="DR44" i="29"/>
  <c r="DS44" i="29"/>
  <c r="C45" i="29"/>
  <c r="E45" i="29"/>
  <c r="G45" i="29"/>
  <c r="I45" i="29"/>
  <c r="M45" i="29"/>
  <c r="Q45" i="29"/>
  <c r="R45" i="29"/>
  <c r="DF45" i="29"/>
  <c r="DG45" i="29"/>
  <c r="DR45" i="29"/>
  <c r="DS45" i="29"/>
  <c r="C46" i="29"/>
  <c r="E46" i="29"/>
  <c r="G46" i="29"/>
  <c r="I46" i="29"/>
  <c r="M46" i="29"/>
  <c r="Q46" i="29"/>
  <c r="R46" i="29"/>
  <c r="DF46" i="29"/>
  <c r="DG46" i="29"/>
  <c r="DR46" i="29"/>
  <c r="DS46" i="29"/>
  <c r="DS47" i="29"/>
  <c r="DS48" i="29"/>
  <c r="DR47" i="29"/>
  <c r="DR48" i="29"/>
  <c r="DS91" i="29" l="1"/>
  <c r="DR91" i="29"/>
  <c r="H26" i="24"/>
  <c r="H27" i="24"/>
  <c r="H28" i="24"/>
  <c r="H29" i="24"/>
  <c r="H30" i="24"/>
  <c r="H31" i="24"/>
  <c r="H32" i="24"/>
  <c r="H33" i="24"/>
  <c r="H34" i="24"/>
  <c r="H35" i="24"/>
  <c r="H36" i="24"/>
  <c r="H37" i="24"/>
  <c r="H38" i="24"/>
  <c r="H39" i="24"/>
  <c r="H40" i="24"/>
  <c r="H41" i="24"/>
  <c r="H42" i="24"/>
  <c r="H43" i="24"/>
  <c r="H44" i="24"/>
  <c r="H45" i="24"/>
  <c r="H46" i="24"/>
  <c r="H47" i="24"/>
  <c r="H48" i="24"/>
  <c r="H49" i="24"/>
  <c r="H24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24" i="24"/>
  <c r="G47" i="29"/>
  <c r="G48" i="29"/>
  <c r="J147" i="21"/>
  <c r="J148" i="21" s="1"/>
  <c r="J142" i="21"/>
  <c r="J105" i="21"/>
  <c r="J106" i="21"/>
  <c r="H17" i="24" l="1"/>
  <c r="DR92" i="29" s="1"/>
  <c r="H15" i="24"/>
  <c r="CE92" i="29" s="1"/>
  <c r="H16" i="24"/>
  <c r="E16" i="24"/>
  <c r="E17" i="24"/>
  <c r="E50" i="24"/>
  <c r="E15" i="24"/>
  <c r="H50" i="24"/>
  <c r="I50" i="24" s="1"/>
  <c r="E12" i="24"/>
  <c r="R30" i="19"/>
  <c r="R51" i="19"/>
  <c r="R48" i="19"/>
  <c r="Q47" i="19"/>
  <c r="Q50" i="19"/>
  <c r="Q51" i="19"/>
  <c r="Q52" i="19"/>
  <c r="M50" i="19"/>
  <c r="M51" i="19"/>
  <c r="M52" i="19"/>
  <c r="L52" i="19"/>
  <c r="K48" i="19"/>
  <c r="J51" i="19"/>
  <c r="J53" i="19" s="1"/>
  <c r="D18" i="30"/>
  <c r="D2" i="30"/>
  <c r="D21" i="30" l="1"/>
  <c r="K53" i="19"/>
  <c r="BZ92" i="29"/>
  <c r="H18" i="24"/>
  <c r="R53" i="19"/>
  <c r="E18" i="24"/>
  <c r="E19" i="24" s="1"/>
  <c r="H19" i="24" l="1"/>
  <c r="I18" i="24"/>
  <c r="H51" i="24"/>
  <c r="E51" i="24"/>
  <c r="DF47" i="29"/>
  <c r="DF48" i="29"/>
  <c r="DG47" i="29"/>
  <c r="DG48" i="29"/>
  <c r="DG91" i="29" l="1"/>
  <c r="DF91" i="29"/>
  <c r="DF92" i="29" s="1"/>
  <c r="H21" i="26"/>
  <c r="R48" i="29"/>
  <c r="R47" i="29"/>
  <c r="Q47" i="29"/>
  <c r="Q48" i="29"/>
  <c r="I47" i="29"/>
  <c r="M47" i="29"/>
  <c r="M48" i="29"/>
  <c r="I48" i="29"/>
  <c r="I87" i="21" l="1"/>
  <c r="I88" i="21" s="1"/>
  <c r="H48" i="26"/>
  <c r="H49" i="26"/>
  <c r="H50" i="26"/>
  <c r="H51" i="26"/>
  <c r="H52" i="26"/>
  <c r="H53" i="26"/>
  <c r="H54" i="26"/>
  <c r="H55" i="26"/>
  <c r="R33" i="19"/>
  <c r="D16" i="18"/>
  <c r="L12" i="15"/>
  <c r="M24" i="15"/>
  <c r="L24" i="15"/>
  <c r="E26" i="15"/>
  <c r="Q371" i="8" l="1"/>
  <c r="Q372" i="8"/>
  <c r="Q373" i="8"/>
  <c r="Q370" i="8"/>
  <c r="Q369" i="8" s="1"/>
  <c r="K370" i="8"/>
  <c r="R370" i="8" s="1"/>
  <c r="K371" i="8" l="1"/>
  <c r="K372" i="8" s="1"/>
  <c r="R372" i="8" s="1"/>
  <c r="Q342" i="8"/>
  <c r="Q343" i="8"/>
  <c r="Q344" i="8"/>
  <c r="Q345" i="8"/>
  <c r="R331" i="8"/>
  <c r="R371" i="8" l="1"/>
  <c r="K373" i="8"/>
  <c r="R373" i="8" s="1"/>
  <c r="R369" i="8" s="1"/>
  <c r="L65" i="22"/>
  <c r="E65" i="22"/>
  <c r="F65" i="22" s="1"/>
  <c r="M65" i="22" s="1"/>
  <c r="E42" i="22"/>
  <c r="F42" i="22" s="1"/>
  <c r="E41" i="22"/>
  <c r="F41" i="22" s="1"/>
  <c r="E40" i="22"/>
  <c r="F40" i="22" s="1"/>
  <c r="E36" i="22"/>
  <c r="F36" i="22" s="1"/>
  <c r="L64" i="22" l="1"/>
  <c r="E64" i="22"/>
  <c r="F64" i="22" s="1"/>
  <c r="M64" i="22" s="1"/>
  <c r="E39" i="22"/>
  <c r="O133" i="21" l="1"/>
  <c r="Q364" i="8" l="1"/>
  <c r="Q365" i="8"/>
  <c r="Q366" i="8"/>
  <c r="Q367" i="8"/>
  <c r="Q368" i="8"/>
  <c r="R366" i="8"/>
  <c r="P93" i="21" l="1"/>
  <c r="P94" i="21"/>
  <c r="P95" i="21"/>
  <c r="P96" i="21"/>
  <c r="Q386" i="8" l="1"/>
  <c r="Q385" i="8"/>
  <c r="Q384" i="8"/>
  <c r="Q383" i="8"/>
  <c r="R383" i="8"/>
  <c r="K383" i="8"/>
  <c r="Q382" i="8" l="1"/>
  <c r="K384" i="8"/>
  <c r="M7" i="22"/>
  <c r="L7" i="22"/>
  <c r="R384" i="8" l="1"/>
  <c r="K385" i="8"/>
  <c r="R385" i="8" s="1"/>
  <c r="L63" i="22"/>
  <c r="L62" i="22"/>
  <c r="E63" i="22"/>
  <c r="F63" i="22" s="1"/>
  <c r="M63" i="22" s="1"/>
  <c r="E62" i="22"/>
  <c r="F62" i="22" s="1"/>
  <c r="M62" i="22" s="1"/>
  <c r="K386" i="8" l="1"/>
  <c r="E75" i="22"/>
  <c r="F75" i="22" s="1"/>
  <c r="E60" i="22" l="1"/>
  <c r="F60" i="22" s="1"/>
  <c r="F51" i="22"/>
  <c r="E50" i="22"/>
  <c r="F50" i="22" s="1"/>
  <c r="P52" i="22"/>
  <c r="M75" i="22"/>
  <c r="L75" i="22"/>
  <c r="M38" i="22" l="1"/>
  <c r="L38" i="22"/>
  <c r="Q312" i="8" l="1"/>
  <c r="Q310" i="8"/>
  <c r="K52" i="22" l="1"/>
  <c r="K32" i="22"/>
  <c r="K31" i="22"/>
  <c r="K28" i="22"/>
  <c r="K27" i="22"/>
  <c r="K24" i="22"/>
  <c r="K23" i="22"/>
  <c r="K22" i="22"/>
  <c r="K21" i="22"/>
  <c r="K20" i="22"/>
  <c r="K19" i="22"/>
  <c r="K18" i="22"/>
  <c r="K16" i="22"/>
  <c r="K15" i="22"/>
  <c r="K14" i="22"/>
  <c r="K13" i="22"/>
  <c r="K11" i="22"/>
  <c r="K10" i="22"/>
  <c r="E61" i="22"/>
  <c r="F61" i="22" s="1"/>
  <c r="E59" i="22"/>
  <c r="E58" i="22"/>
  <c r="E57" i="22"/>
  <c r="E56" i="22"/>
  <c r="E55" i="22"/>
  <c r="E54" i="22"/>
  <c r="E53" i="22"/>
  <c r="E52" i="22"/>
  <c r="E20" i="22"/>
  <c r="E86" i="22" s="1"/>
  <c r="E21" i="22"/>
  <c r="E22" i="22"/>
  <c r="E23" i="22"/>
  <c r="E24" i="22"/>
  <c r="E28" i="22"/>
  <c r="E30" i="22"/>
  <c r="E33" i="22"/>
  <c r="E35" i="22"/>
  <c r="E37" i="22"/>
  <c r="O6" i="29" l="1"/>
  <c r="O4" i="29"/>
  <c r="O10" i="29"/>
  <c r="O11" i="29"/>
  <c r="O9" i="29"/>
  <c r="O8" i="29"/>
  <c r="O7" i="29"/>
  <c r="O5" i="29"/>
  <c r="O3" i="29"/>
  <c r="O12" i="29"/>
  <c r="O14" i="29"/>
  <c r="O13" i="29"/>
  <c r="O43" i="29"/>
  <c r="O18" i="29"/>
  <c r="O22" i="29"/>
  <c r="O78" i="29"/>
  <c r="O29" i="29"/>
  <c r="O23" i="29"/>
  <c r="O20" i="29"/>
  <c r="O19" i="29"/>
  <c r="O24" i="29"/>
  <c r="O50" i="29"/>
  <c r="O53" i="29"/>
  <c r="O31" i="29"/>
  <c r="O54" i="29"/>
  <c r="O58" i="29"/>
  <c r="O62" i="29"/>
  <c r="O30" i="29"/>
  <c r="O51" i="29"/>
  <c r="O55" i="29"/>
  <c r="O59" i="29"/>
  <c r="O49" i="29"/>
  <c r="O52" i="29"/>
  <c r="O56" i="29"/>
  <c r="O60" i="29"/>
  <c r="O57" i="29"/>
  <c r="O64" i="29"/>
  <c r="O66" i="29"/>
  <c r="O67" i="29"/>
  <c r="O35" i="29"/>
  <c r="O37" i="29"/>
  <c r="O61" i="29"/>
  <c r="O27" i="29"/>
  <c r="O34" i="29"/>
  <c r="O68" i="29"/>
  <c r="O71" i="29"/>
  <c r="O25" i="29"/>
  <c r="O74" i="29"/>
  <c r="O33" i="29"/>
  <c r="O32" i="29"/>
  <c r="O69" i="29"/>
  <c r="O63" i="29"/>
  <c r="O65" i="29"/>
  <c r="O36" i="29"/>
  <c r="O70" i="29"/>
  <c r="O72" i="29"/>
  <c r="O26" i="29"/>
  <c r="O79" i="29"/>
  <c r="O40" i="29"/>
  <c r="O42" i="29"/>
  <c r="O85" i="29"/>
  <c r="O75" i="29"/>
  <c r="O80" i="29"/>
  <c r="O41" i="29"/>
  <c r="O16" i="29"/>
  <c r="O86" i="29"/>
  <c r="O87" i="29"/>
  <c r="O45" i="29"/>
  <c r="O48" i="29"/>
  <c r="O15" i="29"/>
  <c r="O76" i="29"/>
  <c r="O81" i="29"/>
  <c r="O82" i="29"/>
  <c r="O83" i="29"/>
  <c r="O38" i="29"/>
  <c r="O89" i="29"/>
  <c r="O46" i="29"/>
  <c r="O17" i="29"/>
  <c r="O90" i="29"/>
  <c r="O73" i="29"/>
  <c r="O77" i="29"/>
  <c r="O39" i="29"/>
  <c r="O21" i="29"/>
  <c r="O84" i="29"/>
  <c r="O44" i="29"/>
  <c r="O28" i="29"/>
  <c r="O47" i="29"/>
  <c r="F119" i="22"/>
  <c r="F128" i="22"/>
  <c r="F126" i="22"/>
  <c r="F124" i="22"/>
  <c r="F122" i="22"/>
  <c r="F120" i="22"/>
  <c r="F118" i="22"/>
  <c r="F129" i="22"/>
  <c r="F127" i="22"/>
  <c r="F125" i="22"/>
  <c r="F123" i="22"/>
  <c r="F121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L11" i="22"/>
  <c r="L10" i="22"/>
  <c r="L9" i="22"/>
  <c r="L8" i="22"/>
  <c r="O13" i="28"/>
  <c r="O29" i="13"/>
  <c r="O25" i="13"/>
  <c r="Q54" i="27"/>
  <c r="Q50" i="27"/>
  <c r="Q46" i="27"/>
  <c r="Q41" i="27"/>
  <c r="Q42" i="27"/>
  <c r="Q38" i="27"/>
  <c r="Q53" i="27"/>
  <c r="K52" i="27"/>
  <c r="K53" i="27" s="1"/>
  <c r="N51" i="27"/>
  <c r="G51" i="27"/>
  <c r="D51" i="27"/>
  <c r="Q49" i="27"/>
  <c r="K48" i="27"/>
  <c r="K49" i="27" s="1"/>
  <c r="R49" i="27" s="1"/>
  <c r="N47" i="27"/>
  <c r="G47" i="27"/>
  <c r="D47" i="27"/>
  <c r="G43" i="27"/>
  <c r="Q45" i="27"/>
  <c r="K44" i="27"/>
  <c r="K45" i="27" s="1"/>
  <c r="N43" i="27"/>
  <c r="D43" i="27"/>
  <c r="H434" i="8"/>
  <c r="Q48" i="27" l="1"/>
  <c r="Q44" i="27"/>
  <c r="Q52" i="27"/>
  <c r="R44" i="27"/>
  <c r="Q43" i="27"/>
  <c r="Q51" i="27"/>
  <c r="R52" i="27"/>
  <c r="K54" i="27"/>
  <c r="R54" i="27" s="1"/>
  <c r="R53" i="27"/>
  <c r="Q47" i="27"/>
  <c r="R48" i="27"/>
  <c r="K50" i="27"/>
  <c r="R50" i="27" s="1"/>
  <c r="R45" i="27"/>
  <c r="K46" i="27"/>
  <c r="R46" i="27" s="1"/>
  <c r="H454" i="8"/>
  <c r="H525" i="8"/>
  <c r="H437" i="8"/>
  <c r="H438" i="8"/>
  <c r="H441" i="8"/>
  <c r="H443" i="8"/>
  <c r="H444" i="8"/>
  <c r="H446" i="8"/>
  <c r="H448" i="8"/>
  <c r="H449" i="8"/>
  <c r="H453" i="8"/>
  <c r="H456" i="8"/>
  <c r="H457" i="8"/>
  <c r="H458" i="8"/>
  <c r="H459" i="8"/>
  <c r="H460" i="8"/>
  <c r="H461" i="8"/>
  <c r="H464" i="8"/>
  <c r="H466" i="8"/>
  <c r="H467" i="8"/>
  <c r="H468" i="8"/>
  <c r="H469" i="8"/>
  <c r="H470" i="8"/>
  <c r="H471" i="8"/>
  <c r="H472" i="8"/>
  <c r="H473" i="8"/>
  <c r="H474" i="8"/>
  <c r="H476" i="8"/>
  <c r="H477" i="8"/>
  <c r="H478" i="8"/>
  <c r="H479" i="8"/>
  <c r="H480" i="8"/>
  <c r="H481" i="8"/>
  <c r="H482" i="8"/>
  <c r="H483" i="8"/>
  <c r="H484" i="8"/>
  <c r="H485" i="8"/>
  <c r="H486" i="8"/>
  <c r="H491" i="8"/>
  <c r="H494" i="8"/>
  <c r="H495" i="8"/>
  <c r="H496" i="8"/>
  <c r="H497" i="8"/>
  <c r="H520" i="8"/>
  <c r="H498" i="8"/>
  <c r="H499" i="8"/>
  <c r="H500" i="8"/>
  <c r="H501" i="8"/>
  <c r="H502" i="8"/>
  <c r="H503" i="8"/>
  <c r="H504" i="8"/>
  <c r="H505" i="8"/>
  <c r="H506" i="8"/>
  <c r="H507" i="8"/>
  <c r="H508" i="8"/>
  <c r="H510" i="8"/>
  <c r="H512" i="8"/>
  <c r="H513" i="8"/>
  <c r="H514" i="8"/>
  <c r="H515" i="8"/>
  <c r="H516" i="8"/>
  <c r="H517" i="8"/>
  <c r="H518" i="8"/>
  <c r="H519" i="8"/>
  <c r="H521" i="8"/>
  <c r="H522" i="8"/>
  <c r="H523" i="8"/>
  <c r="H526" i="8"/>
  <c r="H527" i="8"/>
  <c r="H528" i="8"/>
  <c r="H529" i="8"/>
  <c r="H530" i="8"/>
  <c r="H531" i="8"/>
  <c r="H532" i="8"/>
  <c r="H533" i="8"/>
  <c r="H534" i="8"/>
  <c r="N245" i="8"/>
  <c r="N253" i="8"/>
  <c r="N260" i="8"/>
  <c r="N268" i="8"/>
  <c r="N217" i="8"/>
  <c r="N276" i="8"/>
  <c r="N284" i="8"/>
  <c r="N291" i="8"/>
  <c r="N299" i="8"/>
  <c r="N307" i="8"/>
  <c r="N313" i="8"/>
  <c r="N320" i="8"/>
  <c r="H492" i="8"/>
  <c r="H487" i="8"/>
  <c r="H475" i="8"/>
  <c r="H465" i="8"/>
  <c r="H463" i="8"/>
  <c r="H462" i="8"/>
  <c r="H455" i="8"/>
  <c r="H452" i="8"/>
  <c r="H451" i="8"/>
  <c r="H450" i="8"/>
  <c r="H447" i="8"/>
  <c r="H445" i="8"/>
  <c r="H442" i="8"/>
  <c r="H440" i="8"/>
  <c r="H439" i="8"/>
  <c r="H436" i="8"/>
  <c r="H435" i="8"/>
  <c r="H433" i="8"/>
  <c r="H432" i="8"/>
  <c r="H431" i="8"/>
  <c r="H430" i="8"/>
  <c r="R51" i="27" l="1"/>
  <c r="T51" i="27" s="1"/>
  <c r="R47" i="27"/>
  <c r="T47" i="27" s="1"/>
  <c r="R43" i="27"/>
  <c r="T43" i="27" s="1"/>
  <c r="H547" i="8"/>
  <c r="I39" i="27" l="1"/>
  <c r="K40" i="27" s="1"/>
  <c r="Q40" i="27" s="1"/>
  <c r="Q39" i="27" s="1"/>
  <c r="D6" i="29" l="1"/>
  <c r="D4" i="29"/>
  <c r="D10" i="29"/>
  <c r="D11" i="29"/>
  <c r="D9" i="29"/>
  <c r="D8" i="29"/>
  <c r="D7" i="29"/>
  <c r="D5" i="29"/>
  <c r="D3" i="29"/>
  <c r="D43" i="29"/>
  <c r="D12" i="29"/>
  <c r="D13" i="29"/>
  <c r="D14" i="29"/>
  <c r="D19" i="29"/>
  <c r="D18" i="29"/>
  <c r="D22" i="29"/>
  <c r="D78" i="29"/>
  <c r="D29" i="29"/>
  <c r="D23" i="29"/>
  <c r="D20" i="29"/>
  <c r="D49" i="29"/>
  <c r="D52" i="29"/>
  <c r="D24" i="29"/>
  <c r="D50" i="29"/>
  <c r="D53" i="29"/>
  <c r="D57" i="29"/>
  <c r="D61" i="29"/>
  <c r="D31" i="29"/>
  <c r="D54" i="29"/>
  <c r="D58" i="29"/>
  <c r="D62" i="29"/>
  <c r="D30" i="29"/>
  <c r="D51" i="29"/>
  <c r="D55" i="29"/>
  <c r="D59" i="29"/>
  <c r="D63" i="29"/>
  <c r="D65" i="29"/>
  <c r="D36" i="29"/>
  <c r="D70" i="29"/>
  <c r="D72" i="29"/>
  <c r="D64" i="29"/>
  <c r="D66" i="29"/>
  <c r="D67" i="29"/>
  <c r="D35" i="29"/>
  <c r="D37" i="29"/>
  <c r="D73" i="29"/>
  <c r="D56" i="29"/>
  <c r="D27" i="29"/>
  <c r="D34" i="29"/>
  <c r="D68" i="29"/>
  <c r="D71" i="29"/>
  <c r="D25" i="29"/>
  <c r="D60" i="29"/>
  <c r="D33" i="29"/>
  <c r="D32" i="29"/>
  <c r="D69" i="29"/>
  <c r="D77" i="29"/>
  <c r="D39" i="29"/>
  <c r="D21" i="29"/>
  <c r="D84" i="29"/>
  <c r="D74" i="29"/>
  <c r="D79" i="29"/>
  <c r="D40" i="29"/>
  <c r="D42" i="29"/>
  <c r="D85" i="29"/>
  <c r="D28" i="29"/>
  <c r="D44" i="29"/>
  <c r="D46" i="29"/>
  <c r="D17" i="29"/>
  <c r="D26" i="29"/>
  <c r="D75" i="29"/>
  <c r="D80" i="29"/>
  <c r="D41" i="29"/>
  <c r="D16" i="29"/>
  <c r="D86" i="29"/>
  <c r="D87" i="29"/>
  <c r="D45" i="29"/>
  <c r="D38" i="29"/>
  <c r="D89" i="29"/>
  <c r="D15" i="29"/>
  <c r="D76" i="29"/>
  <c r="D81" i="29"/>
  <c r="D82" i="29"/>
  <c r="D83" i="29"/>
  <c r="D90" i="29"/>
  <c r="D48" i="29"/>
  <c r="D47" i="29"/>
  <c r="K41" i="27"/>
  <c r="R41" i="27" s="1"/>
  <c r="I58" i="27"/>
  <c r="N34" i="27"/>
  <c r="K42" i="27" l="1"/>
  <c r="R42" i="27" s="1"/>
  <c r="P130" i="21"/>
  <c r="P131" i="21"/>
  <c r="P132" i="21"/>
  <c r="Q132" i="21"/>
  <c r="Q133" i="21"/>
  <c r="K356" i="8" l="1"/>
  <c r="K357" i="8" l="1"/>
  <c r="K11" i="25"/>
  <c r="H11" i="25"/>
  <c r="D11" i="25"/>
  <c r="L10" i="25"/>
  <c r="K10" i="25"/>
  <c r="L6" i="25"/>
  <c r="L11" i="25" s="1"/>
  <c r="J6" i="25"/>
  <c r="L1" i="25"/>
  <c r="D26" i="18"/>
  <c r="J16" i="18"/>
  <c r="K16" i="18"/>
  <c r="K15" i="18"/>
  <c r="J15" i="18"/>
  <c r="D15" i="18"/>
  <c r="G14" i="18"/>
  <c r="K13" i="18"/>
  <c r="J13" i="18"/>
  <c r="I13" i="18"/>
  <c r="J12" i="18"/>
  <c r="I12" i="18"/>
  <c r="K11" i="18"/>
  <c r="K10" i="18" s="1"/>
  <c r="J11" i="18"/>
  <c r="I11" i="18"/>
  <c r="G10" i="18"/>
  <c r="C10" i="18"/>
  <c r="C17" i="18" s="1"/>
  <c r="B15" i="19" s="1"/>
  <c r="K9" i="18"/>
  <c r="J9" i="18"/>
  <c r="I9" i="18"/>
  <c r="K8" i="18"/>
  <c r="J8" i="18"/>
  <c r="I8" i="18"/>
  <c r="K7" i="18"/>
  <c r="J7" i="18"/>
  <c r="I7" i="18"/>
  <c r="C7" i="18"/>
  <c r="G6" i="18"/>
  <c r="K2" i="18"/>
  <c r="H15" i="12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H12" i="24"/>
  <c r="R54" i="19" s="1"/>
  <c r="D12" i="24"/>
  <c r="B14" i="19" s="1"/>
  <c r="K10" i="24"/>
  <c r="K8" i="24"/>
  <c r="L7" i="24"/>
  <c r="K7" i="24"/>
  <c r="L6" i="24"/>
  <c r="K6" i="24"/>
  <c r="J6" i="24"/>
  <c r="L1" i="24"/>
  <c r="M12" i="15"/>
  <c r="M11" i="15"/>
  <c r="I10" i="15"/>
  <c r="M9" i="15"/>
  <c r="L9" i="15"/>
  <c r="M8" i="15"/>
  <c r="L8" i="15"/>
  <c r="K8" i="15"/>
  <c r="M7" i="15"/>
  <c r="L7" i="15"/>
  <c r="K7" i="15"/>
  <c r="M2" i="15"/>
  <c r="E22" i="23"/>
  <c r="E21" i="23"/>
  <c r="E20" i="23"/>
  <c r="E19" i="23"/>
  <c r="E15" i="23"/>
  <c r="L14" i="23"/>
  <c r="K14" i="23"/>
  <c r="L13" i="23"/>
  <c r="K13" i="23"/>
  <c r="L12" i="23"/>
  <c r="K12" i="23"/>
  <c r="J12" i="23"/>
  <c r="L11" i="23"/>
  <c r="J11" i="23"/>
  <c r="H11" i="23"/>
  <c r="L10" i="23"/>
  <c r="K10" i="23"/>
  <c r="L9" i="23"/>
  <c r="K9" i="23"/>
  <c r="L8" i="23"/>
  <c r="J8" i="23"/>
  <c r="L7" i="23"/>
  <c r="J7" i="23"/>
  <c r="H7" i="23"/>
  <c r="D6" i="23" s="1"/>
  <c r="H47" i="26"/>
  <c r="H46" i="26"/>
  <c r="H45" i="26"/>
  <c r="H44" i="26"/>
  <c r="H43" i="26"/>
  <c r="H42" i="26"/>
  <c r="H41" i="26"/>
  <c r="H40" i="26"/>
  <c r="H39" i="26"/>
  <c r="H38" i="26"/>
  <c r="H37" i="26"/>
  <c r="H36" i="26"/>
  <c r="H35" i="26"/>
  <c r="H34" i="26"/>
  <c r="H33" i="26"/>
  <c r="H32" i="26"/>
  <c r="H31" i="26"/>
  <c r="H30" i="26"/>
  <c r="H29" i="26"/>
  <c r="H28" i="26"/>
  <c r="H27" i="26"/>
  <c r="H26" i="26"/>
  <c r="H25" i="26"/>
  <c r="H24" i="26"/>
  <c r="H23" i="26"/>
  <c r="H22" i="26"/>
  <c r="I17" i="26"/>
  <c r="D17" i="26"/>
  <c r="B11" i="19" s="1"/>
  <c r="L15" i="26"/>
  <c r="F15" i="26"/>
  <c r="M15" i="26" s="1"/>
  <c r="M14" i="26"/>
  <c r="L14" i="26"/>
  <c r="F14" i="26"/>
  <c r="M13" i="26"/>
  <c r="M12" i="26"/>
  <c r="M11" i="26"/>
  <c r="L11" i="26"/>
  <c r="M10" i="26"/>
  <c r="L10" i="26"/>
  <c r="K10" i="26"/>
  <c r="M7" i="26"/>
  <c r="L7" i="26"/>
  <c r="M6" i="26"/>
  <c r="L6" i="26"/>
  <c r="K6" i="26"/>
  <c r="L1" i="26"/>
  <c r="L61" i="22"/>
  <c r="M60" i="22"/>
  <c r="L60" i="22"/>
  <c r="L59" i="22"/>
  <c r="L58" i="22"/>
  <c r="L57" i="22"/>
  <c r="L56" i="22"/>
  <c r="L55" i="22"/>
  <c r="L54" i="22"/>
  <c r="L53" i="22"/>
  <c r="M52" i="22"/>
  <c r="L52" i="22"/>
  <c r="L51" i="22"/>
  <c r="L50" i="22"/>
  <c r="M49" i="22"/>
  <c r="L49" i="22"/>
  <c r="M48" i="22"/>
  <c r="L48" i="22"/>
  <c r="M47" i="22"/>
  <c r="L47" i="22"/>
  <c r="M44" i="22"/>
  <c r="I44" i="22"/>
  <c r="M37" i="22"/>
  <c r="M36" i="22"/>
  <c r="L36" i="22"/>
  <c r="M35" i="22"/>
  <c r="M34" i="22"/>
  <c r="L34" i="22"/>
  <c r="M33" i="22"/>
  <c r="L33" i="22"/>
  <c r="M32" i="22"/>
  <c r="L32" i="22"/>
  <c r="M31" i="22"/>
  <c r="L31" i="22"/>
  <c r="L30" i="22"/>
  <c r="L28" i="22"/>
  <c r="L27" i="22"/>
  <c r="L26" i="22"/>
  <c r="L25" i="22"/>
  <c r="L24" i="22"/>
  <c r="L23" i="22"/>
  <c r="L22" i="22"/>
  <c r="L21" i="22"/>
  <c r="L20" i="22"/>
  <c r="L19" i="22"/>
  <c r="L18" i="22"/>
  <c r="L17" i="22"/>
  <c r="L16" i="22"/>
  <c r="L15" i="22"/>
  <c r="L14" i="22"/>
  <c r="L13" i="22"/>
  <c r="L12" i="22"/>
  <c r="M2" i="22"/>
  <c r="K38" i="22" s="1"/>
  <c r="F30" i="14"/>
  <c r="F29" i="14"/>
  <c r="F28" i="14"/>
  <c r="F27" i="14"/>
  <c r="F26" i="14"/>
  <c r="F25" i="14"/>
  <c r="F24" i="14"/>
  <c r="F23" i="14"/>
  <c r="F22" i="14"/>
  <c r="F21" i="14"/>
  <c r="F16" i="14"/>
  <c r="M15" i="14"/>
  <c r="L15" i="14"/>
  <c r="M14" i="14"/>
  <c r="L14" i="14"/>
  <c r="I13" i="14"/>
  <c r="C13" i="14"/>
  <c r="D13" i="14" s="1"/>
  <c r="M12" i="14"/>
  <c r="M11" i="14" s="1"/>
  <c r="L12" i="14"/>
  <c r="L11" i="14" s="1"/>
  <c r="I11" i="14"/>
  <c r="M10" i="14"/>
  <c r="L10" i="14"/>
  <c r="M9" i="14"/>
  <c r="L9" i="14"/>
  <c r="M8" i="14"/>
  <c r="L8" i="14"/>
  <c r="M7" i="14"/>
  <c r="L7" i="14"/>
  <c r="I6" i="14"/>
  <c r="E6" i="14" s="1"/>
  <c r="E7" i="14" s="1"/>
  <c r="M2" i="14"/>
  <c r="K12" i="14" s="1"/>
  <c r="I23" i="10"/>
  <c r="I22" i="10"/>
  <c r="I21" i="10"/>
  <c r="I20" i="10"/>
  <c r="I19" i="10"/>
  <c r="I18" i="10"/>
  <c r="I14" i="10"/>
  <c r="P13" i="10"/>
  <c r="R13" i="10" s="1"/>
  <c r="P12" i="10"/>
  <c r="O12" i="10"/>
  <c r="P11" i="10"/>
  <c r="O11" i="10"/>
  <c r="L10" i="10"/>
  <c r="P9" i="10"/>
  <c r="O9" i="10"/>
  <c r="P8" i="10"/>
  <c r="O8" i="10"/>
  <c r="P7" i="10"/>
  <c r="O7" i="10"/>
  <c r="N7" i="10"/>
  <c r="L6" i="10"/>
  <c r="G6" i="10" s="1"/>
  <c r="P2" i="10"/>
  <c r="N11" i="10" s="1"/>
  <c r="K11" i="11"/>
  <c r="D7" i="19" s="1"/>
  <c r="H11" i="11"/>
  <c r="K54" i="19" s="1"/>
  <c r="E11" i="11"/>
  <c r="D11" i="11"/>
  <c r="L10" i="11"/>
  <c r="K10" i="11"/>
  <c r="L9" i="11"/>
  <c r="K9" i="11"/>
  <c r="L2" i="11"/>
  <c r="J10" i="11" s="1"/>
  <c r="G14" i="28"/>
  <c r="I13" i="28"/>
  <c r="P13" i="28" s="1"/>
  <c r="I12" i="28"/>
  <c r="P12" i="28" s="1"/>
  <c r="O11" i="28"/>
  <c r="I11" i="28"/>
  <c r="L10" i="28"/>
  <c r="O9" i="28"/>
  <c r="I9" i="28"/>
  <c r="P9" i="28" s="1"/>
  <c r="I8" i="28"/>
  <c r="O8" i="28" s="1"/>
  <c r="O7" i="28"/>
  <c r="I7" i="28"/>
  <c r="L6" i="28"/>
  <c r="P2" i="28"/>
  <c r="I29" i="13"/>
  <c r="P29" i="13" s="1"/>
  <c r="I28" i="13"/>
  <c r="P27" i="13"/>
  <c r="O27" i="13"/>
  <c r="I27" i="13"/>
  <c r="L26" i="13"/>
  <c r="I25" i="13"/>
  <c r="P25" i="13" s="1"/>
  <c r="I24" i="13"/>
  <c r="P23" i="13"/>
  <c r="O23" i="13"/>
  <c r="I23" i="13"/>
  <c r="L22" i="13"/>
  <c r="P21" i="13"/>
  <c r="O21" i="13"/>
  <c r="P20" i="13"/>
  <c r="O20" i="13"/>
  <c r="P19" i="13"/>
  <c r="O19" i="13"/>
  <c r="P18" i="13"/>
  <c r="O18" i="13"/>
  <c r="N18" i="13"/>
  <c r="L17" i="13"/>
  <c r="P16" i="13"/>
  <c r="O16" i="13"/>
  <c r="P15" i="13"/>
  <c r="O15" i="13"/>
  <c r="N15" i="13"/>
  <c r="H15" i="13"/>
  <c r="H16" i="13" s="1"/>
  <c r="L14" i="13"/>
  <c r="E14" i="13"/>
  <c r="P13" i="13"/>
  <c r="O13" i="13"/>
  <c r="P12" i="13"/>
  <c r="O12" i="13"/>
  <c r="N12" i="13"/>
  <c r="H12" i="13"/>
  <c r="L11" i="13"/>
  <c r="E11" i="13"/>
  <c r="P10" i="13"/>
  <c r="P9" i="13" s="1"/>
  <c r="O10" i="13"/>
  <c r="O9" i="13" s="1"/>
  <c r="N10" i="13"/>
  <c r="L9" i="13"/>
  <c r="O7" i="13"/>
  <c r="O6" i="13" s="1"/>
  <c r="P6" i="13"/>
  <c r="L6" i="13"/>
  <c r="P2" i="13"/>
  <c r="N19" i="13" s="1"/>
  <c r="E42" i="9"/>
  <c r="G41" i="9"/>
  <c r="N41" i="9" s="1"/>
  <c r="N40" i="9"/>
  <c r="G39" i="9"/>
  <c r="N39" i="9" s="1"/>
  <c r="M38" i="9"/>
  <c r="J38" i="9"/>
  <c r="N37" i="9"/>
  <c r="M37" i="9"/>
  <c r="N36" i="9"/>
  <c r="M36" i="9"/>
  <c r="N35" i="9"/>
  <c r="M35" i="9"/>
  <c r="F35" i="9"/>
  <c r="J34" i="9"/>
  <c r="N33" i="9"/>
  <c r="M33" i="9"/>
  <c r="G33" i="9"/>
  <c r="N32" i="9"/>
  <c r="M32" i="9"/>
  <c r="G32" i="9"/>
  <c r="N31" i="9"/>
  <c r="M31" i="9"/>
  <c r="L31" i="9"/>
  <c r="F31" i="9"/>
  <c r="J30" i="9"/>
  <c r="N29" i="9"/>
  <c r="M29" i="9"/>
  <c r="N28" i="9"/>
  <c r="M28" i="9"/>
  <c r="N27" i="9"/>
  <c r="M27" i="9"/>
  <c r="F27" i="9"/>
  <c r="J26" i="9"/>
  <c r="N25" i="9"/>
  <c r="J25" i="9"/>
  <c r="N24" i="9"/>
  <c r="L24" i="9"/>
  <c r="J24" i="9"/>
  <c r="N23" i="9"/>
  <c r="M23" i="9"/>
  <c r="F23" i="9"/>
  <c r="N21" i="9"/>
  <c r="M21" i="9"/>
  <c r="N20" i="9"/>
  <c r="M20" i="9"/>
  <c r="G20" i="9"/>
  <c r="N19" i="9"/>
  <c r="M19" i="9"/>
  <c r="L19" i="9"/>
  <c r="F19" i="9"/>
  <c r="J18" i="9"/>
  <c r="C18" i="9"/>
  <c r="N17" i="9"/>
  <c r="M17" i="9"/>
  <c r="N16" i="9"/>
  <c r="M16" i="9"/>
  <c r="N15" i="9"/>
  <c r="M15" i="9"/>
  <c r="F15" i="9"/>
  <c r="J14" i="9"/>
  <c r="N13" i="9"/>
  <c r="M13" i="9"/>
  <c r="N12" i="9"/>
  <c r="M12" i="9"/>
  <c r="N11" i="9"/>
  <c r="M11" i="9"/>
  <c r="F11" i="9"/>
  <c r="J10" i="9"/>
  <c r="N9" i="9"/>
  <c r="J9" i="9"/>
  <c r="M9" i="9" s="1"/>
  <c r="N8" i="9"/>
  <c r="M8" i="9"/>
  <c r="N7" i="9"/>
  <c r="M7" i="9"/>
  <c r="L7" i="9"/>
  <c r="F7" i="9"/>
  <c r="C6" i="9"/>
  <c r="N2" i="9"/>
  <c r="L12" i="9" s="1"/>
  <c r="H46" i="5"/>
  <c r="L45" i="5"/>
  <c r="E45" i="5"/>
  <c r="K45" i="5" s="1"/>
  <c r="L44" i="5"/>
  <c r="K44" i="5"/>
  <c r="L43" i="5"/>
  <c r="J43" i="5"/>
  <c r="K42" i="5"/>
  <c r="O42" i="5" s="1"/>
  <c r="Q42" i="5" s="1"/>
  <c r="Q46" i="5" s="1"/>
  <c r="J42" i="5"/>
  <c r="K41" i="5"/>
  <c r="J41" i="5"/>
  <c r="O40" i="5"/>
  <c r="J40" i="5"/>
  <c r="E38" i="5"/>
  <c r="L37" i="5"/>
  <c r="K37" i="5"/>
  <c r="K32" i="5" s="1"/>
  <c r="J37" i="5"/>
  <c r="O36" i="5"/>
  <c r="L36" i="5"/>
  <c r="J36" i="5"/>
  <c r="O35" i="5"/>
  <c r="L35" i="5"/>
  <c r="J35" i="5"/>
  <c r="O34" i="5"/>
  <c r="L34" i="5"/>
  <c r="J34" i="5"/>
  <c r="O33" i="5"/>
  <c r="L33" i="5"/>
  <c r="J33" i="5"/>
  <c r="H32" i="5"/>
  <c r="D32" i="5"/>
  <c r="L31" i="5"/>
  <c r="K31" i="5"/>
  <c r="O31" i="5" s="1"/>
  <c r="J31" i="5"/>
  <c r="L30" i="5"/>
  <c r="K30" i="5"/>
  <c r="O30" i="5" s="1"/>
  <c r="J30" i="5"/>
  <c r="L29" i="5"/>
  <c r="K29" i="5"/>
  <c r="O29" i="5" s="1"/>
  <c r="J29" i="5"/>
  <c r="L28" i="5"/>
  <c r="K28" i="5"/>
  <c r="O28" i="5" s="1"/>
  <c r="J28" i="5"/>
  <c r="L27" i="5"/>
  <c r="K27" i="5"/>
  <c r="O27" i="5" s="1"/>
  <c r="J27" i="5"/>
  <c r="H26" i="5"/>
  <c r="D26" i="5"/>
  <c r="L25" i="5"/>
  <c r="L24" i="5" s="1"/>
  <c r="J25" i="5"/>
  <c r="H24" i="5"/>
  <c r="L23" i="5"/>
  <c r="K23" i="5"/>
  <c r="O23" i="5" s="1"/>
  <c r="J23" i="5"/>
  <c r="L22" i="5"/>
  <c r="K22" i="5"/>
  <c r="O22" i="5" s="1"/>
  <c r="J22" i="5"/>
  <c r="L21" i="5"/>
  <c r="K21" i="5"/>
  <c r="O21" i="5" s="1"/>
  <c r="J21" i="5"/>
  <c r="L20" i="5"/>
  <c r="K20" i="5"/>
  <c r="J20" i="5"/>
  <c r="L19" i="5"/>
  <c r="K19" i="5"/>
  <c r="O19" i="5" s="1"/>
  <c r="J19" i="5"/>
  <c r="H18" i="5"/>
  <c r="D18" i="5"/>
  <c r="L17" i="5"/>
  <c r="K17" i="5"/>
  <c r="O16" i="5"/>
  <c r="L16" i="5"/>
  <c r="K16" i="5"/>
  <c r="J16" i="5"/>
  <c r="O15" i="5"/>
  <c r="L15" i="5"/>
  <c r="K15" i="5"/>
  <c r="J15" i="5"/>
  <c r="O14" i="5"/>
  <c r="L14" i="5"/>
  <c r="K14" i="5"/>
  <c r="J14" i="5"/>
  <c r="O13" i="5"/>
  <c r="L13" i="5"/>
  <c r="K13" i="5"/>
  <c r="J13" i="5"/>
  <c r="H12" i="5"/>
  <c r="D12" i="5"/>
  <c r="L11" i="5"/>
  <c r="K11" i="5"/>
  <c r="O11" i="5" s="1"/>
  <c r="J11" i="5"/>
  <c r="L10" i="5"/>
  <c r="K10" i="5"/>
  <c r="O10" i="5" s="1"/>
  <c r="J10" i="5"/>
  <c r="L9" i="5"/>
  <c r="K9" i="5"/>
  <c r="O9" i="5" s="1"/>
  <c r="J9" i="5"/>
  <c r="L8" i="5"/>
  <c r="K8" i="5"/>
  <c r="O8" i="5" s="1"/>
  <c r="J8" i="5"/>
  <c r="L7" i="5"/>
  <c r="K7" i="5"/>
  <c r="O7" i="5" s="1"/>
  <c r="J7" i="5"/>
  <c r="H6" i="5"/>
  <c r="D6" i="5"/>
  <c r="R40" i="27"/>
  <c r="R39" i="27" s="1"/>
  <c r="N39" i="27"/>
  <c r="G39" i="27"/>
  <c r="D39" i="27"/>
  <c r="R35" i="27"/>
  <c r="Q35" i="27"/>
  <c r="K35" i="27"/>
  <c r="D34" i="27"/>
  <c r="Q29" i="27"/>
  <c r="K29" i="27"/>
  <c r="N28" i="27"/>
  <c r="D28" i="27"/>
  <c r="Q23" i="27"/>
  <c r="K23" i="27"/>
  <c r="N22" i="27"/>
  <c r="D22" i="27"/>
  <c r="Q18" i="27"/>
  <c r="K18" i="27"/>
  <c r="N17" i="27"/>
  <c r="D17" i="27"/>
  <c r="Q12" i="27"/>
  <c r="K12" i="27"/>
  <c r="N11" i="27"/>
  <c r="D11" i="27"/>
  <c r="R7" i="27"/>
  <c r="Q7" i="27"/>
  <c r="K7" i="27"/>
  <c r="N6" i="27"/>
  <c r="D6" i="27"/>
  <c r="R2" i="27"/>
  <c r="B3" i="19"/>
  <c r="R398" i="8"/>
  <c r="R397" i="8" s="1"/>
  <c r="Q398" i="8"/>
  <c r="Q397" i="8" s="1"/>
  <c r="N397" i="8"/>
  <c r="G397" i="8"/>
  <c r="D397" i="8"/>
  <c r="R396" i="8"/>
  <c r="R395" i="8" s="1"/>
  <c r="Q396" i="8"/>
  <c r="Q395" i="8" s="1"/>
  <c r="N395" i="8"/>
  <c r="G395" i="8"/>
  <c r="D395" i="8"/>
  <c r="R394" i="8"/>
  <c r="R393" i="8" s="1"/>
  <c r="Q394" i="8"/>
  <c r="Q393" i="8" s="1"/>
  <c r="N393" i="8"/>
  <c r="G393" i="8"/>
  <c r="D393" i="8"/>
  <c r="R392" i="8"/>
  <c r="R391" i="8" s="1"/>
  <c r="Q392" i="8"/>
  <c r="Q391" i="8" s="1"/>
  <c r="N391" i="8"/>
  <c r="G391" i="8"/>
  <c r="D391" i="8"/>
  <c r="R390" i="8"/>
  <c r="R389" i="8" s="1"/>
  <c r="Q390" i="8"/>
  <c r="Q389" i="8" s="1"/>
  <c r="N389" i="8"/>
  <c r="G389" i="8"/>
  <c r="D389" i="8"/>
  <c r="R388" i="8"/>
  <c r="R387" i="8" s="1"/>
  <c r="Q388" i="8"/>
  <c r="Q387" i="8" s="1"/>
  <c r="N387" i="8"/>
  <c r="G387" i="8"/>
  <c r="D387" i="8"/>
  <c r="R386" i="8"/>
  <c r="R382" i="8" s="1"/>
  <c r="G382" i="8"/>
  <c r="D382" i="8"/>
  <c r="R381" i="8"/>
  <c r="R380" i="8" s="1"/>
  <c r="Q381" i="8"/>
  <c r="Q380" i="8" s="1"/>
  <c r="N380" i="8"/>
  <c r="G380" i="8"/>
  <c r="D380" i="8"/>
  <c r="R379" i="8"/>
  <c r="R378" i="8" s="1"/>
  <c r="Q379" i="8"/>
  <c r="Q378" i="8" s="1"/>
  <c r="N378" i="8"/>
  <c r="G378" i="8"/>
  <c r="D378" i="8"/>
  <c r="R377" i="8"/>
  <c r="R376" i="8" s="1"/>
  <c r="Q377" i="8"/>
  <c r="Q376" i="8" s="1"/>
  <c r="N376" i="8"/>
  <c r="G376" i="8"/>
  <c r="D376" i="8"/>
  <c r="R375" i="8"/>
  <c r="R374" i="8" s="1"/>
  <c r="Q375" i="8"/>
  <c r="Q374" i="8" s="1"/>
  <c r="N374" i="8"/>
  <c r="G374" i="8"/>
  <c r="D374" i="8"/>
  <c r="G369" i="8"/>
  <c r="D369" i="8"/>
  <c r="Q363" i="8"/>
  <c r="K363" i="8"/>
  <c r="N362" i="8"/>
  <c r="G362" i="8"/>
  <c r="D362" i="8"/>
  <c r="R357" i="8"/>
  <c r="Q357" i="8"/>
  <c r="R355" i="8"/>
  <c r="Q355" i="8"/>
  <c r="G354" i="8"/>
  <c r="D354" i="8"/>
  <c r="R353" i="8"/>
  <c r="R352" i="8" s="1"/>
  <c r="Q353" i="8"/>
  <c r="Q352" i="8" s="1"/>
  <c r="N352" i="8"/>
  <c r="D352" i="8"/>
  <c r="R351" i="8"/>
  <c r="R350" i="8" s="1"/>
  <c r="Q351" i="8"/>
  <c r="Q350" i="8" s="1"/>
  <c r="N350" i="8"/>
  <c r="D350" i="8"/>
  <c r="R349" i="8"/>
  <c r="R348" i="8" s="1"/>
  <c r="Q349" i="8"/>
  <c r="Q348" i="8" s="1"/>
  <c r="N348" i="8"/>
  <c r="D348" i="8"/>
  <c r="R347" i="8"/>
  <c r="R346" i="8" s="1"/>
  <c r="Q347" i="8"/>
  <c r="Q346" i="8" s="1"/>
  <c r="N346" i="8"/>
  <c r="D346" i="8"/>
  <c r="R341" i="8"/>
  <c r="Q341" i="8"/>
  <c r="K341" i="8"/>
  <c r="N340" i="8"/>
  <c r="G340" i="8"/>
  <c r="D340" i="8"/>
  <c r="R228" i="8"/>
  <c r="Q228" i="8"/>
  <c r="R227" i="8"/>
  <c r="Q227" i="8"/>
  <c r="Q226" i="8"/>
  <c r="R225" i="8"/>
  <c r="Q225" i="8"/>
  <c r="K225" i="8"/>
  <c r="K226" i="8" s="1"/>
  <c r="R224" i="8"/>
  <c r="Q224" i="8"/>
  <c r="N223" i="8"/>
  <c r="G223" i="8"/>
  <c r="D223" i="8"/>
  <c r="R335" i="8"/>
  <c r="Q335" i="8"/>
  <c r="K335" i="8"/>
  <c r="N334" i="8"/>
  <c r="D334" i="8"/>
  <c r="R329" i="8"/>
  <c r="Q329" i="8"/>
  <c r="K329" i="8"/>
  <c r="N328" i="8"/>
  <c r="D328" i="8"/>
  <c r="Q327" i="8"/>
  <c r="R326" i="8"/>
  <c r="Q326" i="8"/>
  <c r="R325" i="8"/>
  <c r="Q325" i="8"/>
  <c r="R324" i="8"/>
  <c r="Q324" i="8"/>
  <c r="R323" i="8"/>
  <c r="Q323" i="8"/>
  <c r="R322" i="8"/>
  <c r="Q322" i="8"/>
  <c r="R321" i="8"/>
  <c r="Q321" i="8"/>
  <c r="K321" i="8"/>
  <c r="K322" i="8" s="1"/>
  <c r="G320" i="8"/>
  <c r="D320" i="8"/>
  <c r="Q319" i="8"/>
  <c r="R317" i="8"/>
  <c r="Q317" i="8"/>
  <c r="R316" i="8"/>
  <c r="Q316" i="8"/>
  <c r="R314" i="8"/>
  <c r="Q314" i="8"/>
  <c r="K314" i="8"/>
  <c r="G313" i="8"/>
  <c r="D313" i="8"/>
  <c r="R309" i="8"/>
  <c r="Q309" i="8"/>
  <c r="R308" i="8"/>
  <c r="Q308" i="8"/>
  <c r="K308" i="8"/>
  <c r="K309" i="8" s="1"/>
  <c r="D307" i="8"/>
  <c r="Q306" i="8"/>
  <c r="Q305" i="8"/>
  <c r="R304" i="8"/>
  <c r="Q304" i="8"/>
  <c r="R303" i="8"/>
  <c r="Q303" i="8"/>
  <c r="R302" i="8"/>
  <c r="Q302" i="8"/>
  <c r="R301" i="8"/>
  <c r="Q301" i="8"/>
  <c r="R300" i="8"/>
  <c r="Q300" i="8"/>
  <c r="K300" i="8"/>
  <c r="K302" i="8" s="1"/>
  <c r="G299" i="8"/>
  <c r="D299" i="8"/>
  <c r="Q298" i="8"/>
  <c r="Q297" i="8"/>
  <c r="R296" i="8"/>
  <c r="Q296" i="8"/>
  <c r="R295" i="8"/>
  <c r="Q295" i="8"/>
  <c r="R294" i="8"/>
  <c r="Q294" i="8"/>
  <c r="R293" i="8"/>
  <c r="Q293" i="8"/>
  <c r="R292" i="8"/>
  <c r="Q292" i="8"/>
  <c r="K292" i="8"/>
  <c r="K296" i="8" s="1"/>
  <c r="G291" i="8"/>
  <c r="D291" i="8"/>
  <c r="Q290" i="8"/>
  <c r="Q289" i="8"/>
  <c r="Q288" i="8"/>
  <c r="Q287" i="8"/>
  <c r="R286" i="8"/>
  <c r="Q286" i="8"/>
  <c r="Q285" i="8"/>
  <c r="K285" i="8"/>
  <c r="K286" i="8" s="1"/>
  <c r="K288" i="8" s="1"/>
  <c r="G284" i="8"/>
  <c r="D284" i="8"/>
  <c r="Q283" i="8"/>
  <c r="Q282" i="8"/>
  <c r="Q281" i="8"/>
  <c r="K281" i="8"/>
  <c r="Q280" i="8"/>
  <c r="K280" i="8"/>
  <c r="R279" i="8"/>
  <c r="Q279" i="8"/>
  <c r="R278" i="8"/>
  <c r="Q278" i="8"/>
  <c r="R277" i="8"/>
  <c r="Q277" i="8"/>
  <c r="K277" i="8"/>
  <c r="G276" i="8"/>
  <c r="D276" i="8"/>
  <c r="R222" i="8"/>
  <c r="Q222" i="8"/>
  <c r="P222" i="8"/>
  <c r="R221" i="8"/>
  <c r="Q221" i="8"/>
  <c r="P221" i="8"/>
  <c r="R220" i="8"/>
  <c r="Q220" i="8"/>
  <c r="P220" i="8"/>
  <c r="R219" i="8"/>
  <c r="Q219" i="8"/>
  <c r="P219" i="8"/>
  <c r="R218" i="8"/>
  <c r="Q218" i="8"/>
  <c r="P218" i="8"/>
  <c r="K218" i="8"/>
  <c r="J218" i="8" s="1"/>
  <c r="G217" i="8"/>
  <c r="D217" i="8"/>
  <c r="R275" i="8"/>
  <c r="R274" i="8" s="1"/>
  <c r="Q275" i="8"/>
  <c r="Q274" i="8" s="1"/>
  <c r="N274" i="8"/>
  <c r="G274" i="8"/>
  <c r="D274" i="8"/>
  <c r="Q273" i="8"/>
  <c r="R272" i="8"/>
  <c r="Q272" i="8"/>
  <c r="R271" i="8"/>
  <c r="Q271" i="8"/>
  <c r="R270" i="8"/>
  <c r="Q270" i="8"/>
  <c r="R269" i="8"/>
  <c r="Q269" i="8"/>
  <c r="P269" i="8"/>
  <c r="K269" i="8"/>
  <c r="K270" i="8" s="1"/>
  <c r="G268" i="8"/>
  <c r="D268" i="8"/>
  <c r="Q267" i="8"/>
  <c r="R266" i="8"/>
  <c r="Q265" i="8"/>
  <c r="Q264" i="8"/>
  <c r="R263" i="8"/>
  <c r="Q263" i="8"/>
  <c r="R262" i="8"/>
  <c r="Q262" i="8"/>
  <c r="R261" i="8"/>
  <c r="Q261" i="8"/>
  <c r="K261" i="8"/>
  <c r="G260" i="8"/>
  <c r="D260" i="8"/>
  <c r="R258" i="8"/>
  <c r="Q258" i="8"/>
  <c r="Q257" i="8"/>
  <c r="R256" i="8"/>
  <c r="Q256" i="8"/>
  <c r="R255" i="8"/>
  <c r="Q255" i="8"/>
  <c r="R254" i="8"/>
  <c r="Q254" i="8"/>
  <c r="K254" i="8"/>
  <c r="K255" i="8" s="1"/>
  <c r="G253" i="8"/>
  <c r="D253" i="8"/>
  <c r="R216" i="8"/>
  <c r="Q216" i="8"/>
  <c r="R215" i="8"/>
  <c r="Q215" i="8"/>
  <c r="Q214" i="8"/>
  <c r="Q213" i="8"/>
  <c r="R212" i="8"/>
  <c r="Q212" i="8"/>
  <c r="P212" i="8"/>
  <c r="K212" i="8"/>
  <c r="K214" i="8" s="1"/>
  <c r="K215" i="8" s="1"/>
  <c r="K216" i="8" s="1"/>
  <c r="N211" i="8"/>
  <c r="G211" i="8"/>
  <c r="D211" i="8"/>
  <c r="R252" i="8"/>
  <c r="R251" i="8" s="1"/>
  <c r="Q252" i="8"/>
  <c r="Q251" i="8" s="1"/>
  <c r="N251" i="8"/>
  <c r="G251" i="8"/>
  <c r="D251" i="8"/>
  <c r="Q250" i="8"/>
  <c r="R249" i="8"/>
  <c r="Q249" i="8"/>
  <c r="R248" i="8"/>
  <c r="Q248" i="8"/>
  <c r="Q247" i="8"/>
  <c r="R246" i="8"/>
  <c r="Q246" i="8"/>
  <c r="K246" i="8"/>
  <c r="D245" i="8"/>
  <c r="R210" i="8"/>
  <c r="Q210" i="8"/>
  <c r="P210" i="8"/>
  <c r="R209" i="8"/>
  <c r="Q209" i="8"/>
  <c r="P209" i="8"/>
  <c r="K209" i="8"/>
  <c r="K210" i="8" s="1"/>
  <c r="R208" i="8"/>
  <c r="Q208" i="8"/>
  <c r="P208" i="8"/>
  <c r="R207" i="8"/>
  <c r="Q207" i="8"/>
  <c r="P207" i="8"/>
  <c r="R206" i="8"/>
  <c r="Q206" i="8"/>
  <c r="P206" i="8"/>
  <c r="R205" i="8"/>
  <c r="Q205" i="8"/>
  <c r="P205" i="8"/>
  <c r="J205" i="8"/>
  <c r="J206" i="8" s="1"/>
  <c r="N204" i="8"/>
  <c r="G204" i="8"/>
  <c r="D204" i="8"/>
  <c r="R203" i="8"/>
  <c r="Q203" i="8"/>
  <c r="P203" i="8"/>
  <c r="K203" i="8"/>
  <c r="R202" i="8"/>
  <c r="P202" i="8"/>
  <c r="R201" i="8"/>
  <c r="P201" i="8"/>
  <c r="R200" i="8"/>
  <c r="Q200" i="8"/>
  <c r="P200" i="8"/>
  <c r="R199" i="8"/>
  <c r="Q199" i="8"/>
  <c r="P199" i="8"/>
  <c r="R198" i="8"/>
  <c r="Q198" i="8"/>
  <c r="P198" i="8"/>
  <c r="J198" i="8"/>
  <c r="J199" i="8" s="1"/>
  <c r="N197" i="8"/>
  <c r="D197" i="8"/>
  <c r="R196" i="8"/>
  <c r="R195" i="8" s="1"/>
  <c r="Q196" i="8"/>
  <c r="Q195" i="8" s="1"/>
  <c r="N195" i="8"/>
  <c r="D195" i="8"/>
  <c r="R244" i="8"/>
  <c r="R243" i="8" s="1"/>
  <c r="Q244" i="8"/>
  <c r="Q243" i="8" s="1"/>
  <c r="N243" i="8"/>
  <c r="D243" i="8"/>
  <c r="R241" i="8"/>
  <c r="Q241" i="8"/>
  <c r="P241" i="8"/>
  <c r="R240" i="8"/>
  <c r="Q240" i="8"/>
  <c r="P240" i="8"/>
  <c r="R239" i="8"/>
  <c r="Q239" i="8"/>
  <c r="P239" i="8"/>
  <c r="R238" i="8"/>
  <c r="Q238" i="8"/>
  <c r="P238" i="8"/>
  <c r="R237" i="8"/>
  <c r="Q237" i="8"/>
  <c r="P237" i="8"/>
  <c r="R236" i="8"/>
  <c r="Q236" i="8"/>
  <c r="P236" i="8"/>
  <c r="R235" i="8"/>
  <c r="Q235" i="8"/>
  <c r="P235" i="8"/>
  <c r="R234" i="8"/>
  <c r="Q234" i="8"/>
  <c r="P234" i="8"/>
  <c r="K234" i="8"/>
  <c r="K236" i="8" s="1"/>
  <c r="N233" i="8"/>
  <c r="D233" i="8"/>
  <c r="R232" i="8"/>
  <c r="R231" i="8" s="1"/>
  <c r="Q232" i="8"/>
  <c r="Q231" i="8" s="1"/>
  <c r="N231" i="8"/>
  <c r="G231" i="8"/>
  <c r="D231" i="8"/>
  <c r="R194" i="8"/>
  <c r="Q194" i="8"/>
  <c r="P194" i="8"/>
  <c r="R193" i="8"/>
  <c r="Q193" i="8"/>
  <c r="P193" i="8"/>
  <c r="R192" i="8"/>
  <c r="Q192" i="8"/>
  <c r="P192" i="8"/>
  <c r="R191" i="8"/>
  <c r="Q191" i="8"/>
  <c r="P191" i="8"/>
  <c r="N190" i="8"/>
  <c r="R189" i="8"/>
  <c r="Q189" i="8"/>
  <c r="R188" i="8"/>
  <c r="Q188" i="8"/>
  <c r="R187" i="8"/>
  <c r="Q187" i="8"/>
  <c r="P187" i="8"/>
  <c r="R186" i="8"/>
  <c r="Q186" i="8"/>
  <c r="P186" i="8"/>
  <c r="R185" i="8"/>
  <c r="Q185" i="8"/>
  <c r="P185" i="8"/>
  <c r="K185" i="8"/>
  <c r="K186" i="8" s="1"/>
  <c r="N184" i="8"/>
  <c r="G184" i="8"/>
  <c r="D184" i="8"/>
  <c r="R183" i="8"/>
  <c r="Q183" i="8"/>
  <c r="P183" i="8"/>
  <c r="Q182" i="8"/>
  <c r="P182" i="8"/>
  <c r="K182" i="8"/>
  <c r="K183" i="8" s="1"/>
  <c r="R181" i="8"/>
  <c r="Q181" i="8"/>
  <c r="P181" i="8"/>
  <c r="R180" i="8"/>
  <c r="Q180" i="8"/>
  <c r="P180" i="8"/>
  <c r="R179" i="8"/>
  <c r="Q179" i="8"/>
  <c r="P179" i="8"/>
  <c r="R178" i="8"/>
  <c r="Q178" i="8"/>
  <c r="P178" i="8"/>
  <c r="J178" i="8"/>
  <c r="J179" i="8" s="1"/>
  <c r="N177" i="8"/>
  <c r="D177" i="8"/>
  <c r="R176" i="8"/>
  <c r="R175" i="8" s="1"/>
  <c r="Q176" i="8"/>
  <c r="Q175" i="8" s="1"/>
  <c r="N175" i="8"/>
  <c r="G175" i="8"/>
  <c r="D175" i="8"/>
  <c r="R174" i="8"/>
  <c r="Q174" i="8"/>
  <c r="P174" i="8"/>
  <c r="K174" i="8"/>
  <c r="R173" i="8"/>
  <c r="Q173" i="8"/>
  <c r="P173" i="8"/>
  <c r="R172" i="8"/>
  <c r="Q172" i="8"/>
  <c r="P172" i="8"/>
  <c r="R171" i="8"/>
  <c r="Q171" i="8"/>
  <c r="P171" i="8"/>
  <c r="R170" i="8"/>
  <c r="Q170" i="8"/>
  <c r="P170" i="8"/>
  <c r="R169" i="8"/>
  <c r="Q169" i="8"/>
  <c r="P169" i="8"/>
  <c r="J169" i="8"/>
  <c r="N168" i="8"/>
  <c r="G168" i="8"/>
  <c r="D168" i="8"/>
  <c r="R167" i="8"/>
  <c r="Q167" i="8"/>
  <c r="K167" i="8"/>
  <c r="J167" i="8" s="1"/>
  <c r="R166" i="8"/>
  <c r="Q166" i="8"/>
  <c r="P166" i="8"/>
  <c r="R165" i="8"/>
  <c r="Q165" i="8"/>
  <c r="P165" i="8"/>
  <c r="R164" i="8"/>
  <c r="Q164" i="8"/>
  <c r="P164" i="8"/>
  <c r="J164" i="8"/>
  <c r="J165" i="8" s="1"/>
  <c r="N163" i="8"/>
  <c r="G163" i="8"/>
  <c r="D163" i="8"/>
  <c r="R162" i="8"/>
  <c r="Q162" i="8"/>
  <c r="K162" i="8"/>
  <c r="R161" i="8"/>
  <c r="Q161" i="8"/>
  <c r="P161" i="8"/>
  <c r="R160" i="8"/>
  <c r="Q160" i="8"/>
  <c r="P160" i="8"/>
  <c r="R159" i="8"/>
  <c r="Q159" i="8"/>
  <c r="P159" i="8"/>
  <c r="J159" i="8"/>
  <c r="J160" i="8" s="1"/>
  <c r="N158" i="8"/>
  <c r="G158" i="8"/>
  <c r="D158" i="8"/>
  <c r="R157" i="8"/>
  <c r="Q157" i="8"/>
  <c r="R156" i="8"/>
  <c r="Q156" i="8"/>
  <c r="P156" i="8"/>
  <c r="R155" i="8"/>
  <c r="Q155" i="8"/>
  <c r="P155" i="8"/>
  <c r="R154" i="8"/>
  <c r="Q154" i="8"/>
  <c r="P154" i="8"/>
  <c r="J154" i="8"/>
  <c r="J155" i="8" s="1"/>
  <c r="J156" i="8" s="1"/>
  <c r="J157" i="8" s="1"/>
  <c r="N153" i="8"/>
  <c r="G153" i="8"/>
  <c r="D153" i="8"/>
  <c r="R152" i="8"/>
  <c r="Q152" i="8"/>
  <c r="K152" i="8"/>
  <c r="R151" i="8"/>
  <c r="Q151" i="8"/>
  <c r="P151" i="8"/>
  <c r="R150" i="8"/>
  <c r="Q150" i="8"/>
  <c r="P150" i="8"/>
  <c r="R149" i="8"/>
  <c r="Q149" i="8"/>
  <c r="P149" i="8"/>
  <c r="J149" i="8"/>
  <c r="J150" i="8" s="1"/>
  <c r="N148" i="8"/>
  <c r="D148" i="8"/>
  <c r="R147" i="8"/>
  <c r="Q147" i="8"/>
  <c r="R146" i="8"/>
  <c r="Q146" i="8"/>
  <c r="P146" i="8"/>
  <c r="R145" i="8"/>
  <c r="Q145" i="8"/>
  <c r="P145" i="8"/>
  <c r="R144" i="8"/>
  <c r="Q144" i="8"/>
  <c r="P144" i="8"/>
  <c r="J144" i="8"/>
  <c r="J145" i="8" s="1"/>
  <c r="J146" i="8" s="1"/>
  <c r="J147" i="8" s="1"/>
  <c r="N143" i="8"/>
  <c r="G143" i="8"/>
  <c r="D143" i="8"/>
  <c r="R230" i="8"/>
  <c r="R229" i="8" s="1"/>
  <c r="Q230" i="8"/>
  <c r="Q229" i="8" s="1"/>
  <c r="N229" i="8"/>
  <c r="G229" i="8"/>
  <c r="D229" i="8"/>
  <c r="R142" i="8"/>
  <c r="Q142" i="8"/>
  <c r="P142" i="8"/>
  <c r="K142" i="8"/>
  <c r="R141" i="8"/>
  <c r="Q141" i="8"/>
  <c r="P141" i="8"/>
  <c r="R140" i="8"/>
  <c r="Q140" i="8"/>
  <c r="P140" i="8"/>
  <c r="R139" i="8"/>
  <c r="Q139" i="8"/>
  <c r="P139" i="8"/>
  <c r="R138" i="8"/>
  <c r="Q138" i="8"/>
  <c r="P138" i="8"/>
  <c r="J138" i="8"/>
  <c r="J139" i="8" s="1"/>
  <c r="J140" i="8" s="1"/>
  <c r="N137" i="8"/>
  <c r="D137" i="8"/>
  <c r="R136" i="8"/>
  <c r="Q136" i="8"/>
  <c r="P136" i="8"/>
  <c r="R135" i="8"/>
  <c r="Q135" i="8"/>
  <c r="P135" i="8"/>
  <c r="R134" i="8"/>
  <c r="Q134" i="8"/>
  <c r="P134" i="8"/>
  <c r="R133" i="8"/>
  <c r="Q133" i="8"/>
  <c r="P133" i="8"/>
  <c r="R132" i="8"/>
  <c r="Q132" i="8"/>
  <c r="P132" i="8"/>
  <c r="J132" i="8"/>
  <c r="J133" i="8" s="1"/>
  <c r="J134" i="8" s="1"/>
  <c r="J135" i="8" s="1"/>
  <c r="J136" i="8" s="1"/>
  <c r="N131" i="8"/>
  <c r="G131" i="8"/>
  <c r="D131" i="8"/>
  <c r="R130" i="8"/>
  <c r="Q130" i="8"/>
  <c r="P130" i="8"/>
  <c r="R129" i="8"/>
  <c r="Q129" i="8"/>
  <c r="P129" i="8"/>
  <c r="R128" i="8"/>
  <c r="Q128" i="8"/>
  <c r="P128" i="8"/>
  <c r="R127" i="8"/>
  <c r="Q127" i="8"/>
  <c r="P127" i="8"/>
  <c r="R126" i="8"/>
  <c r="Q126" i="8"/>
  <c r="P126" i="8"/>
  <c r="R125" i="8"/>
  <c r="Q125" i="8"/>
  <c r="P125" i="8"/>
  <c r="R124" i="8"/>
  <c r="Q124" i="8"/>
  <c r="P124" i="8"/>
  <c r="J124" i="8"/>
  <c r="J125" i="8" s="1"/>
  <c r="J126" i="8" s="1"/>
  <c r="J127" i="8" s="1"/>
  <c r="J128" i="8" s="1"/>
  <c r="J129" i="8" s="1"/>
  <c r="J130" i="8" s="1"/>
  <c r="N123" i="8"/>
  <c r="G123" i="8"/>
  <c r="D123" i="8"/>
  <c r="R122" i="8"/>
  <c r="Q122" i="8"/>
  <c r="P122" i="8"/>
  <c r="R121" i="8"/>
  <c r="Q121" i="8"/>
  <c r="P121" i="8"/>
  <c r="R120" i="8"/>
  <c r="Q120" i="8"/>
  <c r="P120" i="8"/>
  <c r="R119" i="8"/>
  <c r="Q119" i="8"/>
  <c r="P119" i="8"/>
  <c r="R118" i="8"/>
  <c r="Q118" i="8"/>
  <c r="P118" i="8"/>
  <c r="R117" i="8"/>
  <c r="Q117" i="8"/>
  <c r="P117" i="8"/>
  <c r="R116" i="8"/>
  <c r="Q116" i="8"/>
  <c r="P116" i="8"/>
  <c r="J116" i="8"/>
  <c r="J117" i="8" s="1"/>
  <c r="J118" i="8" s="1"/>
  <c r="J119" i="8" s="1"/>
  <c r="J120" i="8" s="1"/>
  <c r="J121" i="8" s="1"/>
  <c r="J122" i="8" s="1"/>
  <c r="N115" i="8"/>
  <c r="G115" i="8"/>
  <c r="D115" i="8"/>
  <c r="K114" i="8"/>
  <c r="K113" i="8"/>
  <c r="R112" i="8"/>
  <c r="Q112" i="8"/>
  <c r="R111" i="8"/>
  <c r="Q111" i="8"/>
  <c r="P111" i="8"/>
  <c r="R110" i="8"/>
  <c r="Q110" i="8"/>
  <c r="P110" i="8"/>
  <c r="R109" i="8"/>
  <c r="Q109" i="8"/>
  <c r="P109" i="8"/>
  <c r="J109" i="8"/>
  <c r="J110" i="8" s="1"/>
  <c r="J111" i="8" s="1"/>
  <c r="J112" i="8" s="1"/>
  <c r="N108" i="8"/>
  <c r="D108" i="8"/>
  <c r="R107" i="8"/>
  <c r="Q107" i="8"/>
  <c r="P107" i="8"/>
  <c r="R106" i="8"/>
  <c r="Q106" i="8"/>
  <c r="P106" i="8"/>
  <c r="R105" i="8"/>
  <c r="Q105" i="8"/>
  <c r="P105" i="8"/>
  <c r="R104" i="8"/>
  <c r="Q104" i="8"/>
  <c r="P104" i="8"/>
  <c r="R103" i="8"/>
  <c r="Q103" i="8"/>
  <c r="P103" i="8"/>
  <c r="R102" i="8"/>
  <c r="Q102" i="8"/>
  <c r="P102" i="8"/>
  <c r="R101" i="8"/>
  <c r="Q101" i="8"/>
  <c r="P101" i="8"/>
  <c r="J101" i="8"/>
  <c r="J102" i="8" s="1"/>
  <c r="J103" i="8" s="1"/>
  <c r="J104" i="8" s="1"/>
  <c r="J105" i="8" s="1"/>
  <c r="J106" i="8" s="1"/>
  <c r="J107" i="8" s="1"/>
  <c r="N100" i="8"/>
  <c r="G100" i="8"/>
  <c r="D100" i="8"/>
  <c r="R99" i="8"/>
  <c r="R98" i="8" s="1"/>
  <c r="Q99" i="8"/>
  <c r="Q98" i="8" s="1"/>
  <c r="N98" i="8"/>
  <c r="G98" i="8"/>
  <c r="D98" i="8"/>
  <c r="R97" i="8"/>
  <c r="Q97" i="8"/>
  <c r="R96" i="8"/>
  <c r="Q96" i="8"/>
  <c r="P96" i="8"/>
  <c r="K96" i="8"/>
  <c r="K97" i="8" s="1"/>
  <c r="R95" i="8"/>
  <c r="Q95" i="8"/>
  <c r="P95" i="8"/>
  <c r="J95" i="8"/>
  <c r="N94" i="8"/>
  <c r="G94" i="8"/>
  <c r="D94" i="8"/>
  <c r="R93" i="8"/>
  <c r="Q93" i="8"/>
  <c r="P93" i="8"/>
  <c r="R92" i="8"/>
  <c r="Q92" i="8"/>
  <c r="P92" i="8"/>
  <c r="R91" i="8"/>
  <c r="Q91" i="8"/>
  <c r="P91" i="8"/>
  <c r="R90" i="8"/>
  <c r="Q90" i="8"/>
  <c r="P90" i="8"/>
  <c r="J90" i="8"/>
  <c r="J91" i="8" s="1"/>
  <c r="J92" i="8" s="1"/>
  <c r="J93" i="8" s="1"/>
  <c r="N89" i="8"/>
  <c r="G89" i="8"/>
  <c r="D89" i="8"/>
  <c r="R88" i="8"/>
  <c r="Q88" i="8"/>
  <c r="P88" i="8"/>
  <c r="R87" i="8"/>
  <c r="Q87" i="8"/>
  <c r="P87" i="8"/>
  <c r="R86" i="8"/>
  <c r="Q86" i="8"/>
  <c r="P86" i="8"/>
  <c r="R85" i="8"/>
  <c r="Q85" i="8"/>
  <c r="P85" i="8"/>
  <c r="J85" i="8"/>
  <c r="J86" i="8" s="1"/>
  <c r="J87" i="8" s="1"/>
  <c r="J88" i="8" s="1"/>
  <c r="N84" i="8"/>
  <c r="G84" i="8"/>
  <c r="D84" i="8"/>
  <c r="R83" i="8"/>
  <c r="Q83" i="8"/>
  <c r="P83" i="8"/>
  <c r="R82" i="8"/>
  <c r="Q82" i="8"/>
  <c r="P82" i="8"/>
  <c r="R81" i="8"/>
  <c r="Q81" i="8"/>
  <c r="P81" i="8"/>
  <c r="R80" i="8"/>
  <c r="Q80" i="8"/>
  <c r="P80" i="8"/>
  <c r="R79" i="8"/>
  <c r="Q79" i="8"/>
  <c r="P79" i="8"/>
  <c r="J79" i="8"/>
  <c r="J80" i="8" s="1"/>
  <c r="J81" i="8" s="1"/>
  <c r="J82" i="8" s="1"/>
  <c r="J83" i="8" s="1"/>
  <c r="N78" i="8"/>
  <c r="G78" i="8"/>
  <c r="D78" i="8"/>
  <c r="R77" i="8"/>
  <c r="Q77" i="8"/>
  <c r="P77" i="8"/>
  <c r="R76" i="8"/>
  <c r="Q76" i="8"/>
  <c r="P76" i="8"/>
  <c r="R75" i="8"/>
  <c r="Q75" i="8"/>
  <c r="P75" i="8"/>
  <c r="R74" i="8"/>
  <c r="Q74" i="8"/>
  <c r="P74" i="8"/>
  <c r="R73" i="8"/>
  <c r="Q73" i="8"/>
  <c r="P73" i="8"/>
  <c r="R72" i="8"/>
  <c r="Q72" i="8"/>
  <c r="P72" i="8"/>
  <c r="R71" i="8"/>
  <c r="Q71" i="8"/>
  <c r="P71" i="8"/>
  <c r="J71" i="8"/>
  <c r="J72" i="8" s="1"/>
  <c r="J73" i="8" s="1"/>
  <c r="J74" i="8" s="1"/>
  <c r="J75" i="8" s="1"/>
  <c r="J76" i="8" s="1"/>
  <c r="J77" i="8" s="1"/>
  <c r="N70" i="8"/>
  <c r="G70" i="8"/>
  <c r="D70" i="8"/>
  <c r="R69" i="8"/>
  <c r="Q69" i="8"/>
  <c r="P69" i="8"/>
  <c r="R68" i="8"/>
  <c r="Q68" i="8"/>
  <c r="P68" i="8"/>
  <c r="R67" i="8"/>
  <c r="Q67" i="8"/>
  <c r="P67" i="8"/>
  <c r="R66" i="8"/>
  <c r="Q66" i="8"/>
  <c r="P66" i="8"/>
  <c r="R65" i="8"/>
  <c r="Q65" i="8"/>
  <c r="P65" i="8"/>
  <c r="R64" i="8"/>
  <c r="Q64" i="8"/>
  <c r="P64" i="8"/>
  <c r="R63" i="8"/>
  <c r="Q63" i="8"/>
  <c r="P63" i="8"/>
  <c r="J63" i="8"/>
  <c r="J64" i="8" s="1"/>
  <c r="J65" i="8" s="1"/>
  <c r="J66" i="8" s="1"/>
  <c r="J67" i="8" s="1"/>
  <c r="J68" i="8" s="1"/>
  <c r="J69" i="8" s="1"/>
  <c r="N62" i="8"/>
  <c r="G62" i="8"/>
  <c r="D62" i="8"/>
  <c r="R61" i="8"/>
  <c r="Q61" i="8"/>
  <c r="P61" i="8"/>
  <c r="K61" i="8"/>
  <c r="R60" i="8"/>
  <c r="Q60" i="8"/>
  <c r="P60" i="8"/>
  <c r="R59" i="8"/>
  <c r="Q59" i="8"/>
  <c r="P59" i="8"/>
  <c r="R58" i="8"/>
  <c r="Q58" i="8"/>
  <c r="P58" i="8"/>
  <c r="R57" i="8"/>
  <c r="Q57" i="8"/>
  <c r="P57" i="8"/>
  <c r="R56" i="8"/>
  <c r="Q56" i="8"/>
  <c r="P56" i="8"/>
  <c r="R55" i="8"/>
  <c r="Q55" i="8"/>
  <c r="P55" i="8"/>
  <c r="J55" i="8"/>
  <c r="J56" i="8" s="1"/>
  <c r="J57" i="8" s="1"/>
  <c r="J58" i="8" s="1"/>
  <c r="J59" i="8" s="1"/>
  <c r="J60" i="8" s="1"/>
  <c r="N54" i="8"/>
  <c r="G54" i="8"/>
  <c r="D54" i="8"/>
  <c r="R53" i="8"/>
  <c r="Q53" i="8"/>
  <c r="P53" i="8"/>
  <c r="R52" i="8"/>
  <c r="Q52" i="8"/>
  <c r="P52" i="8"/>
  <c r="R51" i="8"/>
  <c r="Q51" i="8"/>
  <c r="P51" i="8"/>
  <c r="R50" i="8"/>
  <c r="Q50" i="8"/>
  <c r="P50" i="8"/>
  <c r="R49" i="8"/>
  <c r="Q49" i="8"/>
  <c r="P49" i="8"/>
  <c r="R48" i="8"/>
  <c r="Q48" i="8"/>
  <c r="P48" i="8"/>
  <c r="R47" i="8"/>
  <c r="Q47" i="8"/>
  <c r="P47" i="8"/>
  <c r="R46" i="8"/>
  <c r="Q46" i="8"/>
  <c r="P46" i="8"/>
  <c r="R45" i="8"/>
  <c r="Q45" i="8"/>
  <c r="P45" i="8"/>
  <c r="J45" i="8"/>
  <c r="J46" i="8" s="1"/>
  <c r="J47" i="8" s="1"/>
  <c r="J48" i="8" s="1"/>
  <c r="J49" i="8" s="1"/>
  <c r="J50" i="8" s="1"/>
  <c r="J51" i="8" s="1"/>
  <c r="J52" i="8" s="1"/>
  <c r="J53" i="8" s="1"/>
  <c r="N44" i="8"/>
  <c r="G44" i="8"/>
  <c r="D44" i="8"/>
  <c r="R43" i="8"/>
  <c r="Q43" i="8"/>
  <c r="P43" i="8"/>
  <c r="R42" i="8"/>
  <c r="Q42" i="8"/>
  <c r="P42" i="8"/>
  <c r="R41" i="8"/>
  <c r="Q41" i="8"/>
  <c r="P41" i="8"/>
  <c r="R40" i="8"/>
  <c r="Q40" i="8"/>
  <c r="P40" i="8"/>
  <c r="R39" i="8"/>
  <c r="Q39" i="8"/>
  <c r="P39" i="8"/>
  <c r="R38" i="8"/>
  <c r="Q38" i="8"/>
  <c r="P38" i="8"/>
  <c r="R37" i="8"/>
  <c r="Q37" i="8"/>
  <c r="P37" i="8"/>
  <c r="R36" i="8"/>
  <c r="Q36" i="8"/>
  <c r="P36" i="8"/>
  <c r="R35" i="8"/>
  <c r="Q35" i="8"/>
  <c r="P35" i="8"/>
  <c r="J35" i="8"/>
  <c r="J36" i="8" s="1"/>
  <c r="J37" i="8" s="1"/>
  <c r="J38" i="8" s="1"/>
  <c r="J39" i="8" s="1"/>
  <c r="J40" i="8" s="1"/>
  <c r="J41" i="8" s="1"/>
  <c r="J42" i="8" s="1"/>
  <c r="J43" i="8" s="1"/>
  <c r="N34" i="8"/>
  <c r="G34" i="8"/>
  <c r="D34" i="8"/>
  <c r="R33" i="8"/>
  <c r="Q33" i="8"/>
  <c r="P33" i="8"/>
  <c r="R32" i="8"/>
  <c r="Q32" i="8"/>
  <c r="P32" i="8"/>
  <c r="R31" i="8"/>
  <c r="Q31" i="8"/>
  <c r="P31" i="8"/>
  <c r="R30" i="8"/>
  <c r="Q30" i="8"/>
  <c r="R29" i="8"/>
  <c r="Q29" i="8"/>
  <c r="R28" i="8"/>
  <c r="Q28" i="8"/>
  <c r="R27" i="8"/>
  <c r="Q27" i="8"/>
  <c r="R26" i="8"/>
  <c r="Q26" i="8"/>
  <c r="R25" i="8"/>
  <c r="Q25" i="8"/>
  <c r="R24" i="8"/>
  <c r="Q24" i="8"/>
  <c r="J24" i="8"/>
  <c r="J25" i="8" s="1"/>
  <c r="J26" i="8" s="1"/>
  <c r="J27" i="8" s="1"/>
  <c r="J28" i="8" s="1"/>
  <c r="J29" i="8" s="1"/>
  <c r="J30" i="8" s="1"/>
  <c r="J31" i="8" s="1"/>
  <c r="J32" i="8" s="1"/>
  <c r="J33" i="8" s="1"/>
  <c r="N23" i="8"/>
  <c r="G23" i="8"/>
  <c r="D23" i="8"/>
  <c r="R22" i="8"/>
  <c r="Q22" i="8"/>
  <c r="P22" i="8"/>
  <c r="R21" i="8"/>
  <c r="Q21" i="8"/>
  <c r="P21" i="8"/>
  <c r="R20" i="8"/>
  <c r="Q20" i="8"/>
  <c r="P20" i="8"/>
  <c r="R19" i="8"/>
  <c r="Q19" i="8"/>
  <c r="P19" i="8"/>
  <c r="R18" i="8"/>
  <c r="Q18" i="8"/>
  <c r="P18" i="8"/>
  <c r="R17" i="8"/>
  <c r="Q17" i="8"/>
  <c r="P17" i="8"/>
  <c r="R16" i="8"/>
  <c r="Q16" i="8"/>
  <c r="P16" i="8"/>
  <c r="R15" i="8"/>
  <c r="Q15" i="8"/>
  <c r="P15" i="8"/>
  <c r="R14" i="8"/>
  <c r="Q14" i="8"/>
  <c r="P14" i="8"/>
  <c r="Q13" i="8"/>
  <c r="N13" i="8"/>
  <c r="R12" i="8"/>
  <c r="Q12" i="8"/>
  <c r="P12" i="8"/>
  <c r="R11" i="8"/>
  <c r="Q11" i="8"/>
  <c r="P11" i="8"/>
  <c r="R10" i="8"/>
  <c r="Q10" i="8"/>
  <c r="P10" i="8"/>
  <c r="R9" i="8"/>
  <c r="Q9" i="8"/>
  <c r="P9" i="8"/>
  <c r="R8" i="8"/>
  <c r="Q8" i="8"/>
  <c r="P8" i="8"/>
  <c r="R7" i="8"/>
  <c r="Q7" i="8"/>
  <c r="P7" i="8"/>
  <c r="J7" i="8"/>
  <c r="J8" i="8" s="1"/>
  <c r="J9" i="8" s="1"/>
  <c r="J10" i="8" s="1"/>
  <c r="J11" i="8" s="1"/>
  <c r="J12" i="8" s="1"/>
  <c r="N6" i="8"/>
  <c r="G6" i="8"/>
  <c r="D6" i="8"/>
  <c r="R2" i="8"/>
  <c r="H154" i="21"/>
  <c r="B2" i="19" s="1"/>
  <c r="J151" i="21"/>
  <c r="Q150" i="21"/>
  <c r="P150" i="21"/>
  <c r="P149" i="21" s="1"/>
  <c r="M149" i="21"/>
  <c r="F149" i="21"/>
  <c r="D149" i="21"/>
  <c r="P148" i="21"/>
  <c r="P147" i="21"/>
  <c r="Q148" i="21"/>
  <c r="P146" i="21"/>
  <c r="Q145" i="21"/>
  <c r="P145" i="21"/>
  <c r="Q144" i="21"/>
  <c r="P144" i="21"/>
  <c r="M143" i="21"/>
  <c r="D143" i="21"/>
  <c r="P142" i="21"/>
  <c r="Q142" i="21"/>
  <c r="Q141" i="21"/>
  <c r="P141" i="21"/>
  <c r="Q140" i="21"/>
  <c r="P140" i="21"/>
  <c r="Q139" i="21"/>
  <c r="P139" i="21"/>
  <c r="Q138" i="21"/>
  <c r="P138" i="21"/>
  <c r="O138" i="21"/>
  <c r="Q137" i="21"/>
  <c r="P137" i="21"/>
  <c r="O137" i="21"/>
  <c r="M136" i="21"/>
  <c r="D136" i="21"/>
  <c r="P135" i="21"/>
  <c r="O132" i="21"/>
  <c r="J132" i="21"/>
  <c r="Q131" i="21"/>
  <c r="O131" i="21"/>
  <c r="Q130" i="21"/>
  <c r="O130" i="21"/>
  <c r="Q129" i="21"/>
  <c r="P129" i="21"/>
  <c r="O129" i="21"/>
  <c r="Q128" i="21"/>
  <c r="P128" i="21"/>
  <c r="O128" i="21"/>
  <c r="Q127" i="21"/>
  <c r="P127" i="21"/>
  <c r="O127" i="21"/>
  <c r="Q126" i="21"/>
  <c r="P126" i="21"/>
  <c r="O126" i="21"/>
  <c r="Q125" i="21"/>
  <c r="P125" i="21"/>
  <c r="O125" i="21"/>
  <c r="Q124" i="21"/>
  <c r="P124" i="21"/>
  <c r="O124" i="21"/>
  <c r="Q123" i="21"/>
  <c r="P123" i="21"/>
  <c r="O123" i="21"/>
  <c r="Q122" i="21"/>
  <c r="P122" i="21"/>
  <c r="O122" i="21"/>
  <c r="Q121" i="21"/>
  <c r="P121" i="21"/>
  <c r="O121" i="21"/>
  <c r="Q120" i="21"/>
  <c r="P120" i="21"/>
  <c r="O120" i="21"/>
  <c r="M119" i="21"/>
  <c r="D119" i="21"/>
  <c r="Q118" i="21"/>
  <c r="P118" i="21"/>
  <c r="Q117" i="21"/>
  <c r="P117" i="21"/>
  <c r="M116" i="21"/>
  <c r="P115" i="21"/>
  <c r="Q114" i="21"/>
  <c r="P114" i="21"/>
  <c r="J114" i="21"/>
  <c r="Q113" i="21"/>
  <c r="P113" i="21"/>
  <c r="M112" i="21"/>
  <c r="F112" i="21"/>
  <c r="D112" i="21"/>
  <c r="P111" i="21"/>
  <c r="P110" i="21"/>
  <c r="J110" i="21"/>
  <c r="Q109" i="21"/>
  <c r="P109" i="21"/>
  <c r="M108" i="21"/>
  <c r="F108" i="21"/>
  <c r="D108" i="21"/>
  <c r="Q85" i="21"/>
  <c r="P85" i="21"/>
  <c r="P83" i="21" s="1"/>
  <c r="Q84" i="21"/>
  <c r="P84" i="21"/>
  <c r="M83" i="21"/>
  <c r="D83" i="21"/>
  <c r="Q107" i="21"/>
  <c r="P107" i="21"/>
  <c r="P104" i="21" s="1"/>
  <c r="P106" i="21"/>
  <c r="P105" i="21"/>
  <c r="I105" i="21"/>
  <c r="M104" i="21"/>
  <c r="F104" i="21"/>
  <c r="D104" i="21"/>
  <c r="P103" i="21"/>
  <c r="Q102" i="21"/>
  <c r="P102" i="21"/>
  <c r="J102" i="21"/>
  <c r="J103" i="21" s="1"/>
  <c r="Q103" i="21" s="1"/>
  <c r="Q101" i="21"/>
  <c r="P101" i="21"/>
  <c r="Q100" i="21"/>
  <c r="P100" i="21"/>
  <c r="I100" i="21"/>
  <c r="M99" i="21"/>
  <c r="D99" i="21"/>
  <c r="J97" i="21"/>
  <c r="Q96" i="21"/>
  <c r="Q95" i="21"/>
  <c r="Q94" i="21"/>
  <c r="Q93" i="21"/>
  <c r="Q92" i="21"/>
  <c r="P92" i="21"/>
  <c r="Q91" i="21"/>
  <c r="P91" i="21"/>
  <c r="M90" i="21"/>
  <c r="F90" i="21"/>
  <c r="D90" i="21"/>
  <c r="Q82" i="21"/>
  <c r="P82" i="21"/>
  <c r="Q81" i="21"/>
  <c r="P81" i="21"/>
  <c r="Q80" i="21"/>
  <c r="P80" i="21"/>
  <c r="Q79" i="21"/>
  <c r="P79" i="21"/>
  <c r="J79" i="21"/>
  <c r="J81" i="21" s="1"/>
  <c r="Q78" i="21"/>
  <c r="P78" i="21"/>
  <c r="M77" i="21"/>
  <c r="F77" i="21"/>
  <c r="D77" i="21"/>
  <c r="Q89" i="21"/>
  <c r="J89" i="21"/>
  <c r="Q88" i="21"/>
  <c r="P88" i="21"/>
  <c r="Q87" i="21"/>
  <c r="P87" i="21"/>
  <c r="O87" i="21"/>
  <c r="M86" i="21"/>
  <c r="F86" i="21"/>
  <c r="D86" i="21"/>
  <c r="Q76" i="21"/>
  <c r="P76" i="21"/>
  <c r="Q75" i="21"/>
  <c r="P75" i="21"/>
  <c r="J75" i="21"/>
  <c r="J76" i="21" s="1"/>
  <c r="Q74" i="21"/>
  <c r="P74" i="21"/>
  <c r="Q73" i="21"/>
  <c r="P73" i="21"/>
  <c r="Q72" i="21"/>
  <c r="P72" i="21"/>
  <c r="Q71" i="21"/>
  <c r="P71" i="21"/>
  <c r="I71" i="21"/>
  <c r="M70" i="21"/>
  <c r="F70" i="21"/>
  <c r="D70" i="21"/>
  <c r="Q69" i="21"/>
  <c r="Q68" i="21"/>
  <c r="J68" i="21"/>
  <c r="J69" i="21" s="1"/>
  <c r="I69" i="21" s="1"/>
  <c r="Q67" i="21"/>
  <c r="P67" i="21"/>
  <c r="Q66" i="21"/>
  <c r="P66" i="21"/>
  <c r="P65" i="21" s="1"/>
  <c r="M65" i="21"/>
  <c r="F65" i="21"/>
  <c r="D65" i="21"/>
  <c r="Q64" i="21"/>
  <c r="P64" i="21"/>
  <c r="J64" i="21"/>
  <c r="Q63" i="21"/>
  <c r="P63" i="21"/>
  <c r="Q62" i="21"/>
  <c r="P62" i="21"/>
  <c r="O62" i="21"/>
  <c r="I62" i="21"/>
  <c r="I63" i="21" s="1"/>
  <c r="M61" i="21"/>
  <c r="F61" i="21"/>
  <c r="D61" i="21"/>
  <c r="Q60" i="21"/>
  <c r="P60" i="21"/>
  <c r="Q59" i="21"/>
  <c r="P59" i="21"/>
  <c r="O59" i="21"/>
  <c r="I59" i="21"/>
  <c r="I60" i="21" s="1"/>
  <c r="M58" i="21"/>
  <c r="F58" i="21"/>
  <c r="D58" i="21"/>
  <c r="Q57" i="21"/>
  <c r="P57" i="21"/>
  <c r="J57" i="21"/>
  <c r="Q56" i="21"/>
  <c r="P56" i="21"/>
  <c r="O56" i="21"/>
  <c r="Q55" i="21"/>
  <c r="P55" i="21"/>
  <c r="O55" i="21"/>
  <c r="Q54" i="21"/>
  <c r="P54" i="21"/>
  <c r="O54" i="21"/>
  <c r="I54" i="21"/>
  <c r="I55" i="21" s="1"/>
  <c r="M53" i="21"/>
  <c r="F53" i="21"/>
  <c r="D53" i="21"/>
  <c r="Q52" i="21"/>
  <c r="P52" i="21"/>
  <c r="Q51" i="21"/>
  <c r="P51" i="21"/>
  <c r="Q50" i="21"/>
  <c r="P50" i="21"/>
  <c r="O50" i="21"/>
  <c r="I50" i="21"/>
  <c r="M49" i="21"/>
  <c r="F49" i="21"/>
  <c r="D49" i="21"/>
  <c r="Q48" i="21"/>
  <c r="P48" i="21"/>
  <c r="J48" i="21"/>
  <c r="Q47" i="21"/>
  <c r="P47" i="21"/>
  <c r="O47" i="21"/>
  <c r="Q46" i="21"/>
  <c r="P46" i="21"/>
  <c r="O46" i="21"/>
  <c r="I46" i="21"/>
  <c r="I47" i="21" s="1"/>
  <c r="M45" i="21"/>
  <c r="F45" i="21"/>
  <c r="D45" i="21"/>
  <c r="Q44" i="21"/>
  <c r="P44" i="21"/>
  <c r="O44" i="21"/>
  <c r="Q43" i="21"/>
  <c r="P43" i="21"/>
  <c r="O43" i="21"/>
  <c r="Q42" i="21"/>
  <c r="P42" i="21"/>
  <c r="O42" i="21"/>
  <c r="Q41" i="21"/>
  <c r="P41" i="21"/>
  <c r="O41" i="21"/>
  <c r="Q40" i="21"/>
  <c r="P40" i="21"/>
  <c r="O40" i="21"/>
  <c r="Q39" i="21"/>
  <c r="P39" i="21"/>
  <c r="O39" i="21"/>
  <c r="I39" i="21"/>
  <c r="I40" i="21" s="1"/>
  <c r="I41" i="21" s="1"/>
  <c r="I42" i="21" s="1"/>
  <c r="I43" i="21" s="1"/>
  <c r="I44" i="21" s="1"/>
  <c r="M38" i="21"/>
  <c r="D38" i="21"/>
  <c r="Q37" i="21"/>
  <c r="P37" i="21"/>
  <c r="Q36" i="21"/>
  <c r="P36" i="21"/>
  <c r="Q35" i="21"/>
  <c r="P35" i="21"/>
  <c r="O35" i="21"/>
  <c r="Q34" i="21"/>
  <c r="P34" i="21"/>
  <c r="O34" i="21"/>
  <c r="I34" i="21"/>
  <c r="I35" i="21" s="1"/>
  <c r="M33" i="21"/>
  <c r="F33" i="21"/>
  <c r="D33" i="21"/>
  <c r="Q32" i="21"/>
  <c r="P32" i="21"/>
  <c r="O32" i="21"/>
  <c r="Q31" i="21"/>
  <c r="P31" i="21"/>
  <c r="O31" i="21"/>
  <c r="Q30" i="21"/>
  <c r="P30" i="21"/>
  <c r="O30" i="21"/>
  <c r="Q29" i="21"/>
  <c r="P29" i="21"/>
  <c r="O29" i="21"/>
  <c r="M28" i="21"/>
  <c r="Q27" i="21"/>
  <c r="P27" i="21"/>
  <c r="O27" i="21"/>
  <c r="Q26" i="21"/>
  <c r="P26" i="21"/>
  <c r="O26" i="21"/>
  <c r="Q25" i="21"/>
  <c r="P25" i="21"/>
  <c r="O25" i="21"/>
  <c r="Q24" i="21"/>
  <c r="P24" i="21"/>
  <c r="O24" i="21"/>
  <c r="Q23" i="21"/>
  <c r="P23" i="21"/>
  <c r="O23" i="21"/>
  <c r="Q22" i="21"/>
  <c r="P22" i="21"/>
  <c r="O22" i="21"/>
  <c r="Q21" i="21"/>
  <c r="P21" i="21"/>
  <c r="O21" i="21"/>
  <c r="I21" i="21"/>
  <c r="I22" i="21" s="1"/>
  <c r="I23" i="21" s="1"/>
  <c r="I24" i="21" s="1"/>
  <c r="I25" i="21" s="1"/>
  <c r="I26" i="21" s="1"/>
  <c r="I27" i="21" s="1"/>
  <c r="M20" i="21"/>
  <c r="F20" i="21"/>
  <c r="D20" i="21"/>
  <c r="Q19" i="21"/>
  <c r="P19" i="21"/>
  <c r="O19" i="21"/>
  <c r="Q18" i="21"/>
  <c r="P18" i="21"/>
  <c r="O18" i="21"/>
  <c r="Q17" i="21"/>
  <c r="P17" i="21"/>
  <c r="O17" i="21"/>
  <c r="Q16" i="21"/>
  <c r="P16" i="21"/>
  <c r="O16" i="21"/>
  <c r="Q15" i="21"/>
  <c r="P15" i="21"/>
  <c r="O15" i="21"/>
  <c r="Q14" i="21"/>
  <c r="P14" i="21"/>
  <c r="O14" i="21"/>
  <c r="I14" i="21"/>
  <c r="M13" i="21"/>
  <c r="F13" i="21"/>
  <c r="D13" i="21"/>
  <c r="Q12" i="21"/>
  <c r="P12" i="21"/>
  <c r="O12" i="21"/>
  <c r="Q11" i="21"/>
  <c r="P11" i="21"/>
  <c r="O11" i="21"/>
  <c r="Q10" i="21"/>
  <c r="P10" i="21"/>
  <c r="O10" i="21"/>
  <c r="Q9" i="21"/>
  <c r="P9" i="21"/>
  <c r="O9" i="21"/>
  <c r="Q8" i="21"/>
  <c r="P8" i="21"/>
  <c r="O8" i="21"/>
  <c r="Q7" i="21"/>
  <c r="P7" i="21"/>
  <c r="O7" i="21"/>
  <c r="M6" i="21"/>
  <c r="F6" i="21"/>
  <c r="D6" i="21"/>
  <c r="Q2" i="21"/>
  <c r="K30" i="19"/>
  <c r="K35" i="19" s="1"/>
  <c r="K55" i="19" s="1"/>
  <c r="C14" i="19"/>
  <c r="B13" i="19"/>
  <c r="C11" i="19"/>
  <c r="C7" i="19"/>
  <c r="B7" i="19"/>
  <c r="B5" i="19"/>
  <c r="K8" i="27" l="1"/>
  <c r="K36" i="27"/>
  <c r="Q36" i="27" s="1"/>
  <c r="K11" i="23"/>
  <c r="D10" i="23"/>
  <c r="D15" i="23" s="1"/>
  <c r="B12" i="19" s="1"/>
  <c r="E78" i="5"/>
  <c r="H7" i="10"/>
  <c r="H8" i="10" s="1"/>
  <c r="L23" i="10"/>
  <c r="G10" i="10"/>
  <c r="H11" i="10" s="1"/>
  <c r="H12" i="10" s="1"/>
  <c r="J135" i="21"/>
  <c r="J134" i="21"/>
  <c r="N58" i="27"/>
  <c r="I24" i="10"/>
  <c r="P89" i="29"/>
  <c r="P84" i="29"/>
  <c r="P80" i="29"/>
  <c r="P76" i="29"/>
  <c r="P72" i="29"/>
  <c r="P68" i="29"/>
  <c r="P64" i="29"/>
  <c r="P60" i="29"/>
  <c r="P56" i="29"/>
  <c r="P52" i="29"/>
  <c r="P48" i="29"/>
  <c r="P44" i="29"/>
  <c r="P40" i="29"/>
  <c r="P36" i="29"/>
  <c r="P32" i="29"/>
  <c r="P28" i="29"/>
  <c r="P24" i="29"/>
  <c r="P20" i="29"/>
  <c r="P16" i="29"/>
  <c r="P12" i="29"/>
  <c r="P8" i="29"/>
  <c r="P4" i="29"/>
  <c r="P87" i="29"/>
  <c r="P83" i="29"/>
  <c r="P79" i="29"/>
  <c r="P75" i="29"/>
  <c r="P71" i="29"/>
  <c r="P67" i="29"/>
  <c r="P63" i="29"/>
  <c r="P59" i="29"/>
  <c r="P55" i="29"/>
  <c r="P51" i="29"/>
  <c r="P47" i="29"/>
  <c r="P43" i="29"/>
  <c r="P39" i="29"/>
  <c r="P35" i="29"/>
  <c r="P31" i="29"/>
  <c r="P27" i="29"/>
  <c r="P23" i="29"/>
  <c r="P19" i="29"/>
  <c r="P15" i="29"/>
  <c r="P11" i="29"/>
  <c r="P7" i="29"/>
  <c r="P3" i="29"/>
  <c r="P86" i="29"/>
  <c r="P82" i="29"/>
  <c r="P78" i="29"/>
  <c r="P74" i="29"/>
  <c r="P70" i="29"/>
  <c r="P66" i="29"/>
  <c r="P62" i="29"/>
  <c r="P58" i="29"/>
  <c r="P54" i="29"/>
  <c r="P50" i="29"/>
  <c r="P46" i="29"/>
  <c r="P42" i="29"/>
  <c r="P38" i="29"/>
  <c r="P34" i="29"/>
  <c r="P30" i="29"/>
  <c r="P26" i="29"/>
  <c r="P22" i="29"/>
  <c r="P18" i="29"/>
  <c r="P14" i="29"/>
  <c r="P10" i="29"/>
  <c r="P6" i="29"/>
  <c r="P90" i="29"/>
  <c r="P85" i="29"/>
  <c r="P81" i="29"/>
  <c r="P77" i="29"/>
  <c r="P73" i="29"/>
  <c r="P69" i="29"/>
  <c r="P65" i="29"/>
  <c r="P61" i="29"/>
  <c r="P57" i="29"/>
  <c r="P53" i="29"/>
  <c r="P49" i="29"/>
  <c r="P45" i="29"/>
  <c r="P41" i="29"/>
  <c r="P37" i="29"/>
  <c r="P33" i="29"/>
  <c r="P29" i="29"/>
  <c r="P25" i="29"/>
  <c r="P21" i="29"/>
  <c r="P17" i="29"/>
  <c r="P13" i="29"/>
  <c r="P9" i="29"/>
  <c r="P5" i="29"/>
  <c r="N407" i="8"/>
  <c r="P24" i="13"/>
  <c r="O24" i="13"/>
  <c r="O22" i="13" s="1"/>
  <c r="O12" i="28"/>
  <c r="CX6" i="29"/>
  <c r="CX4" i="29"/>
  <c r="CX10" i="29"/>
  <c r="CX11" i="29"/>
  <c r="CX9" i="29"/>
  <c r="CX8" i="29"/>
  <c r="CX7" i="29"/>
  <c r="CX5" i="29"/>
  <c r="CX3" i="29"/>
  <c r="DJ6" i="29"/>
  <c r="DJ4" i="29"/>
  <c r="DJ10" i="29"/>
  <c r="DJ11" i="29"/>
  <c r="DJ9" i="29"/>
  <c r="DJ8" i="29"/>
  <c r="DJ7" i="29"/>
  <c r="DJ5" i="29"/>
  <c r="DJ3" i="29"/>
  <c r="CX14" i="29"/>
  <c r="CX13" i="29"/>
  <c r="DJ12" i="29"/>
  <c r="DJ43" i="29"/>
  <c r="CX43" i="29"/>
  <c r="DJ14" i="29"/>
  <c r="DJ13" i="29"/>
  <c r="CX12" i="29"/>
  <c r="AW4" i="29"/>
  <c r="AW5" i="29"/>
  <c r="AW9" i="29"/>
  <c r="AW13" i="29"/>
  <c r="AW17" i="29"/>
  <c r="AW10" i="29"/>
  <c r="AW11" i="29"/>
  <c r="AW12" i="29"/>
  <c r="AW20" i="29"/>
  <c r="AW24" i="29"/>
  <c r="AW28" i="29"/>
  <c r="AW32" i="29"/>
  <c r="AW36" i="29"/>
  <c r="AW40" i="29"/>
  <c r="AW44" i="29"/>
  <c r="AW48" i="29"/>
  <c r="AW52" i="29"/>
  <c r="AW6" i="29"/>
  <c r="AW14" i="29"/>
  <c r="AW16" i="29"/>
  <c r="AW21" i="29"/>
  <c r="AW22" i="29"/>
  <c r="AW23" i="29"/>
  <c r="AW37" i="29"/>
  <c r="AW38" i="29"/>
  <c r="AW39" i="29"/>
  <c r="AW53" i="29"/>
  <c r="AW54" i="29"/>
  <c r="AW58" i="29"/>
  <c r="AW62" i="29"/>
  <c r="AW66" i="29"/>
  <c r="AW70" i="29"/>
  <c r="AW74" i="29"/>
  <c r="AW78" i="29"/>
  <c r="AW82" i="29"/>
  <c r="AW86" i="29"/>
  <c r="AW8" i="29"/>
  <c r="AW18" i="29"/>
  <c r="AW19" i="29"/>
  <c r="AW33" i="29"/>
  <c r="AW34" i="29"/>
  <c r="AW35" i="29"/>
  <c r="AW49" i="29"/>
  <c r="AW50" i="29"/>
  <c r="AW51" i="29"/>
  <c r="AW55" i="29"/>
  <c r="AW59" i="29"/>
  <c r="AW63" i="29"/>
  <c r="AW67" i="29"/>
  <c r="AW71" i="29"/>
  <c r="AW75" i="29"/>
  <c r="AW79" i="29"/>
  <c r="AW83" i="29"/>
  <c r="AW87" i="29"/>
  <c r="AW15" i="29"/>
  <c r="AW29" i="29"/>
  <c r="AW30" i="29"/>
  <c r="AW31" i="29"/>
  <c r="AW45" i="29"/>
  <c r="AW46" i="29"/>
  <c r="AW47" i="29"/>
  <c r="AW56" i="29"/>
  <c r="AW60" i="29"/>
  <c r="AW64" i="29"/>
  <c r="AW68" i="29"/>
  <c r="AW72" i="29"/>
  <c r="AW76" i="29"/>
  <c r="AW80" i="29"/>
  <c r="AW84" i="29"/>
  <c r="AW89" i="29"/>
  <c r="AW7" i="29"/>
  <c r="AW25" i="29"/>
  <c r="AW26" i="29"/>
  <c r="AW27" i="29"/>
  <c r="AW41" i="29"/>
  <c r="AW42" i="29"/>
  <c r="AW43" i="29"/>
  <c r="AW57" i="29"/>
  <c r="AW61" i="29"/>
  <c r="AW65" i="29"/>
  <c r="AW69" i="29"/>
  <c r="AW73" i="29"/>
  <c r="AW77" i="29"/>
  <c r="AW81" i="29"/>
  <c r="AW85" i="29"/>
  <c r="AW90" i="29"/>
  <c r="AW3" i="29"/>
  <c r="CL90" i="29"/>
  <c r="CL85" i="29"/>
  <c r="CL81" i="29"/>
  <c r="CL77" i="29"/>
  <c r="CL73" i="29"/>
  <c r="CL69" i="29"/>
  <c r="CL65" i="29"/>
  <c r="CL61" i="29"/>
  <c r="CL57" i="29"/>
  <c r="CL53" i="29"/>
  <c r="CL49" i="29"/>
  <c r="CL45" i="29"/>
  <c r="CL41" i="29"/>
  <c r="CL37" i="29"/>
  <c r="CL33" i="29"/>
  <c r="CL29" i="29"/>
  <c r="CL25" i="29"/>
  <c r="CL21" i="29"/>
  <c r="CL17" i="29"/>
  <c r="CL13" i="29"/>
  <c r="CL9" i="29"/>
  <c r="CL5" i="29"/>
  <c r="CA89" i="29"/>
  <c r="CA84" i="29"/>
  <c r="CA80" i="29"/>
  <c r="CA76" i="29"/>
  <c r="CA72" i="29"/>
  <c r="CA68" i="29"/>
  <c r="CA64" i="29"/>
  <c r="CA60" i="29"/>
  <c r="CA56" i="29"/>
  <c r="CA52" i="29"/>
  <c r="CA48" i="29"/>
  <c r="CA44" i="29"/>
  <c r="CA40" i="29"/>
  <c r="CA36" i="29"/>
  <c r="CA32" i="29"/>
  <c r="CA28" i="29"/>
  <c r="CA24" i="29"/>
  <c r="CA20" i="29"/>
  <c r="CA16" i="29"/>
  <c r="CA12" i="29"/>
  <c r="CA8" i="29"/>
  <c r="CA4" i="29"/>
  <c r="CL89" i="29"/>
  <c r="CL84" i="29"/>
  <c r="CL80" i="29"/>
  <c r="CL76" i="29"/>
  <c r="CL72" i="29"/>
  <c r="CL68" i="29"/>
  <c r="CL64" i="29"/>
  <c r="CL60" i="29"/>
  <c r="CL56" i="29"/>
  <c r="CL52" i="29"/>
  <c r="CL48" i="29"/>
  <c r="CL44" i="29"/>
  <c r="CL40" i="29"/>
  <c r="CL36" i="29"/>
  <c r="CL32" i="29"/>
  <c r="CL28" i="29"/>
  <c r="CL24" i="29"/>
  <c r="CL20" i="29"/>
  <c r="CL16" i="29"/>
  <c r="CL12" i="29"/>
  <c r="CL8" i="29"/>
  <c r="CL4" i="29"/>
  <c r="CA87" i="29"/>
  <c r="CA83" i="29"/>
  <c r="CA79" i="29"/>
  <c r="CA75" i="29"/>
  <c r="CA71" i="29"/>
  <c r="CA67" i="29"/>
  <c r="CA63" i="29"/>
  <c r="CA59" i="29"/>
  <c r="CA55" i="29"/>
  <c r="CA51" i="29"/>
  <c r="CA47" i="29"/>
  <c r="CA43" i="29"/>
  <c r="CA39" i="29"/>
  <c r="CA35" i="29"/>
  <c r="CA31" i="29"/>
  <c r="CA27" i="29"/>
  <c r="CA23" i="29"/>
  <c r="CA19" i="29"/>
  <c r="CA15" i="29"/>
  <c r="CA11" i="29"/>
  <c r="CA7" i="29"/>
  <c r="CA3" i="29"/>
  <c r="CL87" i="29"/>
  <c r="CL83" i="29"/>
  <c r="CL79" i="29"/>
  <c r="CL75" i="29"/>
  <c r="CL71" i="29"/>
  <c r="CL67" i="29"/>
  <c r="CL63" i="29"/>
  <c r="CL59" i="29"/>
  <c r="CL55" i="29"/>
  <c r="CL51" i="29"/>
  <c r="CL47" i="29"/>
  <c r="CL43" i="29"/>
  <c r="CL39" i="29"/>
  <c r="CL35" i="29"/>
  <c r="CL31" i="29"/>
  <c r="CL27" i="29"/>
  <c r="CL23" i="29"/>
  <c r="CL19" i="29"/>
  <c r="CL15" i="29"/>
  <c r="CL11" i="29"/>
  <c r="CL7" i="29"/>
  <c r="CL3" i="29"/>
  <c r="CA86" i="29"/>
  <c r="CA82" i="29"/>
  <c r="CA78" i="29"/>
  <c r="CA74" i="29"/>
  <c r="CA70" i="29"/>
  <c r="CA66" i="29"/>
  <c r="CA62" i="29"/>
  <c r="CA58" i="29"/>
  <c r="CA54" i="29"/>
  <c r="CA50" i="29"/>
  <c r="CA46" i="29"/>
  <c r="CA42" i="29"/>
  <c r="CA38" i="29"/>
  <c r="CA34" i="29"/>
  <c r="CA30" i="29"/>
  <c r="CA26" i="29"/>
  <c r="CA22" i="29"/>
  <c r="CA18" i="29"/>
  <c r="CA14" i="29"/>
  <c r="CA10" i="29"/>
  <c r="CA6" i="29"/>
  <c r="CL86" i="29"/>
  <c r="CL82" i="29"/>
  <c r="CL78" i="29"/>
  <c r="CL74" i="29"/>
  <c r="CL70" i="29"/>
  <c r="CL66" i="29"/>
  <c r="CL62" i="29"/>
  <c r="CL58" i="29"/>
  <c r="CL54" i="29"/>
  <c r="CL50" i="29"/>
  <c r="CL46" i="29"/>
  <c r="CL42" i="29"/>
  <c r="CL38" i="29"/>
  <c r="CL34" i="29"/>
  <c r="CL30" i="29"/>
  <c r="CL26" i="29"/>
  <c r="CL22" i="29"/>
  <c r="CL18" i="29"/>
  <c r="CL14" i="29"/>
  <c r="CL10" i="29"/>
  <c r="CL6" i="29"/>
  <c r="CA90" i="29"/>
  <c r="CA85" i="29"/>
  <c r="CA81" i="29"/>
  <c r="CA77" i="29"/>
  <c r="CA73" i="29"/>
  <c r="CA69" i="29"/>
  <c r="CA65" i="29"/>
  <c r="CA61" i="29"/>
  <c r="CA57" i="29"/>
  <c r="CA53" i="29"/>
  <c r="CA49" i="29"/>
  <c r="CA45" i="29"/>
  <c r="CA41" i="29"/>
  <c r="CA37" i="29"/>
  <c r="CA33" i="29"/>
  <c r="CA29" i="29"/>
  <c r="CA25" i="29"/>
  <c r="CA21" i="29"/>
  <c r="CA17" i="29"/>
  <c r="CA13" i="29"/>
  <c r="CA9" i="29"/>
  <c r="CA5" i="29"/>
  <c r="P28" i="13"/>
  <c r="O28" i="13"/>
  <c r="AQ4" i="29"/>
  <c r="AQ5" i="29"/>
  <c r="AQ6" i="29"/>
  <c r="AQ7" i="29"/>
  <c r="AQ8" i="29"/>
  <c r="AQ9" i="29"/>
  <c r="AQ10" i="29"/>
  <c r="AQ11" i="29"/>
  <c r="AQ12" i="29"/>
  <c r="AQ13" i="29"/>
  <c r="AQ14" i="29"/>
  <c r="AQ15" i="29"/>
  <c r="AQ16" i="29"/>
  <c r="AQ17" i="29"/>
  <c r="AQ18" i="29"/>
  <c r="AQ19" i="29"/>
  <c r="AQ20" i="29"/>
  <c r="AQ21" i="29"/>
  <c r="AQ22" i="29"/>
  <c r="AQ23" i="29"/>
  <c r="AQ24" i="29"/>
  <c r="AQ25" i="29"/>
  <c r="AQ26" i="29"/>
  <c r="AQ27" i="29"/>
  <c r="AQ28" i="29"/>
  <c r="AQ29" i="29"/>
  <c r="AQ30" i="29"/>
  <c r="AQ31" i="29"/>
  <c r="AQ32" i="29"/>
  <c r="AQ33" i="29"/>
  <c r="AQ34" i="29"/>
  <c r="AQ35" i="29"/>
  <c r="AQ36" i="29"/>
  <c r="AQ37" i="29"/>
  <c r="AQ38" i="29"/>
  <c r="AQ39" i="29"/>
  <c r="AQ40" i="29"/>
  <c r="AQ41" i="29"/>
  <c r="AQ42" i="29"/>
  <c r="AQ43" i="29"/>
  <c r="AQ44" i="29"/>
  <c r="AQ45" i="29"/>
  <c r="AQ46" i="29"/>
  <c r="AQ47" i="29"/>
  <c r="AQ48" i="29"/>
  <c r="AQ49" i="29"/>
  <c r="AQ50" i="29"/>
  <c r="AQ51" i="29"/>
  <c r="AQ52" i="29"/>
  <c r="AQ53" i="29"/>
  <c r="AQ54" i="29"/>
  <c r="AQ55" i="29"/>
  <c r="AQ56" i="29"/>
  <c r="AQ57" i="29"/>
  <c r="AQ58" i="29"/>
  <c r="AQ59" i="29"/>
  <c r="AQ60" i="29"/>
  <c r="AQ61" i="29"/>
  <c r="AQ62" i="29"/>
  <c r="AQ63" i="29"/>
  <c r="AQ64" i="29"/>
  <c r="AQ65" i="29"/>
  <c r="AQ66" i="29"/>
  <c r="AQ67" i="29"/>
  <c r="AQ68" i="29"/>
  <c r="AQ69" i="29"/>
  <c r="AQ70" i="29"/>
  <c r="AQ71" i="29"/>
  <c r="AQ72" i="29"/>
  <c r="AQ73" i="29"/>
  <c r="AQ74" i="29"/>
  <c r="AQ75" i="29"/>
  <c r="AQ76" i="29"/>
  <c r="AQ77" i="29"/>
  <c r="AQ78" i="29"/>
  <c r="AQ79" i="29"/>
  <c r="AQ80" i="29"/>
  <c r="AQ81" i="29"/>
  <c r="AQ82" i="29"/>
  <c r="AQ83" i="29"/>
  <c r="AQ84" i="29"/>
  <c r="AQ85" i="29"/>
  <c r="AQ86" i="29"/>
  <c r="AQ87" i="29"/>
  <c r="AQ89" i="29"/>
  <c r="AQ90" i="29"/>
  <c r="AQ3" i="29"/>
  <c r="BM5" i="29"/>
  <c r="BM9" i="29"/>
  <c r="BM13" i="29"/>
  <c r="BM17" i="29"/>
  <c r="BM21" i="29"/>
  <c r="BM25" i="29"/>
  <c r="BM29" i="29"/>
  <c r="BM4" i="29"/>
  <c r="BM10" i="29"/>
  <c r="BM15" i="29"/>
  <c r="BM20" i="29"/>
  <c r="BM26" i="29"/>
  <c r="BM31" i="29"/>
  <c r="BM35" i="29"/>
  <c r="BM39" i="29"/>
  <c r="BM43" i="29"/>
  <c r="BM47" i="29"/>
  <c r="BM51" i="29"/>
  <c r="BM55" i="29"/>
  <c r="BM59" i="29"/>
  <c r="BM63" i="29"/>
  <c r="BM67" i="29"/>
  <c r="BM71" i="29"/>
  <c r="BM75" i="29"/>
  <c r="BM79" i="29"/>
  <c r="BM83" i="29"/>
  <c r="BM87" i="29"/>
  <c r="BE4" i="29"/>
  <c r="BE8" i="29"/>
  <c r="BE12" i="29"/>
  <c r="BE16" i="29"/>
  <c r="BE20" i="29"/>
  <c r="BE24" i="29"/>
  <c r="BE28" i="29"/>
  <c r="BE32" i="29"/>
  <c r="BE36" i="29"/>
  <c r="BE40" i="29"/>
  <c r="BE44" i="29"/>
  <c r="BE48" i="29"/>
  <c r="BE52" i="29"/>
  <c r="BE56" i="29"/>
  <c r="BE60" i="29"/>
  <c r="BE64" i="29"/>
  <c r="BE68" i="29"/>
  <c r="BE72" i="29"/>
  <c r="BE76" i="29"/>
  <c r="BE80" i="29"/>
  <c r="BE84" i="29"/>
  <c r="BE89" i="29"/>
  <c r="BM6" i="29"/>
  <c r="BM11" i="29"/>
  <c r="BM16" i="29"/>
  <c r="BM22" i="29"/>
  <c r="BM27" i="29"/>
  <c r="BM32" i="29"/>
  <c r="BM36" i="29"/>
  <c r="BM40" i="29"/>
  <c r="BM44" i="29"/>
  <c r="BM48" i="29"/>
  <c r="BM52" i="29"/>
  <c r="BM56" i="29"/>
  <c r="BM60" i="29"/>
  <c r="BM64" i="29"/>
  <c r="BM68" i="29"/>
  <c r="BM72" i="29"/>
  <c r="BM76" i="29"/>
  <c r="BM80" i="29"/>
  <c r="BM84" i="29"/>
  <c r="BM89" i="29"/>
  <c r="BE5" i="29"/>
  <c r="BE9" i="29"/>
  <c r="BE13" i="29"/>
  <c r="BE17" i="29"/>
  <c r="BE21" i="29"/>
  <c r="BE25" i="29"/>
  <c r="BE29" i="29"/>
  <c r="BE33" i="29"/>
  <c r="BE37" i="29"/>
  <c r="BE41" i="29"/>
  <c r="BE45" i="29"/>
  <c r="BE49" i="29"/>
  <c r="BE53" i="29"/>
  <c r="BE57" i="29"/>
  <c r="BE61" i="29"/>
  <c r="BE65" i="29"/>
  <c r="BE69" i="29"/>
  <c r="BE73" i="29"/>
  <c r="BE77" i="29"/>
  <c r="BE81" i="29"/>
  <c r="BE85" i="29"/>
  <c r="BE90" i="29"/>
  <c r="BM7" i="29"/>
  <c r="BM12" i="29"/>
  <c r="BM18" i="29"/>
  <c r="BM23" i="29"/>
  <c r="BM28" i="29"/>
  <c r="BM33" i="29"/>
  <c r="BM37" i="29"/>
  <c r="BM41" i="29"/>
  <c r="BM45" i="29"/>
  <c r="BM49" i="29"/>
  <c r="BM53" i="29"/>
  <c r="BM57" i="29"/>
  <c r="BM61" i="29"/>
  <c r="BM65" i="29"/>
  <c r="BM69" i="29"/>
  <c r="BM73" i="29"/>
  <c r="BM77" i="29"/>
  <c r="BM81" i="29"/>
  <c r="BM85" i="29"/>
  <c r="BM90" i="29"/>
  <c r="BE6" i="29"/>
  <c r="BE10" i="29"/>
  <c r="BE14" i="29"/>
  <c r="BE18" i="29"/>
  <c r="BE22" i="29"/>
  <c r="BE26" i="29"/>
  <c r="BE30" i="29"/>
  <c r="BE34" i="29"/>
  <c r="BE38" i="29"/>
  <c r="BE42" i="29"/>
  <c r="BE46" i="29"/>
  <c r="BE50" i="29"/>
  <c r="BE54" i="29"/>
  <c r="BE58" i="29"/>
  <c r="BE62" i="29"/>
  <c r="BE66" i="29"/>
  <c r="BE70" i="29"/>
  <c r="BE74" i="29"/>
  <c r="BE78" i="29"/>
  <c r="BE82" i="29"/>
  <c r="BE86" i="29"/>
  <c r="BE3" i="29"/>
  <c r="BM8" i="29"/>
  <c r="BM14" i="29"/>
  <c r="BM19" i="29"/>
  <c r="BM24" i="29"/>
  <c r="BM30" i="29"/>
  <c r="BM34" i="29"/>
  <c r="BM38" i="29"/>
  <c r="BM42" i="29"/>
  <c r="BM46" i="29"/>
  <c r="BM50" i="29"/>
  <c r="BM54" i="29"/>
  <c r="BM58" i="29"/>
  <c r="BM62" i="29"/>
  <c r="BM66" i="29"/>
  <c r="BM70" i="29"/>
  <c r="BM74" i="29"/>
  <c r="BM78" i="29"/>
  <c r="BM82" i="29"/>
  <c r="BM86" i="29"/>
  <c r="BM3" i="29"/>
  <c r="BE7" i="29"/>
  <c r="BE11" i="29"/>
  <c r="BE15" i="29"/>
  <c r="BE19" i="29"/>
  <c r="BE23" i="29"/>
  <c r="BE27" i="29"/>
  <c r="BE31" i="29"/>
  <c r="BE35" i="29"/>
  <c r="BE39" i="29"/>
  <c r="BE43" i="29"/>
  <c r="BE47" i="29"/>
  <c r="BE51" i="29"/>
  <c r="BE55" i="29"/>
  <c r="BE59" i="29"/>
  <c r="BE63" i="29"/>
  <c r="BE67" i="29"/>
  <c r="BE71" i="29"/>
  <c r="BE75" i="29"/>
  <c r="BE79" i="29"/>
  <c r="BE83" i="29"/>
  <c r="BE87" i="29"/>
  <c r="AX4" i="29"/>
  <c r="AX8" i="29"/>
  <c r="AX12" i="29"/>
  <c r="AX16" i="29"/>
  <c r="AX5" i="29"/>
  <c r="AX13" i="29"/>
  <c r="AX14" i="29"/>
  <c r="AX15" i="29"/>
  <c r="AX19" i="29"/>
  <c r="AX23" i="29"/>
  <c r="AX27" i="29"/>
  <c r="AX31" i="29"/>
  <c r="AX35" i="29"/>
  <c r="AX39" i="29"/>
  <c r="AX43" i="29"/>
  <c r="AX47" i="29"/>
  <c r="AX51" i="29"/>
  <c r="AX7" i="29"/>
  <c r="AX24" i="29"/>
  <c r="AX25" i="29"/>
  <c r="AX26" i="29"/>
  <c r="AX40" i="29"/>
  <c r="AX41" i="29"/>
  <c r="AX42" i="29"/>
  <c r="AX57" i="29"/>
  <c r="AX61" i="29"/>
  <c r="AX65" i="29"/>
  <c r="AX69" i="29"/>
  <c r="AX73" i="29"/>
  <c r="AX77" i="29"/>
  <c r="AX81" i="29"/>
  <c r="AX85" i="29"/>
  <c r="AX10" i="29"/>
  <c r="AX20" i="29"/>
  <c r="AX21" i="29"/>
  <c r="AX22" i="29"/>
  <c r="AX36" i="29"/>
  <c r="AX37" i="29"/>
  <c r="AX38" i="29"/>
  <c r="AX52" i="29"/>
  <c r="AX53" i="29"/>
  <c r="AX54" i="29"/>
  <c r="AX58" i="29"/>
  <c r="AX62" i="29"/>
  <c r="AX66" i="29"/>
  <c r="AX70" i="29"/>
  <c r="AX74" i="29"/>
  <c r="AX78" i="29"/>
  <c r="AX82" i="29"/>
  <c r="AX86" i="29"/>
  <c r="AX6" i="29"/>
  <c r="AX18" i="29"/>
  <c r="AX32" i="29"/>
  <c r="AX33" i="29"/>
  <c r="AX34" i="29"/>
  <c r="AX48" i="29"/>
  <c r="AX49" i="29"/>
  <c r="AX50" i="29"/>
  <c r="AX55" i="29"/>
  <c r="AX59" i="29"/>
  <c r="AX63" i="29"/>
  <c r="AX67" i="29"/>
  <c r="AX71" i="29"/>
  <c r="AX75" i="29"/>
  <c r="AX79" i="29"/>
  <c r="AX83" i="29"/>
  <c r="AX87" i="29"/>
  <c r="AX9" i="29"/>
  <c r="AX11" i="29"/>
  <c r="AX17" i="29"/>
  <c r="AX28" i="29"/>
  <c r="AX29" i="29"/>
  <c r="AX30" i="29"/>
  <c r="AX44" i="29"/>
  <c r="AX45" i="29"/>
  <c r="AX46" i="29"/>
  <c r="AX56" i="29"/>
  <c r="AX60" i="29"/>
  <c r="AX64" i="29"/>
  <c r="AX68" i="29"/>
  <c r="AX72" i="29"/>
  <c r="AX76" i="29"/>
  <c r="AX80" i="29"/>
  <c r="AX84" i="29"/>
  <c r="AX89" i="29"/>
  <c r="AX3" i="29"/>
  <c r="AX90" i="29"/>
  <c r="BS5" i="29"/>
  <c r="BS9" i="29"/>
  <c r="BS13" i="29"/>
  <c r="BS17" i="29"/>
  <c r="BS21" i="29"/>
  <c r="BS25" i="29"/>
  <c r="BS29" i="29"/>
  <c r="BS33" i="29"/>
  <c r="BS37" i="29"/>
  <c r="BS41" i="29"/>
  <c r="BS45" i="29"/>
  <c r="BS49" i="29"/>
  <c r="BS53" i="29"/>
  <c r="BS57" i="29"/>
  <c r="BS61" i="29"/>
  <c r="BS65" i="29"/>
  <c r="BS69" i="29"/>
  <c r="BS6" i="29"/>
  <c r="BS10" i="29"/>
  <c r="BS14" i="29"/>
  <c r="BS18" i="29"/>
  <c r="BS22" i="29"/>
  <c r="BS26" i="29"/>
  <c r="BS30" i="29"/>
  <c r="BS34" i="29"/>
  <c r="BS38" i="29"/>
  <c r="BS42" i="29"/>
  <c r="BS46" i="29"/>
  <c r="BS50" i="29"/>
  <c r="BS54" i="29"/>
  <c r="BS58" i="29"/>
  <c r="BS62" i="29"/>
  <c r="BS66" i="29"/>
  <c r="BS70" i="29"/>
  <c r="BS74" i="29"/>
  <c r="BS78" i="29"/>
  <c r="BS7" i="29"/>
  <c r="BS11" i="29"/>
  <c r="BS15" i="29"/>
  <c r="BS19" i="29"/>
  <c r="BS23" i="29"/>
  <c r="BS27" i="29"/>
  <c r="BS31" i="29"/>
  <c r="BS35" i="29"/>
  <c r="BS39" i="29"/>
  <c r="BS43" i="29"/>
  <c r="BS47" i="29"/>
  <c r="BS51" i="29"/>
  <c r="BS55" i="29"/>
  <c r="BS59" i="29"/>
  <c r="BS63" i="29"/>
  <c r="BS67" i="29"/>
  <c r="BS71" i="29"/>
  <c r="BS75" i="29"/>
  <c r="BS79" i="29"/>
  <c r="BS4" i="29"/>
  <c r="BS8" i="29"/>
  <c r="BS12" i="29"/>
  <c r="BS16" i="29"/>
  <c r="BS20" i="29"/>
  <c r="BS24" i="29"/>
  <c r="BS28" i="29"/>
  <c r="BS32" i="29"/>
  <c r="BS36" i="29"/>
  <c r="BS40" i="29"/>
  <c r="BS44" i="29"/>
  <c r="BS48" i="29"/>
  <c r="BS52" i="29"/>
  <c r="BS56" i="29"/>
  <c r="BS72" i="29"/>
  <c r="BS83" i="29"/>
  <c r="BS87" i="29"/>
  <c r="BS60" i="29"/>
  <c r="BS77" i="29"/>
  <c r="BS80" i="29"/>
  <c r="BS84" i="29"/>
  <c r="BS89" i="29"/>
  <c r="DC6" i="29"/>
  <c r="DC4" i="29"/>
  <c r="DC10" i="29"/>
  <c r="DC11" i="29"/>
  <c r="DC9" i="29"/>
  <c r="DC8" i="29"/>
  <c r="DC7" i="29"/>
  <c r="DC5" i="29"/>
  <c r="DC3" i="29"/>
  <c r="CB87" i="29"/>
  <c r="CB83" i="29"/>
  <c r="CB79" i="29"/>
  <c r="CB75" i="29"/>
  <c r="CB71" i="29"/>
  <c r="CB67" i="29"/>
  <c r="CB63" i="29"/>
  <c r="CB59" i="29"/>
  <c r="CB55" i="29"/>
  <c r="CB51" i="29"/>
  <c r="CB47" i="29"/>
  <c r="CB43" i="29"/>
  <c r="CB39" i="29"/>
  <c r="CB35" i="29"/>
  <c r="CB31" i="29"/>
  <c r="CB27" i="29"/>
  <c r="CB23" i="29"/>
  <c r="CB19" i="29"/>
  <c r="CB15" i="29"/>
  <c r="BS64" i="29"/>
  <c r="BS76" i="29"/>
  <c r="BS81" i="29"/>
  <c r="BS85" i="29"/>
  <c r="BS90" i="29"/>
  <c r="DO6" i="29"/>
  <c r="DO4" i="29"/>
  <c r="DO10" i="29"/>
  <c r="DO11" i="29"/>
  <c r="DO9" i="29"/>
  <c r="DO8" i="29"/>
  <c r="DO7" i="29"/>
  <c r="DO5" i="29"/>
  <c r="DO3" i="29"/>
  <c r="CB86" i="29"/>
  <c r="CB82" i="29"/>
  <c r="CB78" i="29"/>
  <c r="CB74" i="29"/>
  <c r="CB70" i="29"/>
  <c r="CB66" i="29"/>
  <c r="CB62" i="29"/>
  <c r="CB58" i="29"/>
  <c r="CB54" i="29"/>
  <c r="CB50" i="29"/>
  <c r="CB46" i="29"/>
  <c r="CB42" i="29"/>
  <c r="CB38" i="29"/>
  <c r="CB34" i="29"/>
  <c r="CB30" i="29"/>
  <c r="CB26" i="29"/>
  <c r="CB22" i="29"/>
  <c r="CB18" i="29"/>
  <c r="CB14" i="29"/>
  <c r="BS68" i="29"/>
  <c r="BS73" i="29"/>
  <c r="BS82" i="29"/>
  <c r="BS86" i="29"/>
  <c r="BS3" i="29"/>
  <c r="CB6" i="29"/>
  <c r="CB4" i="29"/>
  <c r="CB10" i="29"/>
  <c r="CB11" i="29"/>
  <c r="CB9" i="29"/>
  <c r="CB8" i="29"/>
  <c r="CB7" i="29"/>
  <c r="CB5" i="29"/>
  <c r="CB85" i="29"/>
  <c r="CB77" i="29"/>
  <c r="CB69" i="29"/>
  <c r="CB61" i="29"/>
  <c r="CB53" i="29"/>
  <c r="CB45" i="29"/>
  <c r="CB37" i="29"/>
  <c r="CB29" i="29"/>
  <c r="CB21" i="29"/>
  <c r="CB13" i="29"/>
  <c r="DC12" i="29"/>
  <c r="CB84" i="29"/>
  <c r="CB76" i="29"/>
  <c r="CB68" i="29"/>
  <c r="CB60" i="29"/>
  <c r="CB52" i="29"/>
  <c r="CB44" i="29"/>
  <c r="CB36" i="29"/>
  <c r="CB28" i="29"/>
  <c r="CB20" i="29"/>
  <c r="CB12" i="29"/>
  <c r="CB3" i="29"/>
  <c r="CB90" i="29"/>
  <c r="CB81" i="29"/>
  <c r="CB73" i="29"/>
  <c r="CB65" i="29"/>
  <c r="CB57" i="29"/>
  <c r="CB49" i="29"/>
  <c r="CB41" i="29"/>
  <c r="CB33" i="29"/>
  <c r="CB25" i="29"/>
  <c r="CB17" i="29"/>
  <c r="DC43" i="29"/>
  <c r="DO14" i="29"/>
  <c r="DO13" i="29"/>
  <c r="CB89" i="29"/>
  <c r="CB80" i="29"/>
  <c r="CB72" i="29"/>
  <c r="CB64" i="29"/>
  <c r="CB56" i="29"/>
  <c r="CB48" i="29"/>
  <c r="CB40" i="29"/>
  <c r="CB32" i="29"/>
  <c r="CB24" i="29"/>
  <c r="CB16" i="29"/>
  <c r="DO43" i="29"/>
  <c r="DC13" i="29"/>
  <c r="DC14" i="29"/>
  <c r="DO12" i="29"/>
  <c r="AI4" i="29"/>
  <c r="AJ4" i="29" s="1"/>
  <c r="U4" i="29" s="1"/>
  <c r="AI8" i="29"/>
  <c r="AJ8" i="29" s="1"/>
  <c r="U8" i="29" s="1"/>
  <c r="AI12" i="29"/>
  <c r="AJ12" i="29" s="1"/>
  <c r="U12" i="29" s="1"/>
  <c r="AI16" i="29"/>
  <c r="AJ16" i="29" s="1"/>
  <c r="U16" i="29" s="1"/>
  <c r="AI20" i="29"/>
  <c r="AJ20" i="29" s="1"/>
  <c r="U20" i="29" s="1"/>
  <c r="AI24" i="29"/>
  <c r="AJ24" i="29" s="1"/>
  <c r="U24" i="29" s="1"/>
  <c r="AI28" i="29"/>
  <c r="AJ28" i="29" s="1"/>
  <c r="U28" i="29" s="1"/>
  <c r="AI32" i="29"/>
  <c r="AJ32" i="29" s="1"/>
  <c r="U32" i="29" s="1"/>
  <c r="AI36" i="29"/>
  <c r="AJ36" i="29" s="1"/>
  <c r="U36" i="29" s="1"/>
  <c r="AI40" i="29"/>
  <c r="AJ40" i="29" s="1"/>
  <c r="U40" i="29" s="1"/>
  <c r="AI44" i="29"/>
  <c r="AJ44" i="29" s="1"/>
  <c r="U44" i="29" s="1"/>
  <c r="AI48" i="29"/>
  <c r="AJ48" i="29" s="1"/>
  <c r="U48" i="29" s="1"/>
  <c r="AI52" i="29"/>
  <c r="AJ52" i="29" s="1"/>
  <c r="U52" i="29" s="1"/>
  <c r="AI56" i="29"/>
  <c r="AJ56" i="29" s="1"/>
  <c r="U56" i="29" s="1"/>
  <c r="AI60" i="29"/>
  <c r="AJ60" i="29" s="1"/>
  <c r="U60" i="29" s="1"/>
  <c r="AI64" i="29"/>
  <c r="AJ64" i="29" s="1"/>
  <c r="U64" i="29" s="1"/>
  <c r="AI68" i="29"/>
  <c r="AJ68" i="29" s="1"/>
  <c r="U68" i="29" s="1"/>
  <c r="AI72" i="29"/>
  <c r="AJ72" i="29" s="1"/>
  <c r="U72" i="29" s="1"/>
  <c r="AI76" i="29"/>
  <c r="AJ76" i="29" s="1"/>
  <c r="U76" i="29" s="1"/>
  <c r="AI80" i="29"/>
  <c r="AJ80" i="29" s="1"/>
  <c r="U80" i="29" s="1"/>
  <c r="AI84" i="29"/>
  <c r="AJ84" i="29" s="1"/>
  <c r="U84" i="29" s="1"/>
  <c r="AI89" i="29"/>
  <c r="AJ89" i="29" s="1"/>
  <c r="U89" i="29" s="1"/>
  <c r="AK5" i="29"/>
  <c r="AL5" i="29" s="1"/>
  <c r="AK9" i="29"/>
  <c r="AL9" i="29" s="1"/>
  <c r="AK13" i="29"/>
  <c r="AL13" i="29" s="1"/>
  <c r="AK17" i="29"/>
  <c r="AL17" i="29" s="1"/>
  <c r="AK21" i="29"/>
  <c r="AL21" i="29" s="1"/>
  <c r="AK25" i="29"/>
  <c r="AL25" i="29" s="1"/>
  <c r="AK29" i="29"/>
  <c r="AL29" i="29" s="1"/>
  <c r="AK33" i="29"/>
  <c r="AL33" i="29" s="1"/>
  <c r="AK37" i="29"/>
  <c r="AL37" i="29" s="1"/>
  <c r="AK41" i="29"/>
  <c r="AL41" i="29" s="1"/>
  <c r="AK45" i="29"/>
  <c r="AL45" i="29" s="1"/>
  <c r="AK49" i="29"/>
  <c r="AL49" i="29" s="1"/>
  <c r="AK53" i="29"/>
  <c r="AL53" i="29" s="1"/>
  <c r="AK57" i="29"/>
  <c r="AL57" i="29" s="1"/>
  <c r="AK61" i="29"/>
  <c r="AL61" i="29" s="1"/>
  <c r="AK65" i="29"/>
  <c r="AL65" i="29" s="1"/>
  <c r="AK69" i="29"/>
  <c r="AL69" i="29" s="1"/>
  <c r="AK73" i="29"/>
  <c r="AL73" i="29" s="1"/>
  <c r="AK77" i="29"/>
  <c r="AL77" i="29" s="1"/>
  <c r="AK81" i="29"/>
  <c r="AL81" i="29" s="1"/>
  <c r="AK85" i="29"/>
  <c r="AL85" i="29" s="1"/>
  <c r="AK90" i="29"/>
  <c r="AL90" i="29" s="1"/>
  <c r="AI5" i="29"/>
  <c r="AJ5" i="29" s="1"/>
  <c r="U5" i="29" s="1"/>
  <c r="AI9" i="29"/>
  <c r="AJ9" i="29" s="1"/>
  <c r="U9" i="29" s="1"/>
  <c r="AI13" i="29"/>
  <c r="AJ13" i="29" s="1"/>
  <c r="U13" i="29" s="1"/>
  <c r="AI17" i="29"/>
  <c r="AJ17" i="29" s="1"/>
  <c r="U17" i="29" s="1"/>
  <c r="AI21" i="29"/>
  <c r="AJ21" i="29" s="1"/>
  <c r="U21" i="29" s="1"/>
  <c r="AI25" i="29"/>
  <c r="AJ25" i="29" s="1"/>
  <c r="U25" i="29" s="1"/>
  <c r="AI29" i="29"/>
  <c r="AJ29" i="29" s="1"/>
  <c r="U29" i="29" s="1"/>
  <c r="AI33" i="29"/>
  <c r="AJ33" i="29" s="1"/>
  <c r="U33" i="29" s="1"/>
  <c r="AI37" i="29"/>
  <c r="AJ37" i="29" s="1"/>
  <c r="U37" i="29" s="1"/>
  <c r="AI41" i="29"/>
  <c r="AJ41" i="29" s="1"/>
  <c r="U41" i="29" s="1"/>
  <c r="AI45" i="29"/>
  <c r="AJ45" i="29" s="1"/>
  <c r="U45" i="29" s="1"/>
  <c r="AI49" i="29"/>
  <c r="AJ49" i="29" s="1"/>
  <c r="U49" i="29" s="1"/>
  <c r="AI53" i="29"/>
  <c r="AJ53" i="29" s="1"/>
  <c r="U53" i="29" s="1"/>
  <c r="AI57" i="29"/>
  <c r="AJ57" i="29" s="1"/>
  <c r="U57" i="29" s="1"/>
  <c r="AI61" i="29"/>
  <c r="AJ61" i="29" s="1"/>
  <c r="U61" i="29" s="1"/>
  <c r="AI65" i="29"/>
  <c r="AJ65" i="29" s="1"/>
  <c r="U65" i="29" s="1"/>
  <c r="AI69" i="29"/>
  <c r="AJ69" i="29" s="1"/>
  <c r="U69" i="29" s="1"/>
  <c r="AI73" i="29"/>
  <c r="AJ73" i="29" s="1"/>
  <c r="U73" i="29" s="1"/>
  <c r="AI77" i="29"/>
  <c r="AJ77" i="29" s="1"/>
  <c r="U77" i="29" s="1"/>
  <c r="AI81" i="29"/>
  <c r="AJ81" i="29" s="1"/>
  <c r="U81" i="29" s="1"/>
  <c r="AI85" i="29"/>
  <c r="AJ85" i="29" s="1"/>
  <c r="U85" i="29" s="1"/>
  <c r="AI90" i="29"/>
  <c r="AJ90" i="29" s="1"/>
  <c r="U90" i="29" s="1"/>
  <c r="AK6" i="29"/>
  <c r="AL6" i="29" s="1"/>
  <c r="AK10" i="29"/>
  <c r="AL10" i="29" s="1"/>
  <c r="AK14" i="29"/>
  <c r="AL14" i="29" s="1"/>
  <c r="AK18" i="29"/>
  <c r="AL18" i="29" s="1"/>
  <c r="AK22" i="29"/>
  <c r="AL22" i="29" s="1"/>
  <c r="AK26" i="29"/>
  <c r="AL26" i="29" s="1"/>
  <c r="AK30" i="29"/>
  <c r="AL30" i="29" s="1"/>
  <c r="AK34" i="29"/>
  <c r="AL34" i="29" s="1"/>
  <c r="AK38" i="29"/>
  <c r="AL38" i="29" s="1"/>
  <c r="AK42" i="29"/>
  <c r="AL42" i="29" s="1"/>
  <c r="AK46" i="29"/>
  <c r="AL46" i="29" s="1"/>
  <c r="AK50" i="29"/>
  <c r="AL50" i="29" s="1"/>
  <c r="AK54" i="29"/>
  <c r="AL54" i="29" s="1"/>
  <c r="AK58" i="29"/>
  <c r="AL58" i="29" s="1"/>
  <c r="AK62" i="29"/>
  <c r="AL62" i="29" s="1"/>
  <c r="AK66" i="29"/>
  <c r="AL66" i="29" s="1"/>
  <c r="AK70" i="29"/>
  <c r="AL70" i="29" s="1"/>
  <c r="AK74" i="29"/>
  <c r="AL74" i="29" s="1"/>
  <c r="AK78" i="29"/>
  <c r="AL78" i="29" s="1"/>
  <c r="AK82" i="29"/>
  <c r="AL82" i="29" s="1"/>
  <c r="AK86" i="29"/>
  <c r="AL86" i="29" s="1"/>
  <c r="AK3" i="29"/>
  <c r="AO4" i="29"/>
  <c r="AO5" i="29"/>
  <c r="AO6" i="29"/>
  <c r="AO7" i="29"/>
  <c r="AO8" i="29"/>
  <c r="AO9" i="29"/>
  <c r="AO10" i="29"/>
  <c r="AO11" i="29"/>
  <c r="AO12" i="29"/>
  <c r="AO13" i="29"/>
  <c r="AO14" i="29"/>
  <c r="AO15" i="29"/>
  <c r="AI6" i="29"/>
  <c r="AJ6" i="29" s="1"/>
  <c r="U6" i="29" s="1"/>
  <c r="AI10" i="29"/>
  <c r="AJ10" i="29" s="1"/>
  <c r="U10" i="29" s="1"/>
  <c r="AI14" i="29"/>
  <c r="AJ14" i="29" s="1"/>
  <c r="U14" i="29" s="1"/>
  <c r="AI18" i="29"/>
  <c r="AJ18" i="29" s="1"/>
  <c r="U18" i="29" s="1"/>
  <c r="AI22" i="29"/>
  <c r="AJ22" i="29" s="1"/>
  <c r="U22" i="29" s="1"/>
  <c r="AI26" i="29"/>
  <c r="AJ26" i="29" s="1"/>
  <c r="U26" i="29" s="1"/>
  <c r="AI30" i="29"/>
  <c r="AJ30" i="29" s="1"/>
  <c r="U30" i="29" s="1"/>
  <c r="AI34" i="29"/>
  <c r="AJ34" i="29" s="1"/>
  <c r="U34" i="29" s="1"/>
  <c r="AI38" i="29"/>
  <c r="AJ38" i="29" s="1"/>
  <c r="U38" i="29" s="1"/>
  <c r="AI42" i="29"/>
  <c r="AJ42" i="29" s="1"/>
  <c r="U42" i="29" s="1"/>
  <c r="AI46" i="29"/>
  <c r="AJ46" i="29" s="1"/>
  <c r="U46" i="29" s="1"/>
  <c r="AI50" i="29"/>
  <c r="AJ50" i="29" s="1"/>
  <c r="U50" i="29" s="1"/>
  <c r="AI54" i="29"/>
  <c r="AJ54" i="29" s="1"/>
  <c r="U54" i="29" s="1"/>
  <c r="AI58" i="29"/>
  <c r="AJ58" i="29" s="1"/>
  <c r="U58" i="29" s="1"/>
  <c r="AI62" i="29"/>
  <c r="AJ62" i="29" s="1"/>
  <c r="U62" i="29" s="1"/>
  <c r="AI66" i="29"/>
  <c r="AJ66" i="29" s="1"/>
  <c r="U66" i="29" s="1"/>
  <c r="AI70" i="29"/>
  <c r="AJ70" i="29" s="1"/>
  <c r="U70" i="29" s="1"/>
  <c r="AI74" i="29"/>
  <c r="AJ74" i="29" s="1"/>
  <c r="U74" i="29" s="1"/>
  <c r="AI78" i="29"/>
  <c r="AJ78" i="29" s="1"/>
  <c r="U78" i="29" s="1"/>
  <c r="AI82" i="29"/>
  <c r="AJ82" i="29" s="1"/>
  <c r="U82" i="29" s="1"/>
  <c r="AI86" i="29"/>
  <c r="AJ86" i="29" s="1"/>
  <c r="U86" i="29" s="1"/>
  <c r="AI3" i="29"/>
  <c r="AK7" i="29"/>
  <c r="AL7" i="29" s="1"/>
  <c r="AK11" i="29"/>
  <c r="AL11" i="29" s="1"/>
  <c r="AK15" i="29"/>
  <c r="AL15" i="29" s="1"/>
  <c r="AK19" i="29"/>
  <c r="AL19" i="29" s="1"/>
  <c r="AK23" i="29"/>
  <c r="AL23" i="29" s="1"/>
  <c r="AK27" i="29"/>
  <c r="AL27" i="29" s="1"/>
  <c r="AK31" i="29"/>
  <c r="AL31" i="29" s="1"/>
  <c r="AK35" i="29"/>
  <c r="AL35" i="29" s="1"/>
  <c r="AK39" i="29"/>
  <c r="AL39" i="29" s="1"/>
  <c r="AK43" i="29"/>
  <c r="AL43" i="29" s="1"/>
  <c r="AK47" i="29"/>
  <c r="AL47" i="29" s="1"/>
  <c r="AK51" i="29"/>
  <c r="AL51" i="29" s="1"/>
  <c r="AK55" i="29"/>
  <c r="AL55" i="29" s="1"/>
  <c r="AK59" i="29"/>
  <c r="AL59" i="29" s="1"/>
  <c r="AK63" i="29"/>
  <c r="AL63" i="29" s="1"/>
  <c r="AK67" i="29"/>
  <c r="AL67" i="29" s="1"/>
  <c r="AK71" i="29"/>
  <c r="AL71" i="29" s="1"/>
  <c r="AK75" i="29"/>
  <c r="AL75" i="29" s="1"/>
  <c r="AK79" i="29"/>
  <c r="AL79" i="29" s="1"/>
  <c r="AK83" i="29"/>
  <c r="AL83" i="29" s="1"/>
  <c r="AK87" i="29"/>
  <c r="AL87" i="29" s="1"/>
  <c r="AI7" i="29"/>
  <c r="AJ7" i="29" s="1"/>
  <c r="U7" i="29" s="1"/>
  <c r="AI11" i="29"/>
  <c r="AJ11" i="29" s="1"/>
  <c r="U11" i="29" s="1"/>
  <c r="AI15" i="29"/>
  <c r="AJ15" i="29" s="1"/>
  <c r="U15" i="29" s="1"/>
  <c r="AI19" i="29"/>
  <c r="AJ19" i="29" s="1"/>
  <c r="U19" i="29" s="1"/>
  <c r="AI23" i="29"/>
  <c r="AJ23" i="29" s="1"/>
  <c r="U23" i="29" s="1"/>
  <c r="AI27" i="29"/>
  <c r="AJ27" i="29" s="1"/>
  <c r="U27" i="29" s="1"/>
  <c r="AI31" i="29"/>
  <c r="AJ31" i="29" s="1"/>
  <c r="U31" i="29" s="1"/>
  <c r="AI35" i="29"/>
  <c r="AJ35" i="29" s="1"/>
  <c r="U35" i="29" s="1"/>
  <c r="AI39" i="29"/>
  <c r="AJ39" i="29" s="1"/>
  <c r="U39" i="29" s="1"/>
  <c r="AI43" i="29"/>
  <c r="AJ43" i="29" s="1"/>
  <c r="U43" i="29" s="1"/>
  <c r="AI47" i="29"/>
  <c r="AJ47" i="29" s="1"/>
  <c r="U47" i="29" s="1"/>
  <c r="AI51" i="29"/>
  <c r="AJ51" i="29" s="1"/>
  <c r="U51" i="29" s="1"/>
  <c r="AI55" i="29"/>
  <c r="AJ55" i="29" s="1"/>
  <c r="U55" i="29" s="1"/>
  <c r="AI59" i="29"/>
  <c r="AJ59" i="29" s="1"/>
  <c r="U59" i="29" s="1"/>
  <c r="AI63" i="29"/>
  <c r="AJ63" i="29" s="1"/>
  <c r="U63" i="29" s="1"/>
  <c r="AI67" i="29"/>
  <c r="AJ67" i="29" s="1"/>
  <c r="U67" i="29" s="1"/>
  <c r="AI71" i="29"/>
  <c r="AJ71" i="29" s="1"/>
  <c r="U71" i="29" s="1"/>
  <c r="AI75" i="29"/>
  <c r="AJ75" i="29" s="1"/>
  <c r="U75" i="29" s="1"/>
  <c r="AI79" i="29"/>
  <c r="AJ79" i="29" s="1"/>
  <c r="U79" i="29" s="1"/>
  <c r="AI83" i="29"/>
  <c r="AJ83" i="29" s="1"/>
  <c r="U83" i="29" s="1"/>
  <c r="AI87" i="29"/>
  <c r="AJ87" i="29" s="1"/>
  <c r="U87" i="29" s="1"/>
  <c r="AK4" i="29"/>
  <c r="AL4" i="29" s="1"/>
  <c r="V4" i="29" s="1"/>
  <c r="AK8" i="29"/>
  <c r="AL8" i="29" s="1"/>
  <c r="V8" i="29" s="1"/>
  <c r="AK12" i="29"/>
  <c r="AL12" i="29" s="1"/>
  <c r="V12" i="29" s="1"/>
  <c r="AK16" i="29"/>
  <c r="AL16" i="29" s="1"/>
  <c r="AK20" i="29"/>
  <c r="AL20" i="29" s="1"/>
  <c r="V20" i="29" s="1"/>
  <c r="AK24" i="29"/>
  <c r="AL24" i="29" s="1"/>
  <c r="V24" i="29" s="1"/>
  <c r="AK28" i="29"/>
  <c r="AL28" i="29" s="1"/>
  <c r="V28" i="29" s="1"/>
  <c r="AK32" i="29"/>
  <c r="AL32" i="29" s="1"/>
  <c r="V32" i="29" s="1"/>
  <c r="AK36" i="29"/>
  <c r="AL36" i="29" s="1"/>
  <c r="V36" i="29" s="1"/>
  <c r="AK40" i="29"/>
  <c r="AL40" i="29" s="1"/>
  <c r="V40" i="29" s="1"/>
  <c r="AK44" i="29"/>
  <c r="AL44" i="29" s="1"/>
  <c r="V44" i="29" s="1"/>
  <c r="AK48" i="29"/>
  <c r="AL48" i="29" s="1"/>
  <c r="V48" i="29" s="1"/>
  <c r="AK52" i="29"/>
  <c r="AL52" i="29" s="1"/>
  <c r="V52" i="29" s="1"/>
  <c r="AK56" i="29"/>
  <c r="AL56" i="29" s="1"/>
  <c r="V56" i="29" s="1"/>
  <c r="AK60" i="29"/>
  <c r="AL60" i="29" s="1"/>
  <c r="V60" i="29" s="1"/>
  <c r="AK64" i="29"/>
  <c r="AL64" i="29" s="1"/>
  <c r="V64" i="29" s="1"/>
  <c r="AK68" i="29"/>
  <c r="AL68" i="29" s="1"/>
  <c r="V68" i="29" s="1"/>
  <c r="AK72" i="29"/>
  <c r="AL72" i="29" s="1"/>
  <c r="V72" i="29" s="1"/>
  <c r="AK76" i="29"/>
  <c r="AL76" i="29" s="1"/>
  <c r="V76" i="29" s="1"/>
  <c r="AK80" i="29"/>
  <c r="AL80" i="29" s="1"/>
  <c r="V80" i="29" s="1"/>
  <c r="AK84" i="29"/>
  <c r="AL84" i="29" s="1"/>
  <c r="V84" i="29" s="1"/>
  <c r="AK89" i="29"/>
  <c r="AL89" i="29" s="1"/>
  <c r="V89" i="29" s="1"/>
  <c r="AO16" i="29"/>
  <c r="AO20" i="29"/>
  <c r="AO24" i="29"/>
  <c r="AO25" i="29"/>
  <c r="AO26" i="29"/>
  <c r="AO27" i="29"/>
  <c r="AO28" i="29"/>
  <c r="AO29" i="29"/>
  <c r="AO30" i="29"/>
  <c r="AO31" i="29"/>
  <c r="AO32" i="29"/>
  <c r="AO33" i="29"/>
  <c r="AO34" i="29"/>
  <c r="AO35" i="29"/>
  <c r="AO36" i="29"/>
  <c r="AO37" i="29"/>
  <c r="AO19" i="29"/>
  <c r="AO23" i="29"/>
  <c r="AO18" i="29"/>
  <c r="AO22" i="29"/>
  <c r="AT6" i="29"/>
  <c r="AO17" i="29"/>
  <c r="AO21" i="29"/>
  <c r="AO3" i="29"/>
  <c r="AT7" i="29"/>
  <c r="AT11" i="29"/>
  <c r="AT15" i="29"/>
  <c r="AO39" i="29"/>
  <c r="AO41" i="29"/>
  <c r="AO43" i="29"/>
  <c r="AO45" i="29"/>
  <c r="AO47" i="29"/>
  <c r="AO49" i="29"/>
  <c r="AO51" i="29"/>
  <c r="AO53" i="29"/>
  <c r="AO55" i="29"/>
  <c r="AO57" i="29"/>
  <c r="AO59" i="29"/>
  <c r="AO61" i="29"/>
  <c r="AO63" i="29"/>
  <c r="AO65" i="29"/>
  <c r="AO67" i="29"/>
  <c r="AO69" i="29"/>
  <c r="AO71" i="29"/>
  <c r="AO73" i="29"/>
  <c r="AO75" i="29"/>
  <c r="AO77" i="29"/>
  <c r="AO79" i="29"/>
  <c r="AO81" i="29"/>
  <c r="AO83" i="29"/>
  <c r="AO85" i="29"/>
  <c r="AO87" i="29"/>
  <c r="AO90" i="29"/>
  <c r="AT4" i="29"/>
  <c r="AT22" i="29"/>
  <c r="AT26" i="29"/>
  <c r="AT30" i="29"/>
  <c r="AT34" i="29"/>
  <c r="AT38" i="29"/>
  <c r="AT42" i="29"/>
  <c r="AT46" i="29"/>
  <c r="AT50" i="29"/>
  <c r="AT54" i="29"/>
  <c r="AO38" i="29"/>
  <c r="AO40" i="29"/>
  <c r="AO42" i="29"/>
  <c r="AO44" i="29"/>
  <c r="AO46" i="29"/>
  <c r="AO48" i="29"/>
  <c r="AO50" i="29"/>
  <c r="AO52" i="29"/>
  <c r="AO54" i="29"/>
  <c r="AO56" i="29"/>
  <c r="AO58" i="29"/>
  <c r="AO60" i="29"/>
  <c r="AO62" i="29"/>
  <c r="AO64" i="29"/>
  <c r="AO66" i="29"/>
  <c r="AO68" i="29"/>
  <c r="AO70" i="29"/>
  <c r="AO72" i="29"/>
  <c r="AO74" i="29"/>
  <c r="AO76" i="29"/>
  <c r="AO78" i="29"/>
  <c r="AO80" i="29"/>
  <c r="AO82" i="29"/>
  <c r="AO84" i="29"/>
  <c r="AO86" i="29"/>
  <c r="AO89" i="29"/>
  <c r="AT12" i="29"/>
  <c r="AT13" i="29"/>
  <c r="AT14" i="29"/>
  <c r="AT5" i="29"/>
  <c r="AT8" i="29"/>
  <c r="AT10" i="29"/>
  <c r="AT18" i="29"/>
  <c r="AT31" i="29"/>
  <c r="AT32" i="29"/>
  <c r="AT33" i="29"/>
  <c r="AT47" i="29"/>
  <c r="AT48" i="29"/>
  <c r="AT49" i="29"/>
  <c r="AT56" i="29"/>
  <c r="AT60" i="29"/>
  <c r="AT64" i="29"/>
  <c r="AT68" i="29"/>
  <c r="AT72" i="29"/>
  <c r="AT76" i="29"/>
  <c r="AT80" i="29"/>
  <c r="AT84" i="29"/>
  <c r="AT17" i="29"/>
  <c r="AT27" i="29"/>
  <c r="AT28" i="29"/>
  <c r="AT29" i="29"/>
  <c r="AT43" i="29"/>
  <c r="AT44" i="29"/>
  <c r="AT45" i="29"/>
  <c r="AT57" i="29"/>
  <c r="AT61" i="29"/>
  <c r="AT65" i="29"/>
  <c r="AT69" i="29"/>
  <c r="AT73" i="29"/>
  <c r="AT77" i="29"/>
  <c r="AT81" i="29"/>
  <c r="AT85" i="29"/>
  <c r="AT9" i="29"/>
  <c r="AT23" i="29"/>
  <c r="AT24" i="29"/>
  <c r="AT25" i="29"/>
  <c r="AT39" i="29"/>
  <c r="AT40" i="29"/>
  <c r="AT41" i="29"/>
  <c r="AT58" i="29"/>
  <c r="AT62" i="29"/>
  <c r="AT66" i="29"/>
  <c r="AT70" i="29"/>
  <c r="AT74" i="29"/>
  <c r="AT78" i="29"/>
  <c r="AT82" i="29"/>
  <c r="AT86" i="29"/>
  <c r="AT16" i="29"/>
  <c r="AT19" i="29"/>
  <c r="AT20" i="29"/>
  <c r="AT21" i="29"/>
  <c r="AT35" i="29"/>
  <c r="AT36" i="29"/>
  <c r="AT37" i="29"/>
  <c r="AT51" i="29"/>
  <c r="AT52" i="29"/>
  <c r="AT53" i="29"/>
  <c r="AT55" i="29"/>
  <c r="AT59" i="29"/>
  <c r="AT63" i="29"/>
  <c r="AT67" i="29"/>
  <c r="AT71" i="29"/>
  <c r="AT75" i="29"/>
  <c r="AT79" i="29"/>
  <c r="AT83" i="29"/>
  <c r="AT87" i="29"/>
  <c r="AT90" i="29"/>
  <c r="AT89" i="29"/>
  <c r="BA3" i="29"/>
  <c r="AT3" i="29"/>
  <c r="BA4" i="29"/>
  <c r="BA5" i="29"/>
  <c r="BA6" i="29"/>
  <c r="BA7" i="29"/>
  <c r="BA8" i="29"/>
  <c r="BA9" i="29"/>
  <c r="BA10" i="29"/>
  <c r="BA11" i="29"/>
  <c r="BA12" i="29"/>
  <c r="BA13" i="29"/>
  <c r="BA14" i="29"/>
  <c r="BA15" i="29"/>
  <c r="BA16" i="29"/>
  <c r="BA45" i="29"/>
  <c r="BA49" i="29"/>
  <c r="BA53" i="29"/>
  <c r="BA57" i="29"/>
  <c r="BA61" i="29"/>
  <c r="BA65" i="29"/>
  <c r="BA69" i="29"/>
  <c r="BA73" i="29"/>
  <c r="BA77" i="29"/>
  <c r="BA81" i="29"/>
  <c r="BA85" i="29"/>
  <c r="BA90" i="29"/>
  <c r="BH72" i="29"/>
  <c r="BH75" i="29"/>
  <c r="BH78" i="29"/>
  <c r="BH81" i="29"/>
  <c r="BH84" i="29"/>
  <c r="BH87" i="29"/>
  <c r="BA18" i="29"/>
  <c r="BA20" i="29"/>
  <c r="BA22" i="29"/>
  <c r="BA24" i="29"/>
  <c r="BA26" i="29"/>
  <c r="BA28" i="29"/>
  <c r="BA30" i="29"/>
  <c r="BA32" i="29"/>
  <c r="BA34" i="29"/>
  <c r="BA36" i="29"/>
  <c r="BA38" i="29"/>
  <c r="BA40" i="29"/>
  <c r="BA42" i="29"/>
  <c r="BA44" i="29"/>
  <c r="BA48" i="29"/>
  <c r="BA52" i="29"/>
  <c r="BA56" i="29"/>
  <c r="BA60" i="29"/>
  <c r="BA64" i="29"/>
  <c r="BA68" i="29"/>
  <c r="BA72" i="29"/>
  <c r="BA76" i="29"/>
  <c r="BA80" i="29"/>
  <c r="BA84" i="29"/>
  <c r="BA89" i="29"/>
  <c r="BH3" i="29"/>
  <c r="BH11" i="29"/>
  <c r="BH13" i="29"/>
  <c r="BH15" i="29"/>
  <c r="BH17" i="29"/>
  <c r="BH19" i="29"/>
  <c r="BH21" i="29"/>
  <c r="BH23" i="29"/>
  <c r="BH24" i="29"/>
  <c r="BH26" i="29"/>
  <c r="BH28" i="29"/>
  <c r="BH30" i="29"/>
  <c r="BH32" i="29"/>
  <c r="BH34" i="29"/>
  <c r="BH36" i="29"/>
  <c r="BH38" i="29"/>
  <c r="BH40" i="29"/>
  <c r="BH42" i="29"/>
  <c r="BH44" i="29"/>
  <c r="BH46" i="29"/>
  <c r="BH48" i="29"/>
  <c r="BH50" i="29"/>
  <c r="BH52" i="29"/>
  <c r="BH54" i="29"/>
  <c r="BH56" i="29"/>
  <c r="BH58" i="29"/>
  <c r="BH60" i="29"/>
  <c r="BH62" i="29"/>
  <c r="BH64" i="29"/>
  <c r="BH66" i="29"/>
  <c r="BH68" i="29"/>
  <c r="BH70" i="29"/>
  <c r="BH73" i="29"/>
  <c r="BH76" i="29"/>
  <c r="BH79" i="29"/>
  <c r="BH82" i="29"/>
  <c r="BH85" i="29"/>
  <c r="BH89" i="29"/>
  <c r="BA47" i="29"/>
  <c r="BA51" i="29"/>
  <c r="BA55" i="29"/>
  <c r="BA59" i="29"/>
  <c r="BA63" i="29"/>
  <c r="BA67" i="29"/>
  <c r="BA71" i="29"/>
  <c r="BA75" i="29"/>
  <c r="BA79" i="29"/>
  <c r="BA83" i="29"/>
  <c r="BA87" i="29"/>
  <c r="BH4" i="29"/>
  <c r="BH5" i="29"/>
  <c r="BH6" i="29"/>
  <c r="BH7" i="29"/>
  <c r="BH8" i="29"/>
  <c r="BH9" i="29"/>
  <c r="BH10" i="29"/>
  <c r="BH12" i="29"/>
  <c r="BH14" i="29"/>
  <c r="BH16" i="29"/>
  <c r="BH18" i="29"/>
  <c r="BH20" i="29"/>
  <c r="BH22" i="29"/>
  <c r="BH25" i="29"/>
  <c r="BH27" i="29"/>
  <c r="BH29" i="29"/>
  <c r="BH31" i="29"/>
  <c r="BH33" i="29"/>
  <c r="BH35" i="29"/>
  <c r="BH37" i="29"/>
  <c r="BH39" i="29"/>
  <c r="BH41" i="29"/>
  <c r="BH43" i="29"/>
  <c r="BH45" i="29"/>
  <c r="BH47" i="29"/>
  <c r="BH49" i="29"/>
  <c r="BH51" i="29"/>
  <c r="BH53" i="29"/>
  <c r="BH55" i="29"/>
  <c r="BH57" i="29"/>
  <c r="BH59" i="29"/>
  <c r="BH61" i="29"/>
  <c r="BH63" i="29"/>
  <c r="BH65" i="29"/>
  <c r="BH67" i="29"/>
  <c r="BH69" i="29"/>
  <c r="BH71" i="29"/>
  <c r="BH74" i="29"/>
  <c r="BH77" i="29"/>
  <c r="BH80" i="29"/>
  <c r="BH83" i="29"/>
  <c r="BH86" i="29"/>
  <c r="BH90" i="29"/>
  <c r="BA17" i="29"/>
  <c r="BA19" i="29"/>
  <c r="BA21" i="29"/>
  <c r="BA23" i="29"/>
  <c r="BA25" i="29"/>
  <c r="BA27" i="29"/>
  <c r="BA29" i="29"/>
  <c r="BA31" i="29"/>
  <c r="BA33" i="29"/>
  <c r="BA35" i="29"/>
  <c r="BA37" i="29"/>
  <c r="BA39" i="29"/>
  <c r="BA41" i="29"/>
  <c r="BA43" i="29"/>
  <c r="BA46" i="29"/>
  <c r="BA50" i="29"/>
  <c r="BA54" i="29"/>
  <c r="BA58" i="29"/>
  <c r="BA62" i="29"/>
  <c r="BA66" i="29"/>
  <c r="BA70" i="29"/>
  <c r="BA74" i="29"/>
  <c r="BA78" i="29"/>
  <c r="BA82" i="29"/>
  <c r="BA86" i="29"/>
  <c r="BO5" i="29"/>
  <c r="BO9" i="29"/>
  <c r="BO13" i="29"/>
  <c r="BO17" i="29"/>
  <c r="BO21" i="29"/>
  <c r="BO25" i="29"/>
  <c r="BO29" i="29"/>
  <c r="BO33" i="29"/>
  <c r="BO37" i="29"/>
  <c r="BO41" i="29"/>
  <c r="BO45" i="29"/>
  <c r="BO49" i="29"/>
  <c r="BO53" i="29"/>
  <c r="BO57" i="29"/>
  <c r="BO61" i="29"/>
  <c r="BO65" i="29"/>
  <c r="BO69" i="29"/>
  <c r="BO6" i="29"/>
  <c r="BO10" i="29"/>
  <c r="BO14" i="29"/>
  <c r="BO18" i="29"/>
  <c r="BO22" i="29"/>
  <c r="BO26" i="29"/>
  <c r="BO30" i="29"/>
  <c r="BO34" i="29"/>
  <c r="BO38" i="29"/>
  <c r="BO42" i="29"/>
  <c r="BO46" i="29"/>
  <c r="BO50" i="29"/>
  <c r="BO54" i="29"/>
  <c r="BO58" i="29"/>
  <c r="BO62" i="29"/>
  <c r="BO66" i="29"/>
  <c r="BO70" i="29"/>
  <c r="BO74" i="29"/>
  <c r="BO78" i="29"/>
  <c r="BO7" i="29"/>
  <c r="BO11" i="29"/>
  <c r="BO15" i="29"/>
  <c r="BO19" i="29"/>
  <c r="BO23" i="29"/>
  <c r="BO27" i="29"/>
  <c r="BO31" i="29"/>
  <c r="BO35" i="29"/>
  <c r="BO39" i="29"/>
  <c r="BO43" i="29"/>
  <c r="BO47" i="29"/>
  <c r="BO51" i="29"/>
  <c r="BO55" i="29"/>
  <c r="BO59" i="29"/>
  <c r="BO63" i="29"/>
  <c r="BO67" i="29"/>
  <c r="BO71" i="29"/>
  <c r="BO75" i="29"/>
  <c r="BO79" i="29"/>
  <c r="BO4" i="29"/>
  <c r="BO8" i="29"/>
  <c r="BO12" i="29"/>
  <c r="BO16" i="29"/>
  <c r="BO20" i="29"/>
  <c r="BO24" i="29"/>
  <c r="BO28" i="29"/>
  <c r="BO32" i="29"/>
  <c r="BO36" i="29"/>
  <c r="BO40" i="29"/>
  <c r="BO44" i="29"/>
  <c r="BO48" i="29"/>
  <c r="BO52" i="29"/>
  <c r="BO56" i="29"/>
  <c r="BO60" i="29"/>
  <c r="BO76" i="29"/>
  <c r="BO83" i="29"/>
  <c r="BO87" i="29"/>
  <c r="BO64" i="29"/>
  <c r="BO73" i="29"/>
  <c r="BO84" i="29"/>
  <c r="BO89" i="29"/>
  <c r="CQ6" i="29"/>
  <c r="CW6" i="29"/>
  <c r="CQ4" i="29"/>
  <c r="CW4" i="29"/>
  <c r="CQ10" i="29"/>
  <c r="CW10" i="29"/>
  <c r="CQ11" i="29"/>
  <c r="CW11" i="29"/>
  <c r="CQ9" i="29"/>
  <c r="CW9" i="29"/>
  <c r="CQ8" i="29"/>
  <c r="CW8" i="29"/>
  <c r="CQ7" i="29"/>
  <c r="CW7" i="29"/>
  <c r="CQ5" i="29"/>
  <c r="CW5" i="29"/>
  <c r="CQ3" i="29"/>
  <c r="CW3" i="29"/>
  <c r="BO68" i="29"/>
  <c r="BO80" i="29"/>
  <c r="BO81" i="29"/>
  <c r="BO85" i="29"/>
  <c r="BO90" i="29"/>
  <c r="CG6" i="29"/>
  <c r="DI6" i="29"/>
  <c r="CG4" i="29"/>
  <c r="DI4" i="29"/>
  <c r="CG10" i="29"/>
  <c r="DI10" i="29"/>
  <c r="CG11" i="29"/>
  <c r="DI11" i="29"/>
  <c r="CG9" i="29"/>
  <c r="DI9" i="29"/>
  <c r="CG8" i="29"/>
  <c r="DI8" i="29"/>
  <c r="CG7" i="29"/>
  <c r="DI7" i="29"/>
  <c r="CG5" i="29"/>
  <c r="DI5" i="29"/>
  <c r="CG3" i="29"/>
  <c r="DI3" i="29"/>
  <c r="BO72" i="29"/>
  <c r="BO77" i="29"/>
  <c r="BO82" i="29"/>
  <c r="BO86" i="29"/>
  <c r="BO3" i="29"/>
  <c r="BU6" i="29"/>
  <c r="BU4" i="29"/>
  <c r="BU10" i="29"/>
  <c r="BU11" i="29"/>
  <c r="BU9" i="29"/>
  <c r="BU8" i="29"/>
  <c r="BU7" i="29"/>
  <c r="BU5" i="29"/>
  <c r="BU89" i="29"/>
  <c r="BU84" i="29"/>
  <c r="BU80" i="29"/>
  <c r="BU76" i="29"/>
  <c r="BU72" i="29"/>
  <c r="BU68" i="29"/>
  <c r="BU64" i="29"/>
  <c r="BU60" i="29"/>
  <c r="BU56" i="29"/>
  <c r="BU52" i="29"/>
  <c r="BU48" i="29"/>
  <c r="BU44" i="29"/>
  <c r="BU40" i="29"/>
  <c r="BU36" i="29"/>
  <c r="BU32" i="29"/>
  <c r="BU28" i="29"/>
  <c r="BU24" i="29"/>
  <c r="BU12" i="29"/>
  <c r="CQ12" i="29"/>
  <c r="BU43" i="29"/>
  <c r="BU3" i="29"/>
  <c r="BU87" i="29"/>
  <c r="BU83" i="29"/>
  <c r="BU79" i="29"/>
  <c r="BU75" i="29"/>
  <c r="BU71" i="29"/>
  <c r="BU67" i="29"/>
  <c r="BU63" i="29"/>
  <c r="BU59" i="29"/>
  <c r="BU55" i="29"/>
  <c r="BU51" i="29"/>
  <c r="BU86" i="29"/>
  <c r="BU82" i="29"/>
  <c r="BU78" i="29"/>
  <c r="BU74" i="29"/>
  <c r="BU70" i="29"/>
  <c r="BU66" i="29"/>
  <c r="BU62" i="29"/>
  <c r="BU58" i="29"/>
  <c r="BU54" i="29"/>
  <c r="BU50" i="29"/>
  <c r="BU46" i="29"/>
  <c r="BU42" i="29"/>
  <c r="BU38" i="29"/>
  <c r="BU34" i="29"/>
  <c r="BU30" i="29"/>
  <c r="BU26" i="29"/>
  <c r="BU22" i="29"/>
  <c r="BU18" i="29"/>
  <c r="BU14" i="29"/>
  <c r="CQ43" i="29"/>
  <c r="CW43" i="29"/>
  <c r="DI14" i="29"/>
  <c r="DI13" i="29"/>
  <c r="CG12" i="29"/>
  <c r="BU20" i="29"/>
  <c r="CG43" i="29"/>
  <c r="BU39" i="29"/>
  <c r="BU90" i="29"/>
  <c r="BU85" i="29"/>
  <c r="BU81" i="29"/>
  <c r="BU77" i="29"/>
  <c r="BU73" i="29"/>
  <c r="BU69" i="29"/>
  <c r="BU65" i="29"/>
  <c r="BU61" i="29"/>
  <c r="BU57" i="29"/>
  <c r="BU53" i="29"/>
  <c r="BU49" i="29"/>
  <c r="BU45" i="29"/>
  <c r="BU41" i="29"/>
  <c r="BU37" i="29"/>
  <c r="BU33" i="29"/>
  <c r="BU29" i="29"/>
  <c r="BU25" i="29"/>
  <c r="BU21" i="29"/>
  <c r="BU17" i="29"/>
  <c r="BU13" i="29"/>
  <c r="DI43" i="29"/>
  <c r="CG14" i="29"/>
  <c r="CG13" i="29"/>
  <c r="BU16" i="29"/>
  <c r="CW12" i="29"/>
  <c r="BU47" i="29"/>
  <c r="BU27" i="29"/>
  <c r="CW13" i="29"/>
  <c r="BU31" i="29"/>
  <c r="BU23" i="29"/>
  <c r="CQ14" i="29"/>
  <c r="CW14" i="29"/>
  <c r="BU15" i="29"/>
  <c r="CQ13" i="29"/>
  <c r="BU35" i="29"/>
  <c r="BU19" i="29"/>
  <c r="DI12" i="29"/>
  <c r="CG17" i="29"/>
  <c r="CG21" i="29"/>
  <c r="CG25" i="29"/>
  <c r="CG29" i="29"/>
  <c r="CG33" i="29"/>
  <c r="CG37" i="29"/>
  <c r="CG41" i="29"/>
  <c r="CG46" i="29"/>
  <c r="CG50" i="29"/>
  <c r="CG54" i="29"/>
  <c r="CG58" i="29"/>
  <c r="CG62" i="29"/>
  <c r="CG66" i="29"/>
  <c r="CG70" i="29"/>
  <c r="CG74" i="29"/>
  <c r="CG78" i="29"/>
  <c r="CG82" i="29"/>
  <c r="CG86" i="29"/>
  <c r="CG87" i="29"/>
  <c r="CG18" i="29"/>
  <c r="CG22" i="29"/>
  <c r="CG26" i="29"/>
  <c r="CG30" i="29"/>
  <c r="CG34" i="29"/>
  <c r="CG38" i="29"/>
  <c r="CG42" i="29"/>
  <c r="CG47" i="29"/>
  <c r="CG51" i="29"/>
  <c r="CG55" i="29"/>
  <c r="CG59" i="29"/>
  <c r="CG63" i="29"/>
  <c r="CG67" i="29"/>
  <c r="CG71" i="29"/>
  <c r="CG75" i="29"/>
  <c r="CG79" i="29"/>
  <c r="CG83" i="29"/>
  <c r="CG85" i="29"/>
  <c r="CG15" i="29"/>
  <c r="CG19" i="29"/>
  <c r="CG23" i="29"/>
  <c r="CG27" i="29"/>
  <c r="CG31" i="29"/>
  <c r="CG35" i="29"/>
  <c r="CG39" i="29"/>
  <c r="CG44" i="29"/>
  <c r="CG48" i="29"/>
  <c r="CG52" i="29"/>
  <c r="CG56" i="29"/>
  <c r="CG60" i="29"/>
  <c r="CG64" i="29"/>
  <c r="CG68" i="29"/>
  <c r="CG72" i="29"/>
  <c r="CG76" i="29"/>
  <c r="CG80" i="29"/>
  <c r="CG84" i="29"/>
  <c r="CG89" i="29"/>
  <c r="CG69" i="29"/>
  <c r="CG77" i="29"/>
  <c r="CG90" i="29"/>
  <c r="CG16" i="29"/>
  <c r="CG20" i="29"/>
  <c r="CG24" i="29"/>
  <c r="CG28" i="29"/>
  <c r="CG32" i="29"/>
  <c r="CG36" i="29"/>
  <c r="CG40" i="29"/>
  <c r="CG45" i="29"/>
  <c r="CG49" i="29"/>
  <c r="CG53" i="29"/>
  <c r="CG57" i="29"/>
  <c r="CG61" i="29"/>
  <c r="CG65" i="29"/>
  <c r="CG73" i="29"/>
  <c r="CG81" i="29"/>
  <c r="AM6" i="29"/>
  <c r="AN6" i="29" s="1"/>
  <c r="AM10" i="29"/>
  <c r="AN10" i="29" s="1"/>
  <c r="AM14" i="29"/>
  <c r="AN14" i="29" s="1"/>
  <c r="AM18" i="29"/>
  <c r="AN18" i="29" s="1"/>
  <c r="AM22" i="29"/>
  <c r="AN22" i="29" s="1"/>
  <c r="AM26" i="29"/>
  <c r="AN26" i="29" s="1"/>
  <c r="AM30" i="29"/>
  <c r="AN30" i="29" s="1"/>
  <c r="AM34" i="29"/>
  <c r="AN34" i="29" s="1"/>
  <c r="AM38" i="29"/>
  <c r="AN38" i="29" s="1"/>
  <c r="AM42" i="29"/>
  <c r="AN42" i="29" s="1"/>
  <c r="AM46" i="29"/>
  <c r="AN46" i="29" s="1"/>
  <c r="AM50" i="29"/>
  <c r="AN50" i="29" s="1"/>
  <c r="AM54" i="29"/>
  <c r="AN54" i="29" s="1"/>
  <c r="AM58" i="29"/>
  <c r="AN58" i="29" s="1"/>
  <c r="AM62" i="29"/>
  <c r="AN62" i="29" s="1"/>
  <c r="AM66" i="29"/>
  <c r="AN66" i="29" s="1"/>
  <c r="AM70" i="29"/>
  <c r="AN70" i="29" s="1"/>
  <c r="AM74" i="29"/>
  <c r="AN74" i="29" s="1"/>
  <c r="AM78" i="29"/>
  <c r="AN78" i="29" s="1"/>
  <c r="AM82" i="29"/>
  <c r="AN82" i="29" s="1"/>
  <c r="AM7" i="29"/>
  <c r="AN7" i="29" s="1"/>
  <c r="AM11" i="29"/>
  <c r="AN11" i="29" s="1"/>
  <c r="AM15" i="29"/>
  <c r="AN15" i="29" s="1"/>
  <c r="AM19" i="29"/>
  <c r="AN19" i="29" s="1"/>
  <c r="AM23" i="29"/>
  <c r="AN23" i="29" s="1"/>
  <c r="AM27" i="29"/>
  <c r="AN27" i="29" s="1"/>
  <c r="AM31" i="29"/>
  <c r="AN31" i="29" s="1"/>
  <c r="AM35" i="29"/>
  <c r="AN35" i="29" s="1"/>
  <c r="AM39" i="29"/>
  <c r="AN39" i="29" s="1"/>
  <c r="AM43" i="29"/>
  <c r="AN43" i="29" s="1"/>
  <c r="AM47" i="29"/>
  <c r="AN47" i="29" s="1"/>
  <c r="AM51" i="29"/>
  <c r="AN51" i="29" s="1"/>
  <c r="AM55" i="29"/>
  <c r="AN55" i="29" s="1"/>
  <c r="AM59" i="29"/>
  <c r="AN59" i="29" s="1"/>
  <c r="AM63" i="29"/>
  <c r="AN63" i="29" s="1"/>
  <c r="AM67" i="29"/>
  <c r="AN67" i="29" s="1"/>
  <c r="AM71" i="29"/>
  <c r="AN71" i="29" s="1"/>
  <c r="AM75" i="29"/>
  <c r="AN75" i="29" s="1"/>
  <c r="AM79" i="29"/>
  <c r="AN79" i="29" s="1"/>
  <c r="AM83" i="29"/>
  <c r="AN83" i="29" s="1"/>
  <c r="AM87" i="29"/>
  <c r="AN87" i="29" s="1"/>
  <c r="AM4" i="29"/>
  <c r="AN4" i="29" s="1"/>
  <c r="AM8" i="29"/>
  <c r="AN8" i="29" s="1"/>
  <c r="AM12" i="29"/>
  <c r="AN12" i="29" s="1"/>
  <c r="AM16" i="29"/>
  <c r="AN16" i="29" s="1"/>
  <c r="AM20" i="29"/>
  <c r="AN20" i="29" s="1"/>
  <c r="AM24" i="29"/>
  <c r="AN24" i="29" s="1"/>
  <c r="AM28" i="29"/>
  <c r="AN28" i="29" s="1"/>
  <c r="AM32" i="29"/>
  <c r="AN32" i="29" s="1"/>
  <c r="AM36" i="29"/>
  <c r="AN36" i="29" s="1"/>
  <c r="AM40" i="29"/>
  <c r="AN40" i="29" s="1"/>
  <c r="AM44" i="29"/>
  <c r="AN44" i="29" s="1"/>
  <c r="AM48" i="29"/>
  <c r="AN48" i="29" s="1"/>
  <c r="AM52" i="29"/>
  <c r="AN52" i="29" s="1"/>
  <c r="AM56" i="29"/>
  <c r="AN56" i="29" s="1"/>
  <c r="AM60" i="29"/>
  <c r="AN60" i="29" s="1"/>
  <c r="AM64" i="29"/>
  <c r="AN64" i="29" s="1"/>
  <c r="AM5" i="29"/>
  <c r="AN5" i="29" s="1"/>
  <c r="AM9" i="29"/>
  <c r="AN9" i="29" s="1"/>
  <c r="AM13" i="29"/>
  <c r="AN13" i="29" s="1"/>
  <c r="AM17" i="29"/>
  <c r="AN17" i="29" s="1"/>
  <c r="AM21" i="29"/>
  <c r="AN21" i="29" s="1"/>
  <c r="AM25" i="29"/>
  <c r="AN25" i="29" s="1"/>
  <c r="AM29" i="29"/>
  <c r="AN29" i="29" s="1"/>
  <c r="AM33" i="29"/>
  <c r="AN33" i="29" s="1"/>
  <c r="AM37" i="29"/>
  <c r="AN37" i="29" s="1"/>
  <c r="AM41" i="29"/>
  <c r="AN41" i="29" s="1"/>
  <c r="AM45" i="29"/>
  <c r="AN45" i="29" s="1"/>
  <c r="AM49" i="29"/>
  <c r="AN49" i="29" s="1"/>
  <c r="AM53" i="29"/>
  <c r="AN53" i="29" s="1"/>
  <c r="AM57" i="29"/>
  <c r="AN57" i="29" s="1"/>
  <c r="AM61" i="29"/>
  <c r="AN61" i="29" s="1"/>
  <c r="AM65" i="29"/>
  <c r="AN65" i="29" s="1"/>
  <c r="AM69" i="29"/>
  <c r="AN69" i="29" s="1"/>
  <c r="AM73" i="29"/>
  <c r="AN73" i="29" s="1"/>
  <c r="AM77" i="29"/>
  <c r="AN77" i="29" s="1"/>
  <c r="AM81" i="29"/>
  <c r="AN81" i="29" s="1"/>
  <c r="AM85" i="29"/>
  <c r="AN85" i="29" s="1"/>
  <c r="AM90" i="29"/>
  <c r="AN90" i="29" s="1"/>
  <c r="AM68" i="29"/>
  <c r="AN68" i="29" s="1"/>
  <c r="AM84" i="29"/>
  <c r="AN84" i="29" s="1"/>
  <c r="AP4" i="29"/>
  <c r="AP6" i="29"/>
  <c r="AP8" i="29"/>
  <c r="AP10" i="29"/>
  <c r="AP12" i="29"/>
  <c r="AP14" i="29"/>
  <c r="AP17" i="29"/>
  <c r="AP21" i="29"/>
  <c r="AM72" i="29"/>
  <c r="AN72" i="29" s="1"/>
  <c r="AM86" i="29"/>
  <c r="AN86" i="29" s="1"/>
  <c r="AP16" i="29"/>
  <c r="AP20" i="29"/>
  <c r="AP24" i="29"/>
  <c r="AP25" i="29"/>
  <c r="AP26" i="29"/>
  <c r="AP27" i="29"/>
  <c r="AP28" i="29"/>
  <c r="AP29" i="29"/>
  <c r="AP30" i="29"/>
  <c r="AP31" i="29"/>
  <c r="AP32" i="29"/>
  <c r="AP33" i="29"/>
  <c r="AP34" i="29"/>
  <c r="AM76" i="29"/>
  <c r="AN76" i="29" s="1"/>
  <c r="AM89" i="29"/>
  <c r="AN89" i="29" s="1"/>
  <c r="AP5" i="29"/>
  <c r="AP7" i="29"/>
  <c r="AP9" i="29"/>
  <c r="AP11" i="29"/>
  <c r="AP13" i="29"/>
  <c r="AP15" i="29"/>
  <c r="AP19" i="29"/>
  <c r="AP23" i="29"/>
  <c r="AP3" i="29"/>
  <c r="AU5" i="29"/>
  <c r="AM80" i="29"/>
  <c r="AN80" i="29" s="1"/>
  <c r="AM3" i="29"/>
  <c r="AP18" i="29"/>
  <c r="AP22" i="29"/>
  <c r="AU6" i="29"/>
  <c r="AU10" i="29"/>
  <c r="AU14" i="29"/>
  <c r="AU18" i="29"/>
  <c r="AP35" i="29"/>
  <c r="AP38" i="29"/>
  <c r="AP40" i="29"/>
  <c r="AP42" i="29"/>
  <c r="AP44" i="29"/>
  <c r="AP46" i="29"/>
  <c r="AP48" i="29"/>
  <c r="AP50" i="29"/>
  <c r="AP52" i="29"/>
  <c r="AP54" i="29"/>
  <c r="AP56" i="29"/>
  <c r="AP58" i="29"/>
  <c r="AP60" i="29"/>
  <c r="AP62" i="29"/>
  <c r="AP64" i="29"/>
  <c r="AP66" i="29"/>
  <c r="AP68" i="29"/>
  <c r="AP70" i="29"/>
  <c r="AP72" i="29"/>
  <c r="AP74" i="29"/>
  <c r="AP76" i="29"/>
  <c r="AP78" i="29"/>
  <c r="AP80" i="29"/>
  <c r="AP36" i="29"/>
  <c r="AU7" i="29"/>
  <c r="AU8" i="29"/>
  <c r="AU9" i="29"/>
  <c r="AU21" i="29"/>
  <c r="AU25" i="29"/>
  <c r="AU29" i="29"/>
  <c r="AU33" i="29"/>
  <c r="AU37" i="29"/>
  <c r="AU41" i="29"/>
  <c r="AU45" i="29"/>
  <c r="AU49" i="29"/>
  <c r="AU53" i="29"/>
  <c r="AP37" i="29"/>
  <c r="AP39" i="29"/>
  <c r="AP41" i="29"/>
  <c r="AP43" i="29"/>
  <c r="AP45" i="29"/>
  <c r="AP47" i="29"/>
  <c r="AP49" i="29"/>
  <c r="AP51" i="29"/>
  <c r="AP53" i="29"/>
  <c r="AP55" i="29"/>
  <c r="AP57" i="29"/>
  <c r="AP59" i="29"/>
  <c r="AP61" i="29"/>
  <c r="AP63" i="29"/>
  <c r="AP65" i="29"/>
  <c r="AP67" i="29"/>
  <c r="AP69" i="29"/>
  <c r="AU15" i="29"/>
  <c r="AU16" i="29"/>
  <c r="AP71" i="29"/>
  <c r="AP79" i="29"/>
  <c r="AP84" i="29"/>
  <c r="AP89" i="29"/>
  <c r="AU12" i="29"/>
  <c r="AU19" i="29"/>
  <c r="AU20" i="29"/>
  <c r="AU34" i="29"/>
  <c r="AU35" i="29"/>
  <c r="AU36" i="29"/>
  <c r="AU50" i="29"/>
  <c r="AU51" i="29"/>
  <c r="AU52" i="29"/>
  <c r="AU55" i="29"/>
  <c r="AU59" i="29"/>
  <c r="AU63" i="29"/>
  <c r="AU67" i="29"/>
  <c r="AU71" i="29"/>
  <c r="AU75" i="29"/>
  <c r="AU79" i="29"/>
  <c r="AU83" i="29"/>
  <c r="AP73" i="29"/>
  <c r="AP81" i="29"/>
  <c r="AP85" i="29"/>
  <c r="AP90" i="29"/>
  <c r="AU30" i="29"/>
  <c r="AU31" i="29"/>
  <c r="AU32" i="29"/>
  <c r="AU46" i="29"/>
  <c r="AU47" i="29"/>
  <c r="AU48" i="29"/>
  <c r="AU56" i="29"/>
  <c r="AU60" i="29"/>
  <c r="AU64" i="29"/>
  <c r="AU68" i="29"/>
  <c r="AU72" i="29"/>
  <c r="AU76" i="29"/>
  <c r="AU80" i="29"/>
  <c r="AU84" i="29"/>
  <c r="AP75" i="29"/>
  <c r="AP82" i="29"/>
  <c r="AP86" i="29"/>
  <c r="AU11" i="29"/>
  <c r="AU13" i="29"/>
  <c r="AU17" i="29"/>
  <c r="AU26" i="29"/>
  <c r="AU27" i="29"/>
  <c r="AU28" i="29"/>
  <c r="AU42" i="29"/>
  <c r="AU43" i="29"/>
  <c r="AU44" i="29"/>
  <c r="AU57" i="29"/>
  <c r="AU61" i="29"/>
  <c r="AU65" i="29"/>
  <c r="AU69" i="29"/>
  <c r="AU73" i="29"/>
  <c r="AU77" i="29"/>
  <c r="AU81" i="29"/>
  <c r="AU85" i="29"/>
  <c r="AU90" i="29"/>
  <c r="AP77" i="29"/>
  <c r="AP83" i="29"/>
  <c r="AP87" i="29"/>
  <c r="AU4" i="29"/>
  <c r="AU22" i="29"/>
  <c r="AU23" i="29"/>
  <c r="AU24" i="29"/>
  <c r="AU38" i="29"/>
  <c r="AU39" i="29"/>
  <c r="AU40" i="29"/>
  <c r="AU54" i="29"/>
  <c r="AU58" i="29"/>
  <c r="AU62" i="29"/>
  <c r="AU66" i="29"/>
  <c r="AU70" i="29"/>
  <c r="AU74" i="29"/>
  <c r="AU78" i="29"/>
  <c r="AU82" i="29"/>
  <c r="AU86" i="29"/>
  <c r="AU87" i="29"/>
  <c r="AU3" i="29"/>
  <c r="AU89" i="29"/>
  <c r="BB4" i="29"/>
  <c r="BB5" i="29"/>
  <c r="BB6" i="29"/>
  <c r="BB10" i="29"/>
  <c r="BB14" i="29"/>
  <c r="BB17" i="29"/>
  <c r="BB19" i="29"/>
  <c r="BB21" i="29"/>
  <c r="BB23" i="29"/>
  <c r="BB25" i="29"/>
  <c r="BB27" i="29"/>
  <c r="BB29" i="29"/>
  <c r="BB31" i="29"/>
  <c r="BB33" i="29"/>
  <c r="BB35" i="29"/>
  <c r="BB37" i="29"/>
  <c r="BB39" i="29"/>
  <c r="BB41" i="29"/>
  <c r="BB43" i="29"/>
  <c r="BB46" i="29"/>
  <c r="BB50" i="29"/>
  <c r="BB54" i="29"/>
  <c r="BB58" i="29"/>
  <c r="BB62" i="29"/>
  <c r="BB66" i="29"/>
  <c r="BB70" i="29"/>
  <c r="BB74" i="29"/>
  <c r="BB78" i="29"/>
  <c r="BB82" i="29"/>
  <c r="BB86" i="29"/>
  <c r="BI3" i="29"/>
  <c r="BI27" i="29"/>
  <c r="BI31" i="29"/>
  <c r="BI35" i="29"/>
  <c r="BI39" i="29"/>
  <c r="BI43" i="29"/>
  <c r="BI47" i="29"/>
  <c r="BI51" i="29"/>
  <c r="BI55" i="29"/>
  <c r="BI59" i="29"/>
  <c r="BI63" i="29"/>
  <c r="BI67" i="29"/>
  <c r="BI71" i="29"/>
  <c r="BI75" i="29"/>
  <c r="BI79" i="29"/>
  <c r="BI83" i="29"/>
  <c r="BI87" i="29"/>
  <c r="BB7" i="29"/>
  <c r="BB11" i="29"/>
  <c r="BB15" i="29"/>
  <c r="BB45" i="29"/>
  <c r="BB49" i="29"/>
  <c r="BB53" i="29"/>
  <c r="BB57" i="29"/>
  <c r="BB61" i="29"/>
  <c r="BB65" i="29"/>
  <c r="BB69" i="29"/>
  <c r="BB73" i="29"/>
  <c r="BB77" i="29"/>
  <c r="BB81" i="29"/>
  <c r="BB85" i="29"/>
  <c r="BB90" i="29"/>
  <c r="BB3" i="29"/>
  <c r="BI28" i="29"/>
  <c r="BI32" i="29"/>
  <c r="BI36" i="29"/>
  <c r="BI40" i="29"/>
  <c r="BI44" i="29"/>
  <c r="BI48" i="29"/>
  <c r="BI52" i="29"/>
  <c r="BI56" i="29"/>
  <c r="BI60" i="29"/>
  <c r="BI64" i="29"/>
  <c r="BI68" i="29"/>
  <c r="BI72" i="29"/>
  <c r="BI76" i="29"/>
  <c r="BI80" i="29"/>
  <c r="BI84" i="29"/>
  <c r="BI89" i="29"/>
  <c r="BB8" i="29"/>
  <c r="BB12" i="29"/>
  <c r="BB16" i="29"/>
  <c r="BB18" i="29"/>
  <c r="BB20" i="29"/>
  <c r="BB22" i="29"/>
  <c r="BB24" i="29"/>
  <c r="BB26" i="29"/>
  <c r="BB28" i="29"/>
  <c r="BB30" i="29"/>
  <c r="BB32" i="29"/>
  <c r="BB34" i="29"/>
  <c r="BB36" i="29"/>
  <c r="BB38" i="29"/>
  <c r="BB40" i="29"/>
  <c r="BB42" i="29"/>
  <c r="BB44" i="29"/>
  <c r="BB48" i="29"/>
  <c r="BB52" i="29"/>
  <c r="BB56" i="29"/>
  <c r="BB60" i="29"/>
  <c r="BB64" i="29"/>
  <c r="BB68" i="29"/>
  <c r="BB72" i="29"/>
  <c r="BB76" i="29"/>
  <c r="BB80" i="29"/>
  <c r="BB84" i="29"/>
  <c r="BB89" i="29"/>
  <c r="BI29" i="29"/>
  <c r="BI33" i="29"/>
  <c r="BI37" i="29"/>
  <c r="BI41" i="29"/>
  <c r="BI45" i="29"/>
  <c r="BI49" i="29"/>
  <c r="BI53" i="29"/>
  <c r="BI57" i="29"/>
  <c r="BI61" i="29"/>
  <c r="BI65" i="29"/>
  <c r="BI69" i="29"/>
  <c r="BI73" i="29"/>
  <c r="BI77" i="29"/>
  <c r="BI81" i="29"/>
  <c r="BI85" i="29"/>
  <c r="BI90" i="29"/>
  <c r="BB9" i="29"/>
  <c r="BB13" i="29"/>
  <c r="BB47" i="29"/>
  <c r="BB51" i="29"/>
  <c r="BB55" i="29"/>
  <c r="BB59" i="29"/>
  <c r="BB63" i="29"/>
  <c r="BB67" i="29"/>
  <c r="BB71" i="29"/>
  <c r="BB75" i="29"/>
  <c r="BB79" i="29"/>
  <c r="BB83" i="29"/>
  <c r="BB87" i="29"/>
  <c r="BI4" i="29"/>
  <c r="BI5" i="29"/>
  <c r="BI6" i="29"/>
  <c r="BI7" i="29"/>
  <c r="BI8" i="29"/>
  <c r="BI9" i="29"/>
  <c r="BI10" i="29"/>
  <c r="BI11" i="29"/>
  <c r="BI12" i="29"/>
  <c r="BI13" i="29"/>
  <c r="BI14" i="29"/>
  <c r="BI15" i="29"/>
  <c r="BI16" i="29"/>
  <c r="BI17" i="29"/>
  <c r="BI18" i="29"/>
  <c r="BI19" i="29"/>
  <c r="BI20" i="29"/>
  <c r="BI21" i="29"/>
  <c r="BI22" i="29"/>
  <c r="BI23" i="29"/>
  <c r="BI24" i="29"/>
  <c r="BI25" i="29"/>
  <c r="BI26" i="29"/>
  <c r="BI30" i="29"/>
  <c r="BI34" i="29"/>
  <c r="BI38" i="29"/>
  <c r="BI42" i="29"/>
  <c r="BI46" i="29"/>
  <c r="BI50" i="29"/>
  <c r="BI54" i="29"/>
  <c r="BI58" i="29"/>
  <c r="BI62" i="29"/>
  <c r="BI66" i="29"/>
  <c r="BI70" i="29"/>
  <c r="BI74" i="29"/>
  <c r="BI78" i="29"/>
  <c r="BI82" i="29"/>
  <c r="BI86" i="29"/>
  <c r="BP4" i="29"/>
  <c r="BP8" i="29"/>
  <c r="BP12" i="29"/>
  <c r="BP16" i="29"/>
  <c r="BP20" i="29"/>
  <c r="BP24" i="29"/>
  <c r="BP28" i="29"/>
  <c r="BP32" i="29"/>
  <c r="BP36" i="29"/>
  <c r="BP40" i="29"/>
  <c r="BP44" i="29"/>
  <c r="BP48" i="29"/>
  <c r="BP52" i="29"/>
  <c r="BP56" i="29"/>
  <c r="BP60" i="29"/>
  <c r="BP64" i="29"/>
  <c r="BP68" i="29"/>
  <c r="BP72" i="29"/>
  <c r="BP5" i="29"/>
  <c r="BP9" i="29"/>
  <c r="BP13" i="29"/>
  <c r="BP17" i="29"/>
  <c r="BP21" i="29"/>
  <c r="BP25" i="29"/>
  <c r="BP29" i="29"/>
  <c r="BP33" i="29"/>
  <c r="BP37" i="29"/>
  <c r="BP41" i="29"/>
  <c r="BP45" i="29"/>
  <c r="BP49" i="29"/>
  <c r="BP53" i="29"/>
  <c r="BP57" i="29"/>
  <c r="BP61" i="29"/>
  <c r="BP65" i="29"/>
  <c r="BP69" i="29"/>
  <c r="BP73" i="29"/>
  <c r="BP77" i="29"/>
  <c r="BP6" i="29"/>
  <c r="BP10" i="29"/>
  <c r="BP14" i="29"/>
  <c r="BP18" i="29"/>
  <c r="BP22" i="29"/>
  <c r="BP26" i="29"/>
  <c r="BP30" i="29"/>
  <c r="BP34" i="29"/>
  <c r="BP38" i="29"/>
  <c r="BP42" i="29"/>
  <c r="BP46" i="29"/>
  <c r="BP50" i="29"/>
  <c r="BP54" i="29"/>
  <c r="BP58" i="29"/>
  <c r="BP62" i="29"/>
  <c r="BP66" i="29"/>
  <c r="BP70" i="29"/>
  <c r="BP74" i="29"/>
  <c r="BP78" i="29"/>
  <c r="BP7" i="29"/>
  <c r="BP11" i="29"/>
  <c r="BP15" i="29"/>
  <c r="BP19" i="29"/>
  <c r="BP23" i="29"/>
  <c r="BP27" i="29"/>
  <c r="BP31" i="29"/>
  <c r="BP35" i="29"/>
  <c r="BP39" i="29"/>
  <c r="BP43" i="29"/>
  <c r="BP47" i="29"/>
  <c r="BP51" i="29"/>
  <c r="BP55" i="29"/>
  <c r="BP59" i="29"/>
  <c r="BP63" i="29"/>
  <c r="BP79" i="29"/>
  <c r="BP82" i="29"/>
  <c r="BP86" i="29"/>
  <c r="BV6" i="29"/>
  <c r="DK6" i="29"/>
  <c r="BV4" i="29"/>
  <c r="DK4" i="29"/>
  <c r="BV10" i="29"/>
  <c r="DK10" i="29"/>
  <c r="BV11" i="29"/>
  <c r="DK11" i="29"/>
  <c r="BV9" i="29"/>
  <c r="DK9" i="29"/>
  <c r="BV8" i="29"/>
  <c r="DK8" i="29"/>
  <c r="BV7" i="29"/>
  <c r="DK7" i="29"/>
  <c r="BV5" i="29"/>
  <c r="DK5" i="29"/>
  <c r="BV3" i="29"/>
  <c r="DK3" i="29"/>
  <c r="BP67" i="29"/>
  <c r="BP76" i="29"/>
  <c r="BP83" i="29"/>
  <c r="BP87" i="29"/>
  <c r="BV90" i="29"/>
  <c r="BV85" i="29"/>
  <c r="BV81" i="29"/>
  <c r="BV77" i="29"/>
  <c r="BV73" i="29"/>
  <c r="BV69" i="29"/>
  <c r="BP71" i="29"/>
  <c r="BP75" i="29"/>
  <c r="BP84" i="29"/>
  <c r="BP89" i="29"/>
  <c r="BP3" i="29"/>
  <c r="CR6" i="29"/>
  <c r="CR4" i="29"/>
  <c r="CR10" i="29"/>
  <c r="CR11" i="29"/>
  <c r="CR9" i="29"/>
  <c r="CR8" i="29"/>
  <c r="CR7" i="29"/>
  <c r="CR5" i="29"/>
  <c r="CR3" i="29"/>
  <c r="BP80" i="29"/>
  <c r="BP81" i="29"/>
  <c r="BP85" i="29"/>
  <c r="BP90" i="29"/>
  <c r="CH6" i="29"/>
  <c r="CY6" i="29"/>
  <c r="CH4" i="29"/>
  <c r="CY4" i="29"/>
  <c r="CH10" i="29"/>
  <c r="CY10" i="29"/>
  <c r="CH11" i="29"/>
  <c r="CY11" i="29"/>
  <c r="CH9" i="29"/>
  <c r="CY9" i="29"/>
  <c r="CH8" i="29"/>
  <c r="CY8" i="29"/>
  <c r="CH7" i="29"/>
  <c r="CY7" i="29"/>
  <c r="CH5" i="29"/>
  <c r="CY5" i="29"/>
  <c r="CH3" i="29"/>
  <c r="CY3" i="29"/>
  <c r="BV87" i="29"/>
  <c r="BV82" i="29"/>
  <c r="BV76" i="29"/>
  <c r="BV71" i="29"/>
  <c r="BV66" i="29"/>
  <c r="BV62" i="29"/>
  <c r="BV58" i="29"/>
  <c r="BV54" i="29"/>
  <c r="BV50" i="29"/>
  <c r="BV46" i="29"/>
  <c r="BV42" i="29"/>
  <c r="BV38" i="29"/>
  <c r="BV34" i="29"/>
  <c r="BV30" i="29"/>
  <c r="BV26" i="29"/>
  <c r="BV22" i="29"/>
  <c r="BV18" i="29"/>
  <c r="BV14" i="29"/>
  <c r="DK14" i="29"/>
  <c r="BV86" i="29"/>
  <c r="BV80" i="29"/>
  <c r="BV75" i="29"/>
  <c r="BV70" i="29"/>
  <c r="BV65" i="29"/>
  <c r="BV61" i="29"/>
  <c r="BV57" i="29"/>
  <c r="BV53" i="29"/>
  <c r="BV49" i="29"/>
  <c r="BV45" i="29"/>
  <c r="BV41" i="29"/>
  <c r="BV37" i="29"/>
  <c r="BV33" i="29"/>
  <c r="BV29" i="29"/>
  <c r="BV25" i="29"/>
  <c r="BV21" i="29"/>
  <c r="BV17" i="29"/>
  <c r="BV13" i="29"/>
  <c r="BV84" i="29"/>
  <c r="BV79" i="29"/>
  <c r="BV74" i="29"/>
  <c r="BV68" i="29"/>
  <c r="BV64" i="29"/>
  <c r="BV60" i="29"/>
  <c r="BV56" i="29"/>
  <c r="BV52" i="29"/>
  <c r="BV48" i="29"/>
  <c r="BV44" i="29"/>
  <c r="BV40" i="29"/>
  <c r="BV36" i="29"/>
  <c r="BV32" i="29"/>
  <c r="BV28" i="29"/>
  <c r="BV24" i="29"/>
  <c r="BV20" i="29"/>
  <c r="BV16" i="29"/>
  <c r="BV12" i="29"/>
  <c r="CR14" i="29"/>
  <c r="CR13" i="29"/>
  <c r="CY12" i="29"/>
  <c r="CH14" i="29"/>
  <c r="DK13" i="29"/>
  <c r="BV89" i="29"/>
  <c r="BV83" i="29"/>
  <c r="BV78" i="29"/>
  <c r="BV72" i="29"/>
  <c r="BV67" i="29"/>
  <c r="BV63" i="29"/>
  <c r="BV59" i="29"/>
  <c r="BV55" i="29"/>
  <c r="BV51" i="29"/>
  <c r="BV47" i="29"/>
  <c r="BV43" i="29"/>
  <c r="BV39" i="29"/>
  <c r="BV35" i="29"/>
  <c r="BV31" i="29"/>
  <c r="BV27" i="29"/>
  <c r="BV23" i="29"/>
  <c r="BV19" i="29"/>
  <c r="BV15" i="29"/>
  <c r="CR43" i="29"/>
  <c r="CY14" i="29"/>
  <c r="CY13" i="29"/>
  <c r="CH12" i="29"/>
  <c r="DK12" i="29"/>
  <c r="CY43" i="29"/>
  <c r="CH13" i="29"/>
  <c r="CH43" i="29"/>
  <c r="CR12" i="29"/>
  <c r="DK43" i="29"/>
  <c r="CH90" i="29"/>
  <c r="CH85" i="29"/>
  <c r="CH81" i="29"/>
  <c r="CH77" i="29"/>
  <c r="CH73" i="29"/>
  <c r="CH69" i="29"/>
  <c r="CH65" i="29"/>
  <c r="CH61" i="29"/>
  <c r="CH57" i="29"/>
  <c r="CH53" i="29"/>
  <c r="CH49" i="29"/>
  <c r="CH45" i="29"/>
  <c r="CH40" i="29"/>
  <c r="CH36" i="29"/>
  <c r="CH32" i="29"/>
  <c r="CH28" i="29"/>
  <c r="CH24" i="29"/>
  <c r="CH20" i="29"/>
  <c r="CH16" i="29"/>
  <c r="CH89" i="29"/>
  <c r="CH84" i="29"/>
  <c r="CH80" i="29"/>
  <c r="CH76" i="29"/>
  <c r="CH72" i="29"/>
  <c r="CH68" i="29"/>
  <c r="CH64" i="29"/>
  <c r="CH60" i="29"/>
  <c r="CH56" i="29"/>
  <c r="CH52" i="29"/>
  <c r="CH48" i="29"/>
  <c r="CH44" i="29"/>
  <c r="CH39" i="29"/>
  <c r="CH35" i="29"/>
  <c r="CH31" i="29"/>
  <c r="CH27" i="29"/>
  <c r="CH23" i="29"/>
  <c r="CH19" i="29"/>
  <c r="CH15" i="29"/>
  <c r="CH87" i="29"/>
  <c r="CH83" i="29"/>
  <c r="CH79" i="29"/>
  <c r="CH75" i="29"/>
  <c r="CH71" i="29"/>
  <c r="CH67" i="29"/>
  <c r="CH63" i="29"/>
  <c r="CH59" i="29"/>
  <c r="CH55" i="29"/>
  <c r="CH51" i="29"/>
  <c r="CH47" i="29"/>
  <c r="CH42" i="29"/>
  <c r="CH38" i="29"/>
  <c r="CH34" i="29"/>
  <c r="CH30" i="29"/>
  <c r="CH26" i="29"/>
  <c r="CH22" i="29"/>
  <c r="CH18" i="29"/>
  <c r="CH86" i="29"/>
  <c r="CH82" i="29"/>
  <c r="CH78" i="29"/>
  <c r="CH74" i="29"/>
  <c r="CH70" i="29"/>
  <c r="CH66" i="29"/>
  <c r="CH62" i="29"/>
  <c r="CH58" i="29"/>
  <c r="CH54" i="29"/>
  <c r="CH50" i="29"/>
  <c r="CH46" i="29"/>
  <c r="CH41" i="29"/>
  <c r="CH37" i="29"/>
  <c r="CH33" i="29"/>
  <c r="CH29" i="29"/>
  <c r="CH25" i="29"/>
  <c r="CH21" i="29"/>
  <c r="CH17" i="29"/>
  <c r="E8" i="14"/>
  <c r="E9" i="14" s="1"/>
  <c r="CU6" i="29"/>
  <c r="DQ6" i="29"/>
  <c r="CU4" i="29"/>
  <c r="DQ4" i="29"/>
  <c r="CU10" i="29"/>
  <c r="DQ10" i="29"/>
  <c r="CU11" i="29"/>
  <c r="DQ11" i="29"/>
  <c r="CU9" i="29"/>
  <c r="DQ9" i="29"/>
  <c r="CU8" i="29"/>
  <c r="DQ8" i="29"/>
  <c r="CU7" i="29"/>
  <c r="DQ7" i="29"/>
  <c r="CU5" i="29"/>
  <c r="DQ5" i="29"/>
  <c r="CU3" i="29"/>
  <c r="DQ3" i="29"/>
  <c r="CN6" i="29"/>
  <c r="DE6" i="29"/>
  <c r="CN4" i="29"/>
  <c r="DE4" i="29"/>
  <c r="CN10" i="29"/>
  <c r="DE10" i="29"/>
  <c r="CN11" i="29"/>
  <c r="DE11" i="29"/>
  <c r="CN9" i="29"/>
  <c r="DE9" i="29"/>
  <c r="CN8" i="29"/>
  <c r="DE8" i="29"/>
  <c r="CN7" i="29"/>
  <c r="DE7" i="29"/>
  <c r="CN43" i="29"/>
  <c r="DE43" i="29"/>
  <c r="CU14" i="29"/>
  <c r="DQ13" i="29"/>
  <c r="CN5" i="29"/>
  <c r="DE5" i="29"/>
  <c r="CN3" i="29"/>
  <c r="DE3" i="29"/>
  <c r="CN12" i="29"/>
  <c r="DE12" i="29"/>
  <c r="CU13" i="29"/>
  <c r="CN14" i="29"/>
  <c r="DE14" i="29"/>
  <c r="CN13" i="29"/>
  <c r="DE13" i="29"/>
  <c r="CU12" i="29"/>
  <c r="DQ12" i="29"/>
  <c r="DQ14" i="29"/>
  <c r="DQ43" i="29"/>
  <c r="CU43" i="29"/>
  <c r="CN87" i="29"/>
  <c r="CN83" i="29"/>
  <c r="CN79" i="29"/>
  <c r="CN75" i="29"/>
  <c r="CN71" i="29"/>
  <c r="CN67" i="29"/>
  <c r="CN63" i="29"/>
  <c r="CN59" i="29"/>
  <c r="CN55" i="29"/>
  <c r="CN51" i="29"/>
  <c r="CN47" i="29"/>
  <c r="CN42" i="29"/>
  <c r="CN38" i="29"/>
  <c r="CN34" i="29"/>
  <c r="CN30" i="29"/>
  <c r="CN26" i="29"/>
  <c r="CN22" i="29"/>
  <c r="CN18" i="29"/>
  <c r="CN86" i="29"/>
  <c r="CN82" i="29"/>
  <c r="CN78" i="29"/>
  <c r="CN74" i="29"/>
  <c r="CN70" i="29"/>
  <c r="CN66" i="29"/>
  <c r="CN62" i="29"/>
  <c r="CN58" i="29"/>
  <c r="CN54" i="29"/>
  <c r="CN50" i="29"/>
  <c r="CN46" i="29"/>
  <c r="CN41" i="29"/>
  <c r="CN37" i="29"/>
  <c r="CN33" i="29"/>
  <c r="CN29" i="29"/>
  <c r="CN25" i="29"/>
  <c r="CN21" i="29"/>
  <c r="CN17" i="29"/>
  <c r="CN90" i="29"/>
  <c r="CN85" i="29"/>
  <c r="CN81" i="29"/>
  <c r="CN77" i="29"/>
  <c r="CN73" i="29"/>
  <c r="CN69" i="29"/>
  <c r="CN65" i="29"/>
  <c r="CN61" i="29"/>
  <c r="CN57" i="29"/>
  <c r="CN53" i="29"/>
  <c r="CN49" i="29"/>
  <c r="CN45" i="29"/>
  <c r="CN40" i="29"/>
  <c r="CN36" i="29"/>
  <c r="CN32" i="29"/>
  <c r="CN28" i="29"/>
  <c r="CN24" i="29"/>
  <c r="CN20" i="29"/>
  <c r="CN16" i="29"/>
  <c r="CN89" i="29"/>
  <c r="CN84" i="29"/>
  <c r="CN80" i="29"/>
  <c r="CN76" i="29"/>
  <c r="CN72" i="29"/>
  <c r="CN68" i="29"/>
  <c r="CN64" i="29"/>
  <c r="CN60" i="29"/>
  <c r="CN56" i="29"/>
  <c r="CN52" i="29"/>
  <c r="CN48" i="29"/>
  <c r="CN44" i="29"/>
  <c r="CN39" i="29"/>
  <c r="CN35" i="29"/>
  <c r="CN31" i="29"/>
  <c r="CN27" i="29"/>
  <c r="CN23" i="29"/>
  <c r="CN19" i="29"/>
  <c r="CN15" i="29"/>
  <c r="AR18" i="29"/>
  <c r="AR22" i="29"/>
  <c r="AR4" i="29"/>
  <c r="AR6" i="29"/>
  <c r="AR8" i="29"/>
  <c r="AR10" i="29"/>
  <c r="AR12" i="29"/>
  <c r="AR14" i="29"/>
  <c r="AR17" i="29"/>
  <c r="AR21" i="29"/>
  <c r="AR16" i="29"/>
  <c r="AR20" i="29"/>
  <c r="AR5" i="29"/>
  <c r="AR7" i="29"/>
  <c r="AR9" i="29"/>
  <c r="AR11" i="29"/>
  <c r="AR13" i="29"/>
  <c r="AR15" i="29"/>
  <c r="AR19" i="29"/>
  <c r="AR23" i="29"/>
  <c r="AR24" i="29"/>
  <c r="AR25" i="29"/>
  <c r="AR26" i="29"/>
  <c r="AR27" i="29"/>
  <c r="AR28" i="29"/>
  <c r="AR29" i="29"/>
  <c r="AR30" i="29"/>
  <c r="AR31" i="29"/>
  <c r="AR32" i="29"/>
  <c r="AR33" i="29"/>
  <c r="AR34" i="29"/>
  <c r="AR35" i="29"/>
  <c r="AR36" i="29"/>
  <c r="AR37" i="29"/>
  <c r="AR38" i="29"/>
  <c r="AR39" i="29"/>
  <c r="AR40" i="29"/>
  <c r="AR41" i="29"/>
  <c r="AR42" i="29"/>
  <c r="AR43" i="29"/>
  <c r="AR44" i="29"/>
  <c r="AR45" i="29"/>
  <c r="AR46" i="29"/>
  <c r="AR47" i="29"/>
  <c r="AR48" i="29"/>
  <c r="AR49" i="29"/>
  <c r="AR50" i="29"/>
  <c r="AR51" i="29"/>
  <c r="AR52" i="29"/>
  <c r="AR53" i="29"/>
  <c r="AR54" i="29"/>
  <c r="AR55" i="29"/>
  <c r="AR56" i="29"/>
  <c r="AR57" i="29"/>
  <c r="AR58" i="29"/>
  <c r="AR59" i="29"/>
  <c r="AR60" i="29"/>
  <c r="AR61" i="29"/>
  <c r="AR62" i="29"/>
  <c r="AR63" i="29"/>
  <c r="AR64" i="29"/>
  <c r="AR65" i="29"/>
  <c r="AR66" i="29"/>
  <c r="AR67" i="29"/>
  <c r="AR68" i="29"/>
  <c r="AR69" i="29"/>
  <c r="AR70" i="29"/>
  <c r="AR71" i="29"/>
  <c r="AR72" i="29"/>
  <c r="AR73" i="29"/>
  <c r="AR74" i="29"/>
  <c r="AR75" i="29"/>
  <c r="AR76" i="29"/>
  <c r="AR77" i="29"/>
  <c r="AR78" i="29"/>
  <c r="AR79" i="29"/>
  <c r="AR80" i="29"/>
  <c r="AR81" i="29"/>
  <c r="AR82" i="29"/>
  <c r="AR83" i="29"/>
  <c r="AR84" i="29"/>
  <c r="AR85" i="29"/>
  <c r="AR86" i="29"/>
  <c r="AR87" i="29"/>
  <c r="AR89" i="29"/>
  <c r="AR90" i="29"/>
  <c r="AR3" i="29"/>
  <c r="CD86" i="29"/>
  <c r="CD82" i="29"/>
  <c r="CD78" i="29"/>
  <c r="CD74" i="29"/>
  <c r="CD70" i="29"/>
  <c r="CD66" i="29"/>
  <c r="CD62" i="29"/>
  <c r="CD58" i="29"/>
  <c r="CD54" i="29"/>
  <c r="CD50" i="29"/>
  <c r="CD46" i="29"/>
  <c r="CD42" i="29"/>
  <c r="CD38" i="29"/>
  <c r="CD34" i="29"/>
  <c r="CD30" i="29"/>
  <c r="CD26" i="29"/>
  <c r="CD22" i="29"/>
  <c r="CD18" i="29"/>
  <c r="CD14" i="29"/>
  <c r="CD10" i="29"/>
  <c r="CD6" i="29"/>
  <c r="CD90" i="29"/>
  <c r="CD85" i="29"/>
  <c r="CD81" i="29"/>
  <c r="CD77" i="29"/>
  <c r="CD73" i="29"/>
  <c r="CD69" i="29"/>
  <c r="CD65" i="29"/>
  <c r="CD61" i="29"/>
  <c r="CD57" i="29"/>
  <c r="CD53" i="29"/>
  <c r="CD49" i="29"/>
  <c r="CD45" i="29"/>
  <c r="CD41" i="29"/>
  <c r="CD37" i="29"/>
  <c r="CD33" i="29"/>
  <c r="CD29" i="29"/>
  <c r="CD25" i="29"/>
  <c r="CD21" i="29"/>
  <c r="CD17" i="29"/>
  <c r="CD13" i="29"/>
  <c r="CD9" i="29"/>
  <c r="CD5" i="29"/>
  <c r="CD89" i="29"/>
  <c r="CD84" i="29"/>
  <c r="CD80" i="29"/>
  <c r="CD76" i="29"/>
  <c r="CD72" i="29"/>
  <c r="CD68" i="29"/>
  <c r="CD64" i="29"/>
  <c r="CD60" i="29"/>
  <c r="CD56" i="29"/>
  <c r="CD52" i="29"/>
  <c r="CD48" i="29"/>
  <c r="CD44" i="29"/>
  <c r="CD40" i="29"/>
  <c r="CD36" i="29"/>
  <c r="CD32" i="29"/>
  <c r="CD28" i="29"/>
  <c r="CD24" i="29"/>
  <c r="CD20" i="29"/>
  <c r="CD16" i="29"/>
  <c r="CD12" i="29"/>
  <c r="CD8" i="29"/>
  <c r="CD4" i="29"/>
  <c r="CD87" i="29"/>
  <c r="CD83" i="29"/>
  <c r="CD79" i="29"/>
  <c r="CD75" i="29"/>
  <c r="CD71" i="29"/>
  <c r="CD67" i="29"/>
  <c r="CD63" i="29"/>
  <c r="CD59" i="29"/>
  <c r="CD55" i="29"/>
  <c r="CD51" i="29"/>
  <c r="CD47" i="29"/>
  <c r="CD43" i="29"/>
  <c r="CD39" i="29"/>
  <c r="CD35" i="29"/>
  <c r="CD31" i="29"/>
  <c r="CD27" i="29"/>
  <c r="CD23" i="29"/>
  <c r="CD19" i="29"/>
  <c r="CD15" i="29"/>
  <c r="CD11" i="29"/>
  <c r="CD7" i="29"/>
  <c r="CD3" i="29"/>
  <c r="AY6" i="29"/>
  <c r="AY7" i="29"/>
  <c r="AY11" i="29"/>
  <c r="AY15" i="29"/>
  <c r="AY16" i="29"/>
  <c r="AY17" i="29"/>
  <c r="AY18" i="29"/>
  <c r="AY22" i="29"/>
  <c r="AY26" i="29"/>
  <c r="AY30" i="29"/>
  <c r="AY34" i="29"/>
  <c r="AY38" i="29"/>
  <c r="AY42" i="29"/>
  <c r="AY46" i="29"/>
  <c r="AY50" i="29"/>
  <c r="AY4" i="29"/>
  <c r="AY8" i="29"/>
  <c r="AY9" i="29"/>
  <c r="AY10" i="29"/>
  <c r="AY27" i="29"/>
  <c r="AY28" i="29"/>
  <c r="AY29" i="29"/>
  <c r="AY43" i="29"/>
  <c r="AY44" i="29"/>
  <c r="AY45" i="29"/>
  <c r="AY56" i="29"/>
  <c r="AY60" i="29"/>
  <c r="AY64" i="29"/>
  <c r="AY68" i="29"/>
  <c r="AY72" i="29"/>
  <c r="AY76" i="29"/>
  <c r="AY80" i="29"/>
  <c r="AY84" i="29"/>
  <c r="AY5" i="29"/>
  <c r="AY12" i="29"/>
  <c r="AY14" i="29"/>
  <c r="AY23" i="29"/>
  <c r="AY24" i="29"/>
  <c r="AY25" i="29"/>
  <c r="AY39" i="29"/>
  <c r="AY40" i="29"/>
  <c r="AY41" i="29"/>
  <c r="AY57" i="29"/>
  <c r="AY61" i="29"/>
  <c r="AY65" i="29"/>
  <c r="AY69" i="29"/>
  <c r="AY73" i="29"/>
  <c r="AY77" i="29"/>
  <c r="AY81" i="29"/>
  <c r="AY85" i="29"/>
  <c r="AY19" i="29"/>
  <c r="AY20" i="29"/>
  <c r="AY21" i="29"/>
  <c r="AY35" i="29"/>
  <c r="AY36" i="29"/>
  <c r="AY37" i="29"/>
  <c r="AY51" i="29"/>
  <c r="AY52" i="29"/>
  <c r="AY53" i="29"/>
  <c r="AY54" i="29"/>
  <c r="AY58" i="29"/>
  <c r="AY62" i="29"/>
  <c r="AY66" i="29"/>
  <c r="AY70" i="29"/>
  <c r="AY74" i="29"/>
  <c r="AY78" i="29"/>
  <c r="AY82" i="29"/>
  <c r="AY86" i="29"/>
  <c r="AY13" i="29"/>
  <c r="AY31" i="29"/>
  <c r="AY32" i="29"/>
  <c r="AY33" i="29"/>
  <c r="AY47" i="29"/>
  <c r="AY48" i="29"/>
  <c r="AY49" i="29"/>
  <c r="AY55" i="29"/>
  <c r="AY59" i="29"/>
  <c r="AY63" i="29"/>
  <c r="AY67" i="29"/>
  <c r="AY71" i="29"/>
  <c r="AY75" i="29"/>
  <c r="AY79" i="29"/>
  <c r="AY83" i="29"/>
  <c r="AY87" i="29"/>
  <c r="BF4" i="29"/>
  <c r="BF5" i="29"/>
  <c r="BF6" i="29"/>
  <c r="BF7" i="29"/>
  <c r="BF8" i="29"/>
  <c r="BF9" i="29"/>
  <c r="BF10" i="29"/>
  <c r="BF11" i="29"/>
  <c r="BF12" i="29"/>
  <c r="BF13" i="29"/>
  <c r="BF14" i="29"/>
  <c r="BF15" i="29"/>
  <c r="BF16" i="29"/>
  <c r="BF17" i="29"/>
  <c r="BF18" i="29"/>
  <c r="BF19" i="29"/>
  <c r="BF20" i="29"/>
  <c r="BF21" i="29"/>
  <c r="BF22" i="29"/>
  <c r="BF23" i="29"/>
  <c r="BF24" i="29"/>
  <c r="BF25" i="29"/>
  <c r="BF26" i="29"/>
  <c r="BF27" i="29"/>
  <c r="BF28" i="29"/>
  <c r="BF29" i="29"/>
  <c r="BF30" i="29"/>
  <c r="BF31" i="29"/>
  <c r="BF32" i="29"/>
  <c r="BF33" i="29"/>
  <c r="BF34" i="29"/>
  <c r="BF35" i="29"/>
  <c r="BF36" i="29"/>
  <c r="BF37" i="29"/>
  <c r="BF38" i="29"/>
  <c r="BF39" i="29"/>
  <c r="BF40" i="29"/>
  <c r="BF41" i="29"/>
  <c r="BF42" i="29"/>
  <c r="BF43" i="29"/>
  <c r="BF44" i="29"/>
  <c r="BF45" i="29"/>
  <c r="BF46" i="29"/>
  <c r="BF47" i="29"/>
  <c r="BF48" i="29"/>
  <c r="BF49" i="29"/>
  <c r="BF50" i="29"/>
  <c r="BF51" i="29"/>
  <c r="BF52" i="29"/>
  <c r="BF53" i="29"/>
  <c r="BF54" i="29"/>
  <c r="BF55" i="29"/>
  <c r="BF56" i="29"/>
  <c r="BF57" i="29"/>
  <c r="BF58" i="29"/>
  <c r="BF59" i="29"/>
  <c r="BF60" i="29"/>
  <c r="BF61" i="29"/>
  <c r="BF62" i="29"/>
  <c r="BF63" i="29"/>
  <c r="BF64" i="29"/>
  <c r="BF65" i="29"/>
  <c r="BF66" i="29"/>
  <c r="BF67" i="29"/>
  <c r="BF68" i="29"/>
  <c r="BF69" i="29"/>
  <c r="BF70" i="29"/>
  <c r="BF71" i="29"/>
  <c r="BF72" i="29"/>
  <c r="BF73" i="29"/>
  <c r="BF74" i="29"/>
  <c r="BF75" i="29"/>
  <c r="BF76" i="29"/>
  <c r="BF77" i="29"/>
  <c r="BF78" i="29"/>
  <c r="BF79" i="29"/>
  <c r="BF80" i="29"/>
  <c r="BF81" i="29"/>
  <c r="BF82" i="29"/>
  <c r="BF83" i="29"/>
  <c r="BF84" i="29"/>
  <c r="BF85" i="29"/>
  <c r="BF86" i="29"/>
  <c r="BF87" i="29"/>
  <c r="BF89" i="29"/>
  <c r="BF90" i="29"/>
  <c r="AY90" i="29"/>
  <c r="AY89" i="29"/>
  <c r="AY3" i="29"/>
  <c r="BF3" i="29"/>
  <c r="CC6" i="29"/>
  <c r="CC4" i="29"/>
  <c r="CC10" i="29"/>
  <c r="CC11" i="29"/>
  <c r="CC9" i="29"/>
  <c r="CC8" i="29"/>
  <c r="CC7" i="29"/>
  <c r="CC5" i="29"/>
  <c r="CC3" i="29"/>
  <c r="CC86" i="29"/>
  <c r="CC82" i="29"/>
  <c r="CC90" i="29"/>
  <c r="CC85" i="29"/>
  <c r="CC81" i="29"/>
  <c r="CC77" i="29"/>
  <c r="CC73" i="29"/>
  <c r="CC69" i="29"/>
  <c r="CC65" i="29"/>
  <c r="CC61" i="29"/>
  <c r="CC57" i="29"/>
  <c r="CC53" i="29"/>
  <c r="CC49" i="29"/>
  <c r="CC45" i="29"/>
  <c r="CC41" i="29"/>
  <c r="CC37" i="29"/>
  <c r="CC33" i="29"/>
  <c r="CC29" i="29"/>
  <c r="CC25" i="29"/>
  <c r="CC21" i="29"/>
  <c r="CC17" i="29"/>
  <c r="CC13" i="29"/>
  <c r="CM6" i="29"/>
  <c r="DD6" i="29"/>
  <c r="CM4" i="29"/>
  <c r="DD4" i="29"/>
  <c r="CM10" i="29"/>
  <c r="DD10" i="29"/>
  <c r="CM11" i="29"/>
  <c r="DD11" i="29"/>
  <c r="CM9" i="29"/>
  <c r="DD9" i="29"/>
  <c r="CM8" i="29"/>
  <c r="DD8" i="29"/>
  <c r="CM7" i="29"/>
  <c r="DD7" i="29"/>
  <c r="CM5" i="29"/>
  <c r="DD5" i="29"/>
  <c r="CM3" i="29"/>
  <c r="DD3" i="29"/>
  <c r="CC89" i="29"/>
  <c r="CC84" i="29"/>
  <c r="CC80" i="29"/>
  <c r="CC76" i="29"/>
  <c r="CC72" i="29"/>
  <c r="CC68" i="29"/>
  <c r="CC64" i="29"/>
  <c r="CC60" i="29"/>
  <c r="CC56" i="29"/>
  <c r="CC52" i="29"/>
  <c r="CC48" i="29"/>
  <c r="CC44" i="29"/>
  <c r="CC40" i="29"/>
  <c r="CC36" i="29"/>
  <c r="CC32" i="29"/>
  <c r="CC28" i="29"/>
  <c r="CC24" i="29"/>
  <c r="CC20" i="29"/>
  <c r="CC16" i="29"/>
  <c r="CC12" i="29"/>
  <c r="DP6" i="29"/>
  <c r="DP4" i="29"/>
  <c r="DP10" i="29"/>
  <c r="DP11" i="29"/>
  <c r="DP9" i="29"/>
  <c r="DP8" i="29"/>
  <c r="DP7" i="29"/>
  <c r="CC79" i="29"/>
  <c r="CC71" i="29"/>
  <c r="CC63" i="29"/>
  <c r="CC55" i="29"/>
  <c r="CC47" i="29"/>
  <c r="CC39" i="29"/>
  <c r="CC31" i="29"/>
  <c r="CC23" i="29"/>
  <c r="CC15" i="29"/>
  <c r="DP43" i="29"/>
  <c r="DP5" i="29"/>
  <c r="DP3" i="29"/>
  <c r="CC78" i="29"/>
  <c r="CC70" i="29"/>
  <c r="CC62" i="29"/>
  <c r="CC54" i="29"/>
  <c r="CC46" i="29"/>
  <c r="CC38" i="29"/>
  <c r="CC30" i="29"/>
  <c r="CC22" i="29"/>
  <c r="CC14" i="29"/>
  <c r="CC87" i="29"/>
  <c r="CC75" i="29"/>
  <c r="CC67" i="29"/>
  <c r="CC59" i="29"/>
  <c r="CC51" i="29"/>
  <c r="CC43" i="29"/>
  <c r="CC35" i="29"/>
  <c r="CC27" i="29"/>
  <c r="CC19" i="29"/>
  <c r="CM14" i="29"/>
  <c r="DD14" i="29"/>
  <c r="CM13" i="29"/>
  <c r="DD13" i="29"/>
  <c r="DP12" i="29"/>
  <c r="CC83" i="29"/>
  <c r="CC74" i="29"/>
  <c r="CC66" i="29"/>
  <c r="CC58" i="29"/>
  <c r="CC50" i="29"/>
  <c r="CC42" i="29"/>
  <c r="CC34" i="29"/>
  <c r="CC26" i="29"/>
  <c r="CC18" i="29"/>
  <c r="CM43" i="29"/>
  <c r="DD43" i="29"/>
  <c r="DP14" i="29"/>
  <c r="DP13" i="29"/>
  <c r="DD12" i="29"/>
  <c r="CM12" i="29"/>
  <c r="CM90" i="29"/>
  <c r="CM85" i="29"/>
  <c r="CM81" i="29"/>
  <c r="CM77" i="29"/>
  <c r="CM73" i="29"/>
  <c r="CM69" i="29"/>
  <c r="CM65" i="29"/>
  <c r="CM61" i="29"/>
  <c r="CM57" i="29"/>
  <c r="CM53" i="29"/>
  <c r="CM49" i="29"/>
  <c r="CM45" i="29"/>
  <c r="CM40" i="29"/>
  <c r="CM36" i="29"/>
  <c r="CM32" i="29"/>
  <c r="CM28" i="29"/>
  <c r="CM24" i="29"/>
  <c r="CM20" i="29"/>
  <c r="CM16" i="29"/>
  <c r="CM89" i="29"/>
  <c r="CM84" i="29"/>
  <c r="CM80" i="29"/>
  <c r="CM76" i="29"/>
  <c r="CM72" i="29"/>
  <c r="CM68" i="29"/>
  <c r="CM64" i="29"/>
  <c r="CM60" i="29"/>
  <c r="CM56" i="29"/>
  <c r="CM52" i="29"/>
  <c r="CM48" i="29"/>
  <c r="CM44" i="29"/>
  <c r="CM39" i="29"/>
  <c r="CM35" i="29"/>
  <c r="CM31" i="29"/>
  <c r="CM27" i="29"/>
  <c r="CM23" i="29"/>
  <c r="CM19" i="29"/>
  <c r="CM15" i="29"/>
  <c r="CM87" i="29"/>
  <c r="CM83" i="29"/>
  <c r="CM79" i="29"/>
  <c r="CM75" i="29"/>
  <c r="CM71" i="29"/>
  <c r="CM67" i="29"/>
  <c r="CM63" i="29"/>
  <c r="CM59" i="29"/>
  <c r="CM55" i="29"/>
  <c r="CM51" i="29"/>
  <c r="CM47" i="29"/>
  <c r="CM42" i="29"/>
  <c r="CM38" i="29"/>
  <c r="CM34" i="29"/>
  <c r="CM30" i="29"/>
  <c r="CM26" i="29"/>
  <c r="CM22" i="29"/>
  <c r="CM18" i="29"/>
  <c r="CM86" i="29"/>
  <c r="CM82" i="29"/>
  <c r="CM78" i="29"/>
  <c r="CM74" i="29"/>
  <c r="CM70" i="29"/>
  <c r="CM66" i="29"/>
  <c r="CM62" i="29"/>
  <c r="CM58" i="29"/>
  <c r="CM54" i="29"/>
  <c r="CM50" i="29"/>
  <c r="CM46" i="29"/>
  <c r="CM41" i="29"/>
  <c r="CM37" i="29"/>
  <c r="CM33" i="29"/>
  <c r="CM29" i="29"/>
  <c r="CM25" i="29"/>
  <c r="CM21" i="29"/>
  <c r="CM17" i="29"/>
  <c r="DN43" i="29"/>
  <c r="DN12" i="29"/>
  <c r="DN6" i="29"/>
  <c r="DB4" i="29"/>
  <c r="DN10" i="29"/>
  <c r="DN9" i="29"/>
  <c r="DN7" i="29"/>
  <c r="DN3" i="29"/>
  <c r="DB13" i="29"/>
  <c r="DB43" i="29"/>
  <c r="DB6" i="29"/>
  <c r="DN4" i="29"/>
  <c r="DB10" i="29"/>
  <c r="DN11" i="29"/>
  <c r="DB9" i="29"/>
  <c r="DN8" i="29"/>
  <c r="DB7" i="29"/>
  <c r="DN5" i="29"/>
  <c r="DB3" i="29"/>
  <c r="DB14" i="29"/>
  <c r="DN13" i="29"/>
  <c r="DB11" i="29"/>
  <c r="DB8" i="29"/>
  <c r="DB5" i="29"/>
  <c r="DN14" i="29"/>
  <c r="DB12" i="29"/>
  <c r="AV3" i="29"/>
  <c r="BL5" i="29"/>
  <c r="BL9" i="29"/>
  <c r="BL13" i="29"/>
  <c r="BL17" i="29"/>
  <c r="BL21" i="29"/>
  <c r="BL25" i="29"/>
  <c r="BL29" i="29"/>
  <c r="BL33" i="29"/>
  <c r="BL37" i="29"/>
  <c r="BL41" i="29"/>
  <c r="BL45" i="29"/>
  <c r="BL49" i="29"/>
  <c r="BL53" i="29"/>
  <c r="BL57" i="29"/>
  <c r="BL61" i="29"/>
  <c r="BL65" i="29"/>
  <c r="BL69" i="29"/>
  <c r="BL73" i="29"/>
  <c r="BL77" i="29"/>
  <c r="BL81" i="29"/>
  <c r="BL85" i="29"/>
  <c r="BL90" i="29"/>
  <c r="AV65" i="29"/>
  <c r="AV69" i="29"/>
  <c r="AV73" i="29"/>
  <c r="AV77" i="29"/>
  <c r="AV81" i="29"/>
  <c r="AV85" i="29"/>
  <c r="AV90" i="29"/>
  <c r="BL6" i="29"/>
  <c r="BL14" i="29"/>
  <c r="BL22" i="29"/>
  <c r="BL30" i="29"/>
  <c r="BL38" i="29"/>
  <c r="BL46" i="29"/>
  <c r="BL54" i="29"/>
  <c r="BL62" i="29"/>
  <c r="BL70" i="29"/>
  <c r="BL78" i="29"/>
  <c r="BL86" i="29"/>
  <c r="BL7" i="29"/>
  <c r="BL15" i="29"/>
  <c r="BL23" i="29"/>
  <c r="BL31" i="29"/>
  <c r="BL39" i="29"/>
  <c r="BL47" i="29"/>
  <c r="BL55" i="29"/>
  <c r="BL63" i="29"/>
  <c r="BL71" i="29"/>
  <c r="BL79" i="29"/>
  <c r="BL87" i="29"/>
  <c r="AV6" i="29"/>
  <c r="AZ6" i="29" s="1"/>
  <c r="AV10" i="29"/>
  <c r="AV14" i="29"/>
  <c r="AV18" i="29"/>
  <c r="AV22" i="29"/>
  <c r="AV26" i="29"/>
  <c r="AV30" i="29"/>
  <c r="AV34" i="29"/>
  <c r="AV38" i="29"/>
  <c r="AV42" i="29"/>
  <c r="AV46" i="29"/>
  <c r="AV50" i="29"/>
  <c r="AV54" i="29"/>
  <c r="AV58" i="29"/>
  <c r="AV62" i="29"/>
  <c r="AV66" i="29"/>
  <c r="AV70" i="29"/>
  <c r="AV74" i="29"/>
  <c r="AV78" i="29"/>
  <c r="AV82" i="29"/>
  <c r="AV86" i="29"/>
  <c r="BL4" i="29"/>
  <c r="BL12" i="29"/>
  <c r="BL20" i="29"/>
  <c r="BL28" i="29"/>
  <c r="BL36" i="29"/>
  <c r="BL44" i="29"/>
  <c r="BL52" i="29"/>
  <c r="AV5" i="29"/>
  <c r="AV7" i="29"/>
  <c r="AV9" i="29"/>
  <c r="AV11" i="29"/>
  <c r="AV13" i="29"/>
  <c r="AV15" i="29"/>
  <c r="AV17" i="29"/>
  <c r="AV19" i="29"/>
  <c r="AV21" i="29"/>
  <c r="AV23" i="29"/>
  <c r="AV25" i="29"/>
  <c r="AV27" i="29"/>
  <c r="AV29" i="29"/>
  <c r="AV31" i="29"/>
  <c r="AV33" i="29"/>
  <c r="AV35" i="29"/>
  <c r="AV37" i="29"/>
  <c r="AV39" i="29"/>
  <c r="AV41" i="29"/>
  <c r="AV43" i="29"/>
  <c r="AV45" i="29"/>
  <c r="AV47" i="29"/>
  <c r="AV49" i="29"/>
  <c r="AV51" i="29"/>
  <c r="AV53" i="29"/>
  <c r="AV55" i="29"/>
  <c r="AV57" i="29"/>
  <c r="AV59" i="29"/>
  <c r="AV61" i="29"/>
  <c r="AV63" i="29"/>
  <c r="AV67" i="29"/>
  <c r="AV71" i="29"/>
  <c r="AV75" i="29"/>
  <c r="AV79" i="29"/>
  <c r="AV83" i="29"/>
  <c r="AV87" i="29"/>
  <c r="BL10" i="29"/>
  <c r="BL18" i="29"/>
  <c r="BL26" i="29"/>
  <c r="BL34" i="29"/>
  <c r="BL42" i="29"/>
  <c r="BL50" i="29"/>
  <c r="BL58" i="29"/>
  <c r="BL66" i="29"/>
  <c r="BL74" i="29"/>
  <c r="BL82" i="29"/>
  <c r="BL3" i="29"/>
  <c r="BL11" i="29"/>
  <c r="BL19" i="29"/>
  <c r="BL27" i="29"/>
  <c r="BL35" i="29"/>
  <c r="BL43" i="29"/>
  <c r="BL51" i="29"/>
  <c r="BL59" i="29"/>
  <c r="BL67" i="29"/>
  <c r="BL75" i="29"/>
  <c r="BL83" i="29"/>
  <c r="AV4" i="29"/>
  <c r="AV8" i="29"/>
  <c r="AV12" i="29"/>
  <c r="AV16" i="29"/>
  <c r="AV20" i="29"/>
  <c r="AV24" i="29"/>
  <c r="AV28" i="29"/>
  <c r="AV32" i="29"/>
  <c r="AV36" i="29"/>
  <c r="AV40" i="29"/>
  <c r="AV44" i="29"/>
  <c r="AV48" i="29"/>
  <c r="AV52" i="29"/>
  <c r="AV56" i="29"/>
  <c r="AV60" i="29"/>
  <c r="AV64" i="29"/>
  <c r="AV68" i="29"/>
  <c r="AV72" i="29"/>
  <c r="AV76" i="29"/>
  <c r="AV80" i="29"/>
  <c r="AV84" i="29"/>
  <c r="AV89" i="29"/>
  <c r="BL8" i="29"/>
  <c r="BL16" i="29"/>
  <c r="BL24" i="29"/>
  <c r="BL32" i="29"/>
  <c r="BL40" i="29"/>
  <c r="BL48" i="29"/>
  <c r="BL56" i="29"/>
  <c r="BL72" i="29"/>
  <c r="BL89" i="29"/>
  <c r="BL80" i="29"/>
  <c r="BL84" i="29"/>
  <c r="BL60" i="29"/>
  <c r="BL76" i="29"/>
  <c r="BL64" i="29"/>
  <c r="BL68" i="29"/>
  <c r="CT6" i="29"/>
  <c r="BY4" i="29"/>
  <c r="CK4" i="29"/>
  <c r="DM4" i="29"/>
  <c r="DA10" i="29"/>
  <c r="CT9" i="29"/>
  <c r="BY8" i="29"/>
  <c r="CK8" i="29"/>
  <c r="DM8" i="29"/>
  <c r="DA7" i="29"/>
  <c r="CT3" i="29"/>
  <c r="BY87" i="29"/>
  <c r="BY83" i="29"/>
  <c r="BY79" i="29"/>
  <c r="BY75" i="29"/>
  <c r="BY71" i="29"/>
  <c r="BY67" i="29"/>
  <c r="BY63" i="29"/>
  <c r="BY59" i="29"/>
  <c r="BY55" i="29"/>
  <c r="BY51" i="29"/>
  <c r="BY47" i="29"/>
  <c r="BY43" i="29"/>
  <c r="BY39" i="29"/>
  <c r="BY35" i="29"/>
  <c r="BY31" i="29"/>
  <c r="BY27" i="29"/>
  <c r="BY23" i="29"/>
  <c r="BY19" i="29"/>
  <c r="BY15" i="29"/>
  <c r="DA14" i="29"/>
  <c r="CT13" i="29"/>
  <c r="CK13" i="29"/>
  <c r="CT12" i="29"/>
  <c r="BY6" i="29"/>
  <c r="CK6" i="29"/>
  <c r="DM6" i="29"/>
  <c r="DA4" i="29"/>
  <c r="CT11" i="29"/>
  <c r="BY9" i="29"/>
  <c r="CK9" i="29"/>
  <c r="DM9" i="29"/>
  <c r="DA8" i="29"/>
  <c r="CT5" i="29"/>
  <c r="BY3" i="29"/>
  <c r="CK3" i="29"/>
  <c r="DM3" i="29"/>
  <c r="BY86" i="29"/>
  <c r="BY82" i="29"/>
  <c r="BY78" i="29"/>
  <c r="BY74" i="29"/>
  <c r="BY70" i="29"/>
  <c r="BY66" i="29"/>
  <c r="BY62" i="29"/>
  <c r="BY58" i="29"/>
  <c r="BY54" i="29"/>
  <c r="BY50" i="29"/>
  <c r="BY46" i="29"/>
  <c r="BY42" i="29"/>
  <c r="BY38" i="29"/>
  <c r="BY34" i="29"/>
  <c r="BY30" i="29"/>
  <c r="BY26" i="29"/>
  <c r="BY22" i="29"/>
  <c r="BY18" i="29"/>
  <c r="BY14" i="29"/>
  <c r="CT43" i="29"/>
  <c r="DM13" i="29"/>
  <c r="CT4" i="29"/>
  <c r="BY11" i="29"/>
  <c r="CK11" i="29"/>
  <c r="DA11" i="29"/>
  <c r="DA9" i="29"/>
  <c r="BY7" i="29"/>
  <c r="CK7" i="29"/>
  <c r="BY84" i="29"/>
  <c r="BY76" i="29"/>
  <c r="BY68" i="29"/>
  <c r="BY60" i="29"/>
  <c r="BY52" i="29"/>
  <c r="BY44" i="29"/>
  <c r="BY36" i="29"/>
  <c r="BY28" i="29"/>
  <c r="BY20" i="29"/>
  <c r="CT10" i="29"/>
  <c r="DM5" i="29"/>
  <c r="BY81" i="29"/>
  <c r="BY65" i="29"/>
  <c r="BY49" i="29"/>
  <c r="BY33" i="29"/>
  <c r="BY17" i="29"/>
  <c r="DA6" i="29"/>
  <c r="CK10" i="29"/>
  <c r="BY5" i="29"/>
  <c r="DA5" i="29"/>
  <c r="BY89" i="29"/>
  <c r="BY72" i="29"/>
  <c r="BY56" i="29"/>
  <c r="BY40" i="29"/>
  <c r="BY24" i="29"/>
  <c r="DM43" i="29"/>
  <c r="DM14" i="29"/>
  <c r="DA12" i="29"/>
  <c r="DM11" i="29"/>
  <c r="CT7" i="29"/>
  <c r="DM7" i="29"/>
  <c r="BY85" i="29"/>
  <c r="BY77" i="29"/>
  <c r="BY69" i="29"/>
  <c r="BY61" i="29"/>
  <c r="BY53" i="29"/>
  <c r="BY45" i="29"/>
  <c r="BY37" i="29"/>
  <c r="BY29" i="29"/>
  <c r="BY21" i="29"/>
  <c r="BY13" i="29"/>
  <c r="CK43" i="29"/>
  <c r="DA43" i="29"/>
  <c r="CK14" i="29"/>
  <c r="DA13" i="29"/>
  <c r="BY12" i="29"/>
  <c r="DM10" i="29"/>
  <c r="BY90" i="29"/>
  <c r="BY73" i="29"/>
  <c r="BY57" i="29"/>
  <c r="BY41" i="29"/>
  <c r="BY25" i="29"/>
  <c r="DM12" i="29"/>
  <c r="BY10" i="29"/>
  <c r="CT8" i="29"/>
  <c r="CK5" i="29"/>
  <c r="DA3" i="29"/>
  <c r="BY80" i="29"/>
  <c r="BY64" i="29"/>
  <c r="BY48" i="29"/>
  <c r="BY32" i="29"/>
  <c r="BY16" i="29"/>
  <c r="CT14" i="29"/>
  <c r="CK12" i="29"/>
  <c r="CK87" i="29"/>
  <c r="CK83" i="29"/>
  <c r="CK79" i="29"/>
  <c r="CK75" i="29"/>
  <c r="CK71" i="29"/>
  <c r="CK67" i="29"/>
  <c r="CK63" i="29"/>
  <c r="CK59" i="29"/>
  <c r="CK55" i="29"/>
  <c r="CK51" i="29"/>
  <c r="CK47" i="29"/>
  <c r="CK42" i="29"/>
  <c r="CK38" i="29"/>
  <c r="CK34" i="29"/>
  <c r="CK30" i="29"/>
  <c r="CK26" i="29"/>
  <c r="CK22" i="29"/>
  <c r="CK18" i="29"/>
  <c r="CK86" i="29"/>
  <c r="CK78" i="29"/>
  <c r="CK70" i="29"/>
  <c r="CK62" i="29"/>
  <c r="CK54" i="29"/>
  <c r="CK46" i="29"/>
  <c r="CK37" i="29"/>
  <c r="CK29" i="29"/>
  <c r="CK21" i="29"/>
  <c r="CK90" i="29"/>
  <c r="CK81" i="29"/>
  <c r="CK73" i="29"/>
  <c r="CK65" i="29"/>
  <c r="CK57" i="29"/>
  <c r="CK49" i="29"/>
  <c r="CK40" i="29"/>
  <c r="CK32" i="29"/>
  <c r="CK24" i="29"/>
  <c r="CK16" i="29"/>
  <c r="CK89" i="29"/>
  <c r="CK84" i="29"/>
  <c r="CK80" i="29"/>
  <c r="CK76" i="29"/>
  <c r="CK72" i="29"/>
  <c r="CK68" i="29"/>
  <c r="CK64" i="29"/>
  <c r="CK60" i="29"/>
  <c r="CK56" i="29"/>
  <c r="CK52" i="29"/>
  <c r="CK48" i="29"/>
  <c r="CK44" i="29"/>
  <c r="CK39" i="29"/>
  <c r="CK35" i="29"/>
  <c r="CK31" i="29"/>
  <c r="CK27" i="29"/>
  <c r="CK23" i="29"/>
  <c r="CK19" i="29"/>
  <c r="CK15" i="29"/>
  <c r="CK82" i="29"/>
  <c r="CK74" i="29"/>
  <c r="CK66" i="29"/>
  <c r="CK58" i="29"/>
  <c r="CK50" i="29"/>
  <c r="CK41" i="29"/>
  <c r="CK33" i="29"/>
  <c r="CK25" i="29"/>
  <c r="CK17" i="29"/>
  <c r="CK85" i="29"/>
  <c r="CK77" i="29"/>
  <c r="CK69" i="29"/>
  <c r="CK61" i="29"/>
  <c r="CK53" i="29"/>
  <c r="CK45" i="29"/>
  <c r="CK36" i="29"/>
  <c r="CK28" i="29"/>
  <c r="CK20" i="29"/>
  <c r="P33" i="5"/>
  <c r="M13" i="14"/>
  <c r="CW19" i="29"/>
  <c r="CW22" i="29"/>
  <c r="CW78" i="29"/>
  <c r="CQ29" i="29"/>
  <c r="DI29" i="29"/>
  <c r="CW18" i="29"/>
  <c r="CQ23" i="29"/>
  <c r="DI22" i="29"/>
  <c r="CQ20" i="29"/>
  <c r="DI78" i="29"/>
  <c r="CQ19" i="29"/>
  <c r="DI19" i="29"/>
  <c r="CW23" i="29"/>
  <c r="CW20" i="29"/>
  <c r="CW29" i="29"/>
  <c r="CQ18" i="29"/>
  <c r="DI18" i="29"/>
  <c r="DI23" i="29"/>
  <c r="CQ22" i="29"/>
  <c r="DI20" i="29"/>
  <c r="CQ78" i="29"/>
  <c r="CQ31" i="29"/>
  <c r="CQ54" i="29"/>
  <c r="CQ58" i="29"/>
  <c r="CQ62" i="29"/>
  <c r="CQ33" i="29"/>
  <c r="CQ30" i="29"/>
  <c r="CQ51" i="29"/>
  <c r="CQ55" i="29"/>
  <c r="CQ59" i="29"/>
  <c r="CQ63" i="29"/>
  <c r="CQ65" i="29"/>
  <c r="CQ47" i="29"/>
  <c r="CQ49" i="29"/>
  <c r="CQ52" i="29"/>
  <c r="CQ56" i="29"/>
  <c r="CQ60" i="29"/>
  <c r="CQ64" i="29"/>
  <c r="CQ66" i="29"/>
  <c r="CQ24" i="29"/>
  <c r="CQ50" i="29"/>
  <c r="CQ53" i="29"/>
  <c r="CQ57" i="29"/>
  <c r="CQ61" i="29"/>
  <c r="CQ27" i="29"/>
  <c r="CQ34" i="29"/>
  <c r="CQ68" i="29"/>
  <c r="CQ71" i="29"/>
  <c r="CQ25" i="29"/>
  <c r="CQ74" i="29"/>
  <c r="CQ79" i="29"/>
  <c r="CQ40" i="29"/>
  <c r="CQ42" i="29"/>
  <c r="CQ85" i="29"/>
  <c r="CQ28" i="29"/>
  <c r="CQ44" i="29"/>
  <c r="DI24" i="29"/>
  <c r="DI50" i="29"/>
  <c r="CW31" i="29"/>
  <c r="DI53" i="29"/>
  <c r="CW54" i="29"/>
  <c r="CQ32" i="29"/>
  <c r="CQ69" i="29"/>
  <c r="CQ26" i="29"/>
  <c r="CQ75" i="29"/>
  <c r="CQ80" i="29"/>
  <c r="CQ41" i="29"/>
  <c r="CQ16" i="29"/>
  <c r="CQ86" i="29"/>
  <c r="CQ87" i="29"/>
  <c r="CQ45" i="29"/>
  <c r="CW30" i="29"/>
  <c r="DI31" i="29"/>
  <c r="CW51" i="29"/>
  <c r="DI54" i="29"/>
  <c r="CW55" i="29"/>
  <c r="DI58" i="29"/>
  <c r="CW59" i="29"/>
  <c r="DI62" i="29"/>
  <c r="CQ36" i="29"/>
  <c r="CQ70" i="29"/>
  <c r="CQ72" i="29"/>
  <c r="CQ15" i="29"/>
  <c r="CQ76" i="29"/>
  <c r="CQ81" i="29"/>
  <c r="CQ82" i="29"/>
  <c r="CQ83" i="29"/>
  <c r="CQ38" i="29"/>
  <c r="CQ89" i="29"/>
  <c r="CQ46" i="29"/>
  <c r="DI30" i="29"/>
  <c r="CW49" i="29"/>
  <c r="DI51" i="29"/>
  <c r="CW52" i="29"/>
  <c r="DI55" i="29"/>
  <c r="CW56" i="29"/>
  <c r="DI59" i="29"/>
  <c r="CW60" i="29"/>
  <c r="CQ67" i="29"/>
  <c r="CQ35" i="29"/>
  <c r="CQ37" i="29"/>
  <c r="CQ73" i="29"/>
  <c r="CQ77" i="29"/>
  <c r="CQ39" i="29"/>
  <c r="CQ21" i="29"/>
  <c r="CQ84" i="29"/>
  <c r="CQ17" i="29"/>
  <c r="CQ90" i="29"/>
  <c r="CQ48" i="29"/>
  <c r="CW24" i="29"/>
  <c r="DI49" i="29"/>
  <c r="CW50" i="29"/>
  <c r="DI52" i="29"/>
  <c r="CW53" i="29"/>
  <c r="DI56" i="29"/>
  <c r="CW57" i="29"/>
  <c r="DI60" i="29"/>
  <c r="CW61" i="29"/>
  <c r="CW58" i="29"/>
  <c r="DI61" i="29"/>
  <c r="DI64" i="29"/>
  <c r="CW27" i="29"/>
  <c r="DI66" i="29"/>
  <c r="CW34" i="29"/>
  <c r="DI67" i="29"/>
  <c r="CW68" i="29"/>
  <c r="DI35" i="29"/>
  <c r="CW71" i="29"/>
  <c r="DI37" i="29"/>
  <c r="CW25" i="29"/>
  <c r="DI27" i="29"/>
  <c r="CW33" i="29"/>
  <c r="DI34" i="29"/>
  <c r="CW32" i="29"/>
  <c r="DI68" i="29"/>
  <c r="CW69" i="29"/>
  <c r="DI71" i="29"/>
  <c r="DI25" i="29"/>
  <c r="CW26" i="29"/>
  <c r="DI74" i="29"/>
  <c r="CW62" i="29"/>
  <c r="CW63" i="29"/>
  <c r="DI33" i="29"/>
  <c r="CW65" i="29"/>
  <c r="DI32" i="29"/>
  <c r="CW36" i="29"/>
  <c r="DI69" i="29"/>
  <c r="CW70" i="29"/>
  <c r="CW72" i="29"/>
  <c r="DI57" i="29"/>
  <c r="DI63" i="29"/>
  <c r="CW64" i="29"/>
  <c r="DI65" i="29"/>
  <c r="CW66" i="29"/>
  <c r="DI36" i="29"/>
  <c r="CW67" i="29"/>
  <c r="DI70" i="29"/>
  <c r="CW35" i="29"/>
  <c r="CW75" i="29"/>
  <c r="DI79" i="29"/>
  <c r="CW80" i="29"/>
  <c r="DI40" i="29"/>
  <c r="CW41" i="29"/>
  <c r="DI42" i="29"/>
  <c r="CW16" i="29"/>
  <c r="DI85" i="29"/>
  <c r="CW86" i="29"/>
  <c r="CW15" i="29"/>
  <c r="DI15" i="29"/>
  <c r="DI73" i="29"/>
  <c r="DI75" i="29"/>
  <c r="CW76" i="29"/>
  <c r="DI80" i="29"/>
  <c r="CW81" i="29"/>
  <c r="DI41" i="29"/>
  <c r="CW82" i="29"/>
  <c r="DI16" i="29"/>
  <c r="CW83" i="29"/>
  <c r="DI86" i="29"/>
  <c r="CW38" i="29"/>
  <c r="DI87" i="29"/>
  <c r="CW89" i="29"/>
  <c r="DI45" i="29"/>
  <c r="CW46" i="29"/>
  <c r="DI90" i="29"/>
  <c r="DI47" i="29"/>
  <c r="DI72" i="29"/>
  <c r="DI26" i="29"/>
  <c r="CW73" i="29"/>
  <c r="CW74" i="29"/>
  <c r="DI76" i="29"/>
  <c r="CW77" i="29"/>
  <c r="DI81" i="29"/>
  <c r="CW39" i="29"/>
  <c r="DI82" i="29"/>
  <c r="CW21" i="29"/>
  <c r="DI83" i="29"/>
  <c r="CW84" i="29"/>
  <c r="DI38" i="29"/>
  <c r="CW17" i="29"/>
  <c r="DI89" i="29"/>
  <c r="CW90" i="29"/>
  <c r="DI46" i="29"/>
  <c r="DI17" i="29"/>
  <c r="CW28" i="29"/>
  <c r="CW44" i="29"/>
  <c r="CW37" i="29"/>
  <c r="DI77" i="29"/>
  <c r="CW79" i="29"/>
  <c r="DI39" i="29"/>
  <c r="CW40" i="29"/>
  <c r="DI21" i="29"/>
  <c r="CW42" i="29"/>
  <c r="DI84" i="29"/>
  <c r="CW85" i="29"/>
  <c r="DI48" i="29"/>
  <c r="DI44" i="29"/>
  <c r="DI28" i="29"/>
  <c r="CW87" i="29"/>
  <c r="CW45" i="29"/>
  <c r="CW47" i="29"/>
  <c r="CW48" i="29"/>
  <c r="CY29" i="29"/>
  <c r="CR18" i="29"/>
  <c r="DK18" i="29"/>
  <c r="CY19" i="29"/>
  <c r="CR24" i="29"/>
  <c r="CR29" i="29"/>
  <c r="DK29" i="29"/>
  <c r="CY18" i="29"/>
  <c r="CR19" i="29"/>
  <c r="DK19" i="29"/>
  <c r="K30" i="27"/>
  <c r="G72" i="9"/>
  <c r="C8" i="18"/>
  <c r="K13" i="27"/>
  <c r="K14" i="27" s="1"/>
  <c r="Q14" i="27" s="1"/>
  <c r="J14" i="18"/>
  <c r="K19" i="27"/>
  <c r="Q19" i="27" s="1"/>
  <c r="Q17" i="27" s="1"/>
  <c r="DB19" i="29"/>
  <c r="DN22" i="29"/>
  <c r="DN78" i="29"/>
  <c r="DN29" i="29"/>
  <c r="DB18" i="29"/>
  <c r="DB23" i="29"/>
  <c r="DB20" i="29"/>
  <c r="DN19" i="29"/>
  <c r="DN23" i="29"/>
  <c r="DN20" i="29"/>
  <c r="DB29" i="29"/>
  <c r="DN18" i="29"/>
  <c r="DB22" i="29"/>
  <c r="DB78" i="29"/>
  <c r="DB30" i="29"/>
  <c r="DN31" i="29"/>
  <c r="DB51" i="29"/>
  <c r="DN30" i="29"/>
  <c r="DB49" i="29"/>
  <c r="DN51" i="29"/>
  <c r="DB52" i="29"/>
  <c r="DN55" i="29"/>
  <c r="DB56" i="29"/>
  <c r="DN59" i="29"/>
  <c r="DB60" i="29"/>
  <c r="DB24" i="29"/>
  <c r="DN49" i="29"/>
  <c r="DB50" i="29"/>
  <c r="DN52" i="29"/>
  <c r="DB53" i="29"/>
  <c r="DN56" i="29"/>
  <c r="DB57" i="29"/>
  <c r="DN60" i="29"/>
  <c r="DB61" i="29"/>
  <c r="DN24" i="29"/>
  <c r="DN50" i="29"/>
  <c r="DB31" i="29"/>
  <c r="DN53" i="29"/>
  <c r="DB54" i="29"/>
  <c r="DN57" i="29"/>
  <c r="DB58" i="29"/>
  <c r="DN58" i="29"/>
  <c r="DN27" i="29"/>
  <c r="DB33" i="29"/>
  <c r="DN34" i="29"/>
  <c r="DB32" i="29"/>
  <c r="DN68" i="29"/>
  <c r="DB69" i="29"/>
  <c r="DN71" i="29"/>
  <c r="DN25" i="29"/>
  <c r="DN61" i="29"/>
  <c r="DN62" i="29"/>
  <c r="DB63" i="29"/>
  <c r="DN33" i="29"/>
  <c r="DB65" i="29"/>
  <c r="DN32" i="29"/>
  <c r="DB36" i="29"/>
  <c r="DN69" i="29"/>
  <c r="DB70" i="29"/>
  <c r="DB72" i="29"/>
  <c r="DN26" i="29"/>
  <c r="DB15" i="29"/>
  <c r="DB55" i="29"/>
  <c r="DN63" i="29"/>
  <c r="DB64" i="29"/>
  <c r="DN65" i="29"/>
  <c r="DB66" i="29"/>
  <c r="DN36" i="29"/>
  <c r="DB67" i="29"/>
  <c r="DN70" i="29"/>
  <c r="DB35" i="29"/>
  <c r="DN72" i="29"/>
  <c r="DB37" i="29"/>
  <c r="DN54" i="29"/>
  <c r="DB59" i="29"/>
  <c r="DB62" i="29"/>
  <c r="DN64" i="29"/>
  <c r="DB27" i="29"/>
  <c r="DN66" i="29"/>
  <c r="DB34" i="29"/>
  <c r="DN67" i="29"/>
  <c r="DB68" i="29"/>
  <c r="DN35" i="29"/>
  <c r="DB71" i="29"/>
  <c r="DB73" i="29"/>
  <c r="DB74" i="29"/>
  <c r="DN75" i="29"/>
  <c r="DB76" i="29"/>
  <c r="DN80" i="29"/>
  <c r="DB81" i="29"/>
  <c r="DN41" i="29"/>
  <c r="DB82" i="29"/>
  <c r="DN16" i="29"/>
  <c r="DB83" i="29"/>
  <c r="DB26" i="29"/>
  <c r="DN76" i="29"/>
  <c r="DB77" i="29"/>
  <c r="DN81" i="29"/>
  <c r="DB39" i="29"/>
  <c r="DN82" i="29"/>
  <c r="DB21" i="29"/>
  <c r="DN83" i="29"/>
  <c r="DB84" i="29"/>
  <c r="DN38" i="29"/>
  <c r="DB17" i="29"/>
  <c r="DN89" i="29"/>
  <c r="DB90" i="29"/>
  <c r="DN46" i="29"/>
  <c r="DN47" i="29"/>
  <c r="DN28" i="29"/>
  <c r="DN44" i="29"/>
  <c r="DB38" i="29"/>
  <c r="DN77" i="29"/>
  <c r="DB79" i="29"/>
  <c r="DN39" i="29"/>
  <c r="DB40" i="29"/>
  <c r="DN21" i="29"/>
  <c r="DB42" i="29"/>
  <c r="DN84" i="29"/>
  <c r="DB85" i="29"/>
  <c r="DN17" i="29"/>
  <c r="DB28" i="29"/>
  <c r="DN90" i="29"/>
  <c r="DB44" i="29"/>
  <c r="DN48" i="29"/>
  <c r="DN85" i="29"/>
  <c r="DB86" i="29"/>
  <c r="DB87" i="29"/>
  <c r="DB45" i="29"/>
  <c r="DN86" i="29"/>
  <c r="DN37" i="29"/>
  <c r="DB25" i="29"/>
  <c r="DN15" i="29"/>
  <c r="DN73" i="29"/>
  <c r="DN74" i="29"/>
  <c r="DB75" i="29"/>
  <c r="DN79" i="29"/>
  <c r="DB80" i="29"/>
  <c r="DN40" i="29"/>
  <c r="DB41" i="29"/>
  <c r="DN42" i="29"/>
  <c r="DB16" i="29"/>
  <c r="DB89" i="29"/>
  <c r="DB46" i="29"/>
  <c r="DN45" i="29"/>
  <c r="DN87" i="29"/>
  <c r="L26" i="28"/>
  <c r="L30" i="28"/>
  <c r="L34" i="28"/>
  <c r="L38" i="28"/>
  <c r="L42" i="28"/>
  <c r="L46" i="28"/>
  <c r="L33" i="28"/>
  <c r="L45" i="28"/>
  <c r="L27" i="28"/>
  <c r="L31" i="28"/>
  <c r="L35" i="28"/>
  <c r="L39" i="28"/>
  <c r="L43" i="28"/>
  <c r="L23" i="28"/>
  <c r="L25" i="28"/>
  <c r="L37" i="28"/>
  <c r="L24" i="28"/>
  <c r="L28" i="28"/>
  <c r="L32" i="28"/>
  <c r="L36" i="28"/>
  <c r="L40" i="28"/>
  <c r="L44" i="28"/>
  <c r="L29" i="28"/>
  <c r="L41" i="28"/>
  <c r="DC29" i="29"/>
  <c r="DO18" i="29"/>
  <c r="DC22" i="29"/>
  <c r="DC78" i="29"/>
  <c r="DC19" i="29"/>
  <c r="DO22" i="29"/>
  <c r="DO78" i="29"/>
  <c r="DO29" i="29"/>
  <c r="DC18" i="29"/>
  <c r="DC23" i="29"/>
  <c r="DC20" i="29"/>
  <c r="DO19" i="29"/>
  <c r="DO23" i="29"/>
  <c r="DO20" i="29"/>
  <c r="DO24" i="29"/>
  <c r="DO50" i="29"/>
  <c r="DC31" i="29"/>
  <c r="DO53" i="29"/>
  <c r="DC30" i="29"/>
  <c r="DO31" i="29"/>
  <c r="DC51" i="29"/>
  <c r="DO54" i="29"/>
  <c r="DC55" i="29"/>
  <c r="DO58" i="29"/>
  <c r="DC59" i="29"/>
  <c r="DO30" i="29"/>
  <c r="DC49" i="29"/>
  <c r="DO51" i="29"/>
  <c r="DC52" i="29"/>
  <c r="DO55" i="29"/>
  <c r="DC56" i="29"/>
  <c r="DO59" i="29"/>
  <c r="DC60" i="29"/>
  <c r="DC24" i="29"/>
  <c r="DO49" i="29"/>
  <c r="DC50" i="29"/>
  <c r="DO52" i="29"/>
  <c r="DC53" i="29"/>
  <c r="DO56" i="29"/>
  <c r="DC57" i="29"/>
  <c r="DO60" i="29"/>
  <c r="DC61" i="29"/>
  <c r="DC54" i="29"/>
  <c r="DO57" i="29"/>
  <c r="DC62" i="29"/>
  <c r="DO64" i="29"/>
  <c r="DC27" i="29"/>
  <c r="DO66" i="29"/>
  <c r="DC34" i="29"/>
  <c r="DO67" i="29"/>
  <c r="DC68" i="29"/>
  <c r="DO35" i="29"/>
  <c r="DC71" i="29"/>
  <c r="DO37" i="29"/>
  <c r="DC25" i="29"/>
  <c r="DC58" i="29"/>
  <c r="DO27" i="29"/>
  <c r="DC33" i="29"/>
  <c r="DO34" i="29"/>
  <c r="DC32" i="29"/>
  <c r="DO68" i="29"/>
  <c r="DC69" i="29"/>
  <c r="DO71" i="29"/>
  <c r="DO25" i="29"/>
  <c r="DC26" i="29"/>
  <c r="DO61" i="29"/>
  <c r="DO62" i="29"/>
  <c r="DC63" i="29"/>
  <c r="DO33" i="29"/>
  <c r="DC65" i="29"/>
  <c r="DO32" i="29"/>
  <c r="DC36" i="29"/>
  <c r="DO69" i="29"/>
  <c r="DC70" i="29"/>
  <c r="DC72" i="29"/>
  <c r="DO63" i="29"/>
  <c r="DC64" i="29"/>
  <c r="DO65" i="29"/>
  <c r="DC66" i="29"/>
  <c r="DO36" i="29"/>
  <c r="DC67" i="29"/>
  <c r="DO70" i="29"/>
  <c r="DC35" i="29"/>
  <c r="DC37" i="29"/>
  <c r="DC15" i="29"/>
  <c r="DO15" i="29"/>
  <c r="DO73" i="29"/>
  <c r="DO74" i="29"/>
  <c r="DC75" i="29"/>
  <c r="DO79" i="29"/>
  <c r="DC80" i="29"/>
  <c r="DO40" i="29"/>
  <c r="DC41" i="29"/>
  <c r="DO42" i="29"/>
  <c r="DC16" i="29"/>
  <c r="DO85" i="29"/>
  <c r="DC86" i="29"/>
  <c r="DO26" i="29"/>
  <c r="DC73" i="29"/>
  <c r="DC74" i="29"/>
  <c r="DO75" i="29"/>
  <c r="DC76" i="29"/>
  <c r="DO80" i="29"/>
  <c r="DC81" i="29"/>
  <c r="DO41" i="29"/>
  <c r="DC82" i="29"/>
  <c r="DO16" i="29"/>
  <c r="DC83" i="29"/>
  <c r="DO86" i="29"/>
  <c r="DC38" i="29"/>
  <c r="DO87" i="29"/>
  <c r="DC89" i="29"/>
  <c r="DO45" i="29"/>
  <c r="DC46" i="29"/>
  <c r="DC28" i="29"/>
  <c r="DC44" i="29"/>
  <c r="DO47" i="29"/>
  <c r="DO76" i="29"/>
  <c r="DC77" i="29"/>
  <c r="DO81" i="29"/>
  <c r="DC39" i="29"/>
  <c r="DO82" i="29"/>
  <c r="DC21" i="29"/>
  <c r="DO83" i="29"/>
  <c r="DC84" i="29"/>
  <c r="DO38" i="29"/>
  <c r="DC17" i="29"/>
  <c r="DO89" i="29"/>
  <c r="DC90" i="29"/>
  <c r="DO46" i="29"/>
  <c r="DO17" i="29"/>
  <c r="DO90" i="29"/>
  <c r="DO72" i="29"/>
  <c r="DO77" i="29"/>
  <c r="DC79" i="29"/>
  <c r="DO39" i="29"/>
  <c r="DC40" i="29"/>
  <c r="DO21" i="29"/>
  <c r="DC42" i="29"/>
  <c r="DO84" i="29"/>
  <c r="DC85" i="29"/>
  <c r="DC45" i="29"/>
  <c r="DC87" i="29"/>
  <c r="DO44" i="29"/>
  <c r="DO28" i="29"/>
  <c r="DO48" i="29"/>
  <c r="Q8" i="27"/>
  <c r="Q6" i="27" s="1"/>
  <c r="K9" i="27"/>
  <c r="K10" i="27" s="1"/>
  <c r="K24" i="27"/>
  <c r="Q24" i="27" s="1"/>
  <c r="P10" i="5"/>
  <c r="K12" i="5"/>
  <c r="O12" i="5" s="1"/>
  <c r="P19" i="5"/>
  <c r="P23" i="5"/>
  <c r="P31" i="5"/>
  <c r="CT29" i="29"/>
  <c r="DM29" i="29"/>
  <c r="DA18" i="29"/>
  <c r="DA23" i="29"/>
  <c r="DA20" i="29"/>
  <c r="CT19" i="29"/>
  <c r="DM19" i="29"/>
  <c r="DM23" i="29"/>
  <c r="CT22" i="29"/>
  <c r="DM20" i="29"/>
  <c r="CT78" i="29"/>
  <c r="DA29" i="29"/>
  <c r="CT18" i="29"/>
  <c r="DM18" i="29"/>
  <c r="DA22" i="29"/>
  <c r="DA78" i="29"/>
  <c r="DA19" i="29"/>
  <c r="CT23" i="29"/>
  <c r="DM22" i="29"/>
  <c r="CT20" i="29"/>
  <c r="DM78" i="29"/>
  <c r="CT47" i="29"/>
  <c r="CT49" i="29"/>
  <c r="CT52" i="29"/>
  <c r="CT56" i="29"/>
  <c r="CT60" i="29"/>
  <c r="CT64" i="29"/>
  <c r="CT66" i="29"/>
  <c r="CT67" i="29"/>
  <c r="CT35" i="29"/>
  <c r="CT37" i="29"/>
  <c r="CT73" i="29"/>
  <c r="CT77" i="29"/>
  <c r="CT39" i="29"/>
  <c r="CT21" i="29"/>
  <c r="CT84" i="29"/>
  <c r="CT17" i="29"/>
  <c r="CT90" i="29"/>
  <c r="CT48" i="29"/>
  <c r="CT24" i="29"/>
  <c r="CT50" i="29"/>
  <c r="CT53" i="29"/>
  <c r="CT57" i="29"/>
  <c r="CT61" i="29"/>
  <c r="CT27" i="29"/>
  <c r="CT34" i="29"/>
  <c r="CT68" i="29"/>
  <c r="CT71" i="29"/>
  <c r="CT25" i="29"/>
  <c r="CT74" i="29"/>
  <c r="CT79" i="29"/>
  <c r="CT40" i="29"/>
  <c r="CT42" i="29"/>
  <c r="CT85" i="29"/>
  <c r="CT28" i="29"/>
  <c r="CT44" i="29"/>
  <c r="CT31" i="29"/>
  <c r="CT54" i="29"/>
  <c r="CT58" i="29"/>
  <c r="CT62" i="29"/>
  <c r="CT33" i="29"/>
  <c r="CT32" i="29"/>
  <c r="CT69" i="29"/>
  <c r="CT26" i="29"/>
  <c r="CT75" i="29"/>
  <c r="CT80" i="29"/>
  <c r="CT41" i="29"/>
  <c r="CT16" i="29"/>
  <c r="CT86" i="29"/>
  <c r="CT87" i="29"/>
  <c r="CT45" i="29"/>
  <c r="CT30" i="29"/>
  <c r="CT51" i="29"/>
  <c r="CT55" i="29"/>
  <c r="CT59" i="29"/>
  <c r="CT63" i="29"/>
  <c r="CT65" i="29"/>
  <c r="CT36" i="29"/>
  <c r="CT70" i="29"/>
  <c r="CT72" i="29"/>
  <c r="CT15" i="29"/>
  <c r="CT76" i="29"/>
  <c r="CT81" i="29"/>
  <c r="CT82" i="29"/>
  <c r="CT83" i="29"/>
  <c r="CT38" i="29"/>
  <c r="CT89" i="29"/>
  <c r="CT46" i="29"/>
  <c r="DM30" i="29"/>
  <c r="DA49" i="29"/>
  <c r="DM51" i="29"/>
  <c r="DA52" i="29"/>
  <c r="DA24" i="29"/>
  <c r="DM49" i="29"/>
  <c r="DA50" i="29"/>
  <c r="DM52" i="29"/>
  <c r="DA53" i="29"/>
  <c r="DM56" i="29"/>
  <c r="DA57" i="29"/>
  <c r="DM60" i="29"/>
  <c r="DA61" i="29"/>
  <c r="DM24" i="29"/>
  <c r="DM50" i="29"/>
  <c r="DA31" i="29"/>
  <c r="DM53" i="29"/>
  <c r="DA54" i="29"/>
  <c r="DM57" i="29"/>
  <c r="DA58" i="29"/>
  <c r="DM61" i="29"/>
  <c r="DA62" i="29"/>
  <c r="DA30" i="29"/>
  <c r="DM31" i="29"/>
  <c r="DA51" i="29"/>
  <c r="DM54" i="29"/>
  <c r="DA55" i="29"/>
  <c r="DM58" i="29"/>
  <c r="DA59" i="29"/>
  <c r="DM62" i="29"/>
  <c r="DA63" i="29"/>
  <c r="DM33" i="29"/>
  <c r="DA65" i="29"/>
  <c r="DM32" i="29"/>
  <c r="DA36" i="29"/>
  <c r="DM69" i="29"/>
  <c r="DA70" i="29"/>
  <c r="DA72" i="29"/>
  <c r="DM55" i="29"/>
  <c r="DM63" i="29"/>
  <c r="DA64" i="29"/>
  <c r="DM65" i="29"/>
  <c r="DA66" i="29"/>
  <c r="DM36" i="29"/>
  <c r="DA67" i="29"/>
  <c r="DM70" i="29"/>
  <c r="DA35" i="29"/>
  <c r="DM72" i="29"/>
  <c r="DA37" i="29"/>
  <c r="DM15" i="29"/>
  <c r="DA73" i="29"/>
  <c r="DA56" i="29"/>
  <c r="DM59" i="29"/>
  <c r="DM64" i="29"/>
  <c r="DA27" i="29"/>
  <c r="DM66" i="29"/>
  <c r="DA34" i="29"/>
  <c r="DM67" i="29"/>
  <c r="DA68" i="29"/>
  <c r="DM35" i="29"/>
  <c r="DA71" i="29"/>
  <c r="DM37" i="29"/>
  <c r="DA60" i="29"/>
  <c r="DM27" i="29"/>
  <c r="DA33" i="29"/>
  <c r="DM34" i="29"/>
  <c r="DA32" i="29"/>
  <c r="DM68" i="29"/>
  <c r="DA69" i="29"/>
  <c r="DM71" i="29"/>
  <c r="DM25" i="29"/>
  <c r="DA26" i="29"/>
  <c r="DM26" i="29"/>
  <c r="DM76" i="29"/>
  <c r="DA77" i="29"/>
  <c r="DM81" i="29"/>
  <c r="DA39" i="29"/>
  <c r="DM82" i="29"/>
  <c r="DA21" i="29"/>
  <c r="DM83" i="29"/>
  <c r="DA84" i="29"/>
  <c r="DM77" i="29"/>
  <c r="DA79" i="29"/>
  <c r="DM39" i="29"/>
  <c r="DA40" i="29"/>
  <c r="DM21" i="29"/>
  <c r="DA42" i="29"/>
  <c r="DM84" i="29"/>
  <c r="DA85" i="29"/>
  <c r="DM17" i="29"/>
  <c r="DA28" i="29"/>
  <c r="DM90" i="29"/>
  <c r="DA44" i="29"/>
  <c r="DM47" i="29"/>
  <c r="DM38" i="29"/>
  <c r="DA17" i="29"/>
  <c r="DA25" i="29"/>
  <c r="DM73" i="29"/>
  <c r="DM74" i="29"/>
  <c r="DA75" i="29"/>
  <c r="DM79" i="29"/>
  <c r="DA80" i="29"/>
  <c r="DM40" i="29"/>
  <c r="DA41" i="29"/>
  <c r="DM42" i="29"/>
  <c r="DA16" i="29"/>
  <c r="DM85" i="29"/>
  <c r="DA86" i="29"/>
  <c r="DM28" i="29"/>
  <c r="DA87" i="29"/>
  <c r="DM44" i="29"/>
  <c r="DA45" i="29"/>
  <c r="DM86" i="29"/>
  <c r="DA38" i="29"/>
  <c r="DM87" i="29"/>
  <c r="DA89" i="29"/>
  <c r="DM45" i="29"/>
  <c r="DA46" i="29"/>
  <c r="DA15" i="29"/>
  <c r="DA74" i="29"/>
  <c r="DM75" i="29"/>
  <c r="DA76" i="29"/>
  <c r="DM80" i="29"/>
  <c r="DA81" i="29"/>
  <c r="DM41" i="29"/>
  <c r="DA82" i="29"/>
  <c r="DM16" i="29"/>
  <c r="DA83" i="29"/>
  <c r="DM89" i="29"/>
  <c r="DA90" i="29"/>
  <c r="DM46" i="29"/>
  <c r="DM48" i="29"/>
  <c r="J33" i="19"/>
  <c r="J35" i="19" s="1"/>
  <c r="J55" i="19" s="1"/>
  <c r="L13" i="14"/>
  <c r="I86" i="22"/>
  <c r="CU29" i="29"/>
  <c r="DQ29" i="29"/>
  <c r="DE18" i="29"/>
  <c r="DE23" i="29"/>
  <c r="DE20" i="29"/>
  <c r="CU47" i="29"/>
  <c r="CU49" i="29"/>
  <c r="CU52" i="29"/>
  <c r="CU56" i="29"/>
  <c r="CU60" i="29"/>
  <c r="CU64" i="29"/>
  <c r="CU66" i="29"/>
  <c r="CU67" i="29"/>
  <c r="CU35" i="29"/>
  <c r="CU37" i="29"/>
  <c r="CU73" i="29"/>
  <c r="CU77" i="29"/>
  <c r="CU39" i="29"/>
  <c r="CU21" i="29"/>
  <c r="CU84" i="29"/>
  <c r="CU17" i="29"/>
  <c r="CU90" i="29"/>
  <c r="CU48" i="29"/>
  <c r="CU19" i="29"/>
  <c r="DQ19" i="29"/>
  <c r="DQ23" i="29"/>
  <c r="CU22" i="29"/>
  <c r="DQ20" i="29"/>
  <c r="CU78" i="29"/>
  <c r="CU24" i="29"/>
  <c r="CU50" i="29"/>
  <c r="CU53" i="29"/>
  <c r="CU57" i="29"/>
  <c r="CU61" i="29"/>
  <c r="CU27" i="29"/>
  <c r="CU34" i="29"/>
  <c r="CU68" i="29"/>
  <c r="CU71" i="29"/>
  <c r="CU25" i="29"/>
  <c r="CU74" i="29"/>
  <c r="CU79" i="29"/>
  <c r="CU40" i="29"/>
  <c r="CU42" i="29"/>
  <c r="CU85" i="29"/>
  <c r="CU28" i="29"/>
  <c r="CU44" i="29"/>
  <c r="DE29" i="29"/>
  <c r="CU18" i="29"/>
  <c r="DQ18" i="29"/>
  <c r="DE22" i="29"/>
  <c r="DE78" i="29"/>
  <c r="CU31" i="29"/>
  <c r="CU54" i="29"/>
  <c r="CU58" i="29"/>
  <c r="CU62" i="29"/>
  <c r="CU33" i="29"/>
  <c r="CU32" i="29"/>
  <c r="CU69" i="29"/>
  <c r="CU26" i="29"/>
  <c r="CU75" i="29"/>
  <c r="CU80" i="29"/>
  <c r="CU41" i="29"/>
  <c r="CU16" i="29"/>
  <c r="CU86" i="29"/>
  <c r="DE19" i="29"/>
  <c r="CU23" i="29"/>
  <c r="DQ22" i="29"/>
  <c r="CU20" i="29"/>
  <c r="DQ78" i="29"/>
  <c r="CU30" i="29"/>
  <c r="CU51" i="29"/>
  <c r="CU55" i="29"/>
  <c r="CU59" i="29"/>
  <c r="CU63" i="29"/>
  <c r="CU65" i="29"/>
  <c r="CU36" i="29"/>
  <c r="CU70" i="29"/>
  <c r="CU72" i="29"/>
  <c r="CU15" i="29"/>
  <c r="CU76" i="29"/>
  <c r="CU81" i="29"/>
  <c r="CU82" i="29"/>
  <c r="CU83" i="29"/>
  <c r="CU38" i="29"/>
  <c r="CU89" i="29"/>
  <c r="CU46" i="29"/>
  <c r="CU87" i="29"/>
  <c r="CU45" i="29"/>
  <c r="DQ30" i="29"/>
  <c r="DE49" i="29"/>
  <c r="DQ51" i="29"/>
  <c r="DE52" i="29"/>
  <c r="DE24" i="29"/>
  <c r="DQ49" i="29"/>
  <c r="DE50" i="29"/>
  <c r="DQ52" i="29"/>
  <c r="DE53" i="29"/>
  <c r="DQ56" i="29"/>
  <c r="DE57" i="29"/>
  <c r="DQ60" i="29"/>
  <c r="DE61" i="29"/>
  <c r="DQ24" i="29"/>
  <c r="DQ50" i="29"/>
  <c r="DE31" i="29"/>
  <c r="DQ53" i="29"/>
  <c r="DE54" i="29"/>
  <c r="DQ57" i="29"/>
  <c r="DE58" i="29"/>
  <c r="DQ61" i="29"/>
  <c r="DE62" i="29"/>
  <c r="DE30" i="29"/>
  <c r="DQ31" i="29"/>
  <c r="DE51" i="29"/>
  <c r="DQ54" i="29"/>
  <c r="DE55" i="29"/>
  <c r="DQ58" i="29"/>
  <c r="DE59" i="29"/>
  <c r="DE60" i="29"/>
  <c r="DQ62" i="29"/>
  <c r="DE63" i="29"/>
  <c r="DQ33" i="29"/>
  <c r="DE65" i="29"/>
  <c r="DQ32" i="29"/>
  <c r="DE36" i="29"/>
  <c r="DQ69" i="29"/>
  <c r="DE70" i="29"/>
  <c r="DE72" i="29"/>
  <c r="DQ63" i="29"/>
  <c r="DE64" i="29"/>
  <c r="DQ65" i="29"/>
  <c r="DE66" i="29"/>
  <c r="DQ36" i="29"/>
  <c r="DE67" i="29"/>
  <c r="DQ70" i="29"/>
  <c r="DE35" i="29"/>
  <c r="DQ72" i="29"/>
  <c r="DE37" i="29"/>
  <c r="DQ15" i="29"/>
  <c r="DE73" i="29"/>
  <c r="DQ55" i="29"/>
  <c r="DQ64" i="29"/>
  <c r="DE27" i="29"/>
  <c r="DQ66" i="29"/>
  <c r="DE34" i="29"/>
  <c r="DQ67" i="29"/>
  <c r="DE68" i="29"/>
  <c r="DQ35" i="29"/>
  <c r="DE71" i="29"/>
  <c r="DQ37" i="29"/>
  <c r="DE56" i="29"/>
  <c r="DQ59" i="29"/>
  <c r="DQ27" i="29"/>
  <c r="DE33" i="29"/>
  <c r="DQ34" i="29"/>
  <c r="DE32" i="29"/>
  <c r="DQ68" i="29"/>
  <c r="DE69" i="29"/>
  <c r="DQ71" i="29"/>
  <c r="DE25" i="29"/>
  <c r="DQ76" i="29"/>
  <c r="DE77" i="29"/>
  <c r="DQ81" i="29"/>
  <c r="DE39" i="29"/>
  <c r="DQ82" i="29"/>
  <c r="DE21" i="29"/>
  <c r="DQ83" i="29"/>
  <c r="DE84" i="29"/>
  <c r="DQ73" i="29"/>
  <c r="DQ77" i="29"/>
  <c r="DE79" i="29"/>
  <c r="DQ39" i="29"/>
  <c r="DE40" i="29"/>
  <c r="DQ21" i="29"/>
  <c r="DE42" i="29"/>
  <c r="DQ84" i="29"/>
  <c r="DE85" i="29"/>
  <c r="DQ17" i="29"/>
  <c r="DE28" i="29"/>
  <c r="DQ90" i="29"/>
  <c r="DE44" i="29"/>
  <c r="DQ87" i="29"/>
  <c r="DE46" i="29"/>
  <c r="DE17" i="29"/>
  <c r="DQ25" i="29"/>
  <c r="DE15" i="29"/>
  <c r="DE74" i="29"/>
  <c r="DQ74" i="29"/>
  <c r="DE75" i="29"/>
  <c r="DQ79" i="29"/>
  <c r="DE80" i="29"/>
  <c r="DQ40" i="29"/>
  <c r="DE41" i="29"/>
  <c r="DQ42" i="29"/>
  <c r="DE16" i="29"/>
  <c r="DQ85" i="29"/>
  <c r="DE86" i="29"/>
  <c r="DQ28" i="29"/>
  <c r="DE87" i="29"/>
  <c r="DQ44" i="29"/>
  <c r="DE45" i="29"/>
  <c r="DQ86" i="29"/>
  <c r="DE38" i="29"/>
  <c r="DE89" i="29"/>
  <c r="DQ45" i="29"/>
  <c r="DQ47" i="29"/>
  <c r="DQ38" i="29"/>
  <c r="DE26" i="29"/>
  <c r="DQ26" i="29"/>
  <c r="DQ75" i="29"/>
  <c r="DE76" i="29"/>
  <c r="DQ80" i="29"/>
  <c r="DE81" i="29"/>
  <c r="DQ41" i="29"/>
  <c r="DE82" i="29"/>
  <c r="DQ16" i="29"/>
  <c r="DE83" i="29"/>
  <c r="DQ48" i="29"/>
  <c r="DQ89" i="29"/>
  <c r="DQ46" i="29"/>
  <c r="DE90" i="29"/>
  <c r="DE48" i="29"/>
  <c r="DE47" i="29"/>
  <c r="DP19" i="29"/>
  <c r="DP23" i="29"/>
  <c r="DP20" i="29"/>
  <c r="DD29" i="29"/>
  <c r="DP18" i="29"/>
  <c r="DD22" i="29"/>
  <c r="DD78" i="29"/>
  <c r="DD19" i="29"/>
  <c r="DP22" i="29"/>
  <c r="DP78" i="29"/>
  <c r="DP29" i="29"/>
  <c r="DD18" i="29"/>
  <c r="DD23" i="29"/>
  <c r="DD20" i="29"/>
  <c r="DD24" i="29"/>
  <c r="DP49" i="29"/>
  <c r="DD50" i="29"/>
  <c r="DP52" i="29"/>
  <c r="DD53" i="29"/>
  <c r="DP24" i="29"/>
  <c r="DP50" i="29"/>
  <c r="DD31" i="29"/>
  <c r="DP53" i="29"/>
  <c r="DD54" i="29"/>
  <c r="DP57" i="29"/>
  <c r="DD58" i="29"/>
  <c r="DP61" i="29"/>
  <c r="DD62" i="29"/>
  <c r="DD30" i="29"/>
  <c r="DP31" i="29"/>
  <c r="DD51" i="29"/>
  <c r="DP54" i="29"/>
  <c r="DD55" i="29"/>
  <c r="DP58" i="29"/>
  <c r="DD59" i="29"/>
  <c r="DP30" i="29"/>
  <c r="DD49" i="29"/>
  <c r="DP51" i="29"/>
  <c r="DD52" i="29"/>
  <c r="DP55" i="29"/>
  <c r="DD56" i="29"/>
  <c r="DP59" i="29"/>
  <c r="DD60" i="29"/>
  <c r="DD57" i="29"/>
  <c r="DP60" i="29"/>
  <c r="DP63" i="29"/>
  <c r="DD64" i="29"/>
  <c r="DP65" i="29"/>
  <c r="DD66" i="29"/>
  <c r="DP36" i="29"/>
  <c r="DD67" i="29"/>
  <c r="DP70" i="29"/>
  <c r="DD35" i="29"/>
  <c r="DP72" i="29"/>
  <c r="DD37" i="29"/>
  <c r="DD61" i="29"/>
  <c r="DP64" i="29"/>
  <c r="DD27" i="29"/>
  <c r="DP66" i="29"/>
  <c r="DD34" i="29"/>
  <c r="DP67" i="29"/>
  <c r="DD68" i="29"/>
  <c r="DP35" i="29"/>
  <c r="DD71" i="29"/>
  <c r="DP37" i="29"/>
  <c r="DD25" i="29"/>
  <c r="DP73" i="29"/>
  <c r="DD74" i="29"/>
  <c r="DP27" i="29"/>
  <c r="DD33" i="29"/>
  <c r="DP34" i="29"/>
  <c r="DD32" i="29"/>
  <c r="DP68" i="29"/>
  <c r="DD69" i="29"/>
  <c r="DP71" i="29"/>
  <c r="DP56" i="29"/>
  <c r="DP62" i="29"/>
  <c r="DD63" i="29"/>
  <c r="DP33" i="29"/>
  <c r="DD65" i="29"/>
  <c r="DP32" i="29"/>
  <c r="DD36" i="29"/>
  <c r="DP69" i="29"/>
  <c r="DD70" i="29"/>
  <c r="DD72" i="29"/>
  <c r="DP77" i="29"/>
  <c r="DD79" i="29"/>
  <c r="DP39" i="29"/>
  <c r="DD40" i="29"/>
  <c r="DP21" i="29"/>
  <c r="DD42" i="29"/>
  <c r="DP84" i="29"/>
  <c r="DD85" i="29"/>
  <c r="DP25" i="29"/>
  <c r="DD15" i="29"/>
  <c r="DP15" i="29"/>
  <c r="DP74" i="29"/>
  <c r="DD75" i="29"/>
  <c r="DP79" i="29"/>
  <c r="DD80" i="29"/>
  <c r="DP40" i="29"/>
  <c r="DD41" i="29"/>
  <c r="DP42" i="29"/>
  <c r="DD16" i="29"/>
  <c r="DP85" i="29"/>
  <c r="DD86" i="29"/>
  <c r="DP28" i="29"/>
  <c r="DD87" i="29"/>
  <c r="DP44" i="29"/>
  <c r="DD45" i="29"/>
  <c r="DP47" i="29"/>
  <c r="DP89" i="29"/>
  <c r="DD90" i="29"/>
  <c r="DD26" i="29"/>
  <c r="DP26" i="29"/>
  <c r="DD73" i="29"/>
  <c r="DP75" i="29"/>
  <c r="DD76" i="29"/>
  <c r="DP80" i="29"/>
  <c r="DD81" i="29"/>
  <c r="DP41" i="29"/>
  <c r="DD82" i="29"/>
  <c r="DP16" i="29"/>
  <c r="DD83" i="29"/>
  <c r="DP86" i="29"/>
  <c r="DD38" i="29"/>
  <c r="DP87" i="29"/>
  <c r="DD89" i="29"/>
  <c r="DP45" i="29"/>
  <c r="DD46" i="29"/>
  <c r="DP48" i="29"/>
  <c r="DP38" i="29"/>
  <c r="DD17" i="29"/>
  <c r="DP46" i="29"/>
  <c r="DP17" i="29"/>
  <c r="DP76" i="29"/>
  <c r="DD77" i="29"/>
  <c r="DP81" i="29"/>
  <c r="DD39" i="29"/>
  <c r="DP82" i="29"/>
  <c r="DD21" i="29"/>
  <c r="DP83" i="29"/>
  <c r="DD84" i="29"/>
  <c r="DP90" i="29"/>
  <c r="DD28" i="29"/>
  <c r="DD44" i="29"/>
  <c r="DD48" i="29"/>
  <c r="DD47" i="29"/>
  <c r="DJ29" i="29"/>
  <c r="DJ19" i="29"/>
  <c r="DJ18" i="29"/>
  <c r="DJ22" i="29"/>
  <c r="CX78" i="29"/>
  <c r="DJ49" i="29"/>
  <c r="CX31" i="29"/>
  <c r="DJ52" i="29"/>
  <c r="CX54" i="29"/>
  <c r="DJ56" i="29"/>
  <c r="CX58" i="29"/>
  <c r="DJ60" i="29"/>
  <c r="CX62" i="29"/>
  <c r="DJ64" i="29"/>
  <c r="CX33" i="29"/>
  <c r="DJ66" i="29"/>
  <c r="CX32" i="29"/>
  <c r="DJ67" i="29"/>
  <c r="CX69" i="29"/>
  <c r="DJ35" i="29"/>
  <c r="DJ37" i="29"/>
  <c r="CX26" i="29"/>
  <c r="DJ73" i="29"/>
  <c r="CX75" i="29"/>
  <c r="DJ77" i="29"/>
  <c r="CX80" i="29"/>
  <c r="DJ39" i="29"/>
  <c r="CX41" i="29"/>
  <c r="DJ21" i="29"/>
  <c r="CX16" i="29"/>
  <c r="DJ84" i="29"/>
  <c r="CX86" i="29"/>
  <c r="DJ17" i="29"/>
  <c r="CX87" i="29"/>
  <c r="DJ90" i="29"/>
  <c r="CX45" i="29"/>
  <c r="CX19" i="29"/>
  <c r="CX23" i="29"/>
  <c r="DJ20" i="29"/>
  <c r="CX24" i="29"/>
  <c r="CX50" i="29"/>
  <c r="CX53" i="29"/>
  <c r="CX57" i="29"/>
  <c r="CX61" i="29"/>
  <c r="CX27" i="29"/>
  <c r="CX34" i="29"/>
  <c r="CX68" i="29"/>
  <c r="CX71" i="29"/>
  <c r="CX25" i="29"/>
  <c r="CX74" i="29"/>
  <c r="CX79" i="29"/>
  <c r="CX40" i="29"/>
  <c r="CX42" i="29"/>
  <c r="CX85" i="29"/>
  <c r="CX28" i="29"/>
  <c r="CX44" i="29"/>
  <c r="DJ23" i="29"/>
  <c r="CX20" i="29"/>
  <c r="DJ24" i="29"/>
  <c r="CX30" i="29"/>
  <c r="DJ50" i="29"/>
  <c r="CX51" i="29"/>
  <c r="DJ53" i="29"/>
  <c r="CX55" i="29"/>
  <c r="DJ57" i="29"/>
  <c r="CX59" i="29"/>
  <c r="DJ61" i="29"/>
  <c r="CX63" i="29"/>
  <c r="DJ27" i="29"/>
  <c r="CX65" i="29"/>
  <c r="DJ34" i="29"/>
  <c r="CX36" i="29"/>
  <c r="DJ68" i="29"/>
  <c r="CX70" i="29"/>
  <c r="DJ71" i="29"/>
  <c r="CX72" i="29"/>
  <c r="DJ25" i="29"/>
  <c r="CX15" i="29"/>
  <c r="DJ74" i="29"/>
  <c r="CX76" i="29"/>
  <c r="DJ79" i="29"/>
  <c r="CX81" i="29"/>
  <c r="DJ40" i="29"/>
  <c r="CX82" i="29"/>
  <c r="DJ42" i="29"/>
  <c r="CX83" i="29"/>
  <c r="DJ85" i="29"/>
  <c r="CX38" i="29"/>
  <c r="DJ28" i="29"/>
  <c r="CX89" i="29"/>
  <c r="DJ44" i="29"/>
  <c r="CX46" i="29"/>
  <c r="DJ48" i="29"/>
  <c r="CX29" i="29"/>
  <c r="CX18" i="29"/>
  <c r="DJ30" i="29"/>
  <c r="DJ51" i="29"/>
  <c r="DJ55" i="29"/>
  <c r="DJ59" i="29"/>
  <c r="DJ63" i="29"/>
  <c r="DJ65" i="29"/>
  <c r="DJ36" i="29"/>
  <c r="DJ70" i="29"/>
  <c r="DJ72" i="29"/>
  <c r="DJ15" i="29"/>
  <c r="DJ76" i="29"/>
  <c r="DJ81" i="29"/>
  <c r="DJ82" i="29"/>
  <c r="DJ83" i="29"/>
  <c r="DJ38" i="29"/>
  <c r="DJ89" i="29"/>
  <c r="DJ46" i="29"/>
  <c r="CX22" i="29"/>
  <c r="CX52" i="29"/>
  <c r="CX60" i="29"/>
  <c r="CX66" i="29"/>
  <c r="CX35" i="29"/>
  <c r="CX73" i="29"/>
  <c r="CX39" i="29"/>
  <c r="CX84" i="29"/>
  <c r="CX90" i="29"/>
  <c r="CX49" i="29"/>
  <c r="CX56" i="29"/>
  <c r="CX64" i="29"/>
  <c r="CX67" i="29"/>
  <c r="CX37" i="29"/>
  <c r="CX77" i="29"/>
  <c r="CX21" i="29"/>
  <c r="CX17" i="29"/>
  <c r="DJ47" i="29"/>
  <c r="DJ78" i="29"/>
  <c r="DJ54" i="29"/>
  <c r="DJ62" i="29"/>
  <c r="DJ32" i="29"/>
  <c r="DJ75" i="29"/>
  <c r="DJ41" i="29"/>
  <c r="DJ86" i="29"/>
  <c r="DJ45" i="29"/>
  <c r="DJ31" i="29"/>
  <c r="DJ58" i="29"/>
  <c r="DJ33" i="29"/>
  <c r="DJ69" i="29"/>
  <c r="DJ26" i="29"/>
  <c r="DJ80" i="29"/>
  <c r="DJ16" i="29"/>
  <c r="DJ87" i="29"/>
  <c r="CX47" i="29"/>
  <c r="CX48" i="29"/>
  <c r="CY23" i="29"/>
  <c r="CY22" i="29"/>
  <c r="CR31" i="29"/>
  <c r="CR54" i="29"/>
  <c r="CR58" i="29"/>
  <c r="CR62" i="29"/>
  <c r="CR33" i="29"/>
  <c r="CR32" i="29"/>
  <c r="CR69" i="29"/>
  <c r="CR26" i="29"/>
  <c r="CR75" i="29"/>
  <c r="CR80" i="29"/>
  <c r="CR41" i="29"/>
  <c r="CR16" i="29"/>
  <c r="CR86" i="29"/>
  <c r="CR87" i="29"/>
  <c r="CR45" i="29"/>
  <c r="DK30" i="29"/>
  <c r="CY31" i="29"/>
  <c r="DK51" i="29"/>
  <c r="CY54" i="29"/>
  <c r="DK55" i="29"/>
  <c r="CY58" i="29"/>
  <c r="DK59" i="29"/>
  <c r="CY62" i="29"/>
  <c r="DK63" i="29"/>
  <c r="CY33" i="29"/>
  <c r="DK65" i="29"/>
  <c r="CY32" i="29"/>
  <c r="DK36" i="29"/>
  <c r="CY69" i="29"/>
  <c r="DK70" i="29"/>
  <c r="DK72" i="29"/>
  <c r="CY26" i="29"/>
  <c r="DK15" i="29"/>
  <c r="CY75" i="29"/>
  <c r="DK76" i="29"/>
  <c r="CY80" i="29"/>
  <c r="DK81" i="29"/>
  <c r="CY41" i="29"/>
  <c r="DK82" i="29"/>
  <c r="CY16" i="29"/>
  <c r="DK83" i="29"/>
  <c r="CY86" i="29"/>
  <c r="DK38" i="29"/>
  <c r="CY87" i="29"/>
  <c r="DK89" i="29"/>
  <c r="CY45" i="29"/>
  <c r="DK46" i="29"/>
  <c r="DK48" i="29"/>
  <c r="CY40" i="29"/>
  <c r="DK86" i="29"/>
  <c r="CY44" i="29"/>
  <c r="CR23" i="29"/>
  <c r="CR22" i="29"/>
  <c r="DK78" i="29"/>
  <c r="CR30" i="29"/>
  <c r="CR51" i="29"/>
  <c r="CR55" i="29"/>
  <c r="CR59" i="29"/>
  <c r="CR63" i="29"/>
  <c r="CR65" i="29"/>
  <c r="CR36" i="29"/>
  <c r="CR70" i="29"/>
  <c r="CR72" i="29"/>
  <c r="CR15" i="29"/>
  <c r="CR76" i="29"/>
  <c r="CR81" i="29"/>
  <c r="CR82" i="29"/>
  <c r="CR83" i="29"/>
  <c r="CR38" i="29"/>
  <c r="CR89" i="29"/>
  <c r="CR46" i="29"/>
  <c r="CY30" i="29"/>
  <c r="DK49" i="29"/>
  <c r="CY51" i="29"/>
  <c r="DK52" i="29"/>
  <c r="CY55" i="29"/>
  <c r="DK56" i="29"/>
  <c r="CY59" i="29"/>
  <c r="DK60" i="29"/>
  <c r="CY63" i="29"/>
  <c r="DK64" i="29"/>
  <c r="CY65" i="29"/>
  <c r="DK66" i="29"/>
  <c r="CY36" i="29"/>
  <c r="DK67" i="29"/>
  <c r="CY70" i="29"/>
  <c r="DK35" i="29"/>
  <c r="CY72" i="29"/>
  <c r="DK37" i="29"/>
  <c r="CY15" i="29"/>
  <c r="DK73" i="29"/>
  <c r="CY76" i="29"/>
  <c r="DK77" i="29"/>
  <c r="CY81" i="29"/>
  <c r="DK39" i="29"/>
  <c r="CY82" i="29"/>
  <c r="DK21" i="29"/>
  <c r="CY83" i="29"/>
  <c r="DK84" i="29"/>
  <c r="CY38" i="29"/>
  <c r="DK17" i="29"/>
  <c r="CY89" i="29"/>
  <c r="DK90" i="29"/>
  <c r="CY46" i="29"/>
  <c r="DK47" i="29"/>
  <c r="DK42" i="29"/>
  <c r="CY84" i="29"/>
  <c r="DK28" i="29"/>
  <c r="CY90" i="29"/>
  <c r="DK41" i="29"/>
  <c r="CY85" i="29"/>
  <c r="DK87" i="29"/>
  <c r="CR20" i="29"/>
  <c r="CY20" i="29"/>
  <c r="DK20" i="29"/>
  <c r="CR78" i="29"/>
  <c r="CY78" i="29"/>
  <c r="CR47" i="29"/>
  <c r="CR49" i="29"/>
  <c r="CR52" i="29"/>
  <c r="CR56" i="29"/>
  <c r="CR60" i="29"/>
  <c r="CR64" i="29"/>
  <c r="CR66" i="29"/>
  <c r="CR67" i="29"/>
  <c r="CR35" i="29"/>
  <c r="CR37" i="29"/>
  <c r="CR73" i="29"/>
  <c r="CR77" i="29"/>
  <c r="CR39" i="29"/>
  <c r="CR21" i="29"/>
  <c r="CR84" i="29"/>
  <c r="CR17" i="29"/>
  <c r="CR90" i="29"/>
  <c r="CR48" i="29"/>
  <c r="DK24" i="29"/>
  <c r="CY49" i="29"/>
  <c r="DK50" i="29"/>
  <c r="CY52" i="29"/>
  <c r="DK53" i="29"/>
  <c r="CY56" i="29"/>
  <c r="DK57" i="29"/>
  <c r="CY60" i="29"/>
  <c r="DK61" i="29"/>
  <c r="CY64" i="29"/>
  <c r="DK27" i="29"/>
  <c r="CY66" i="29"/>
  <c r="DK34" i="29"/>
  <c r="CY67" i="29"/>
  <c r="DK68" i="29"/>
  <c r="CY35" i="29"/>
  <c r="DK71" i="29"/>
  <c r="CY37" i="29"/>
  <c r="DK25" i="29"/>
  <c r="CY73" i="29"/>
  <c r="DK74" i="29"/>
  <c r="CY77" i="29"/>
  <c r="DK79" i="29"/>
  <c r="CY39" i="29"/>
  <c r="DK40" i="29"/>
  <c r="CY21" i="29"/>
  <c r="DK85" i="29"/>
  <c r="CY17" i="29"/>
  <c r="DK44" i="29"/>
  <c r="CY79" i="29"/>
  <c r="DK16" i="29"/>
  <c r="DK45" i="29"/>
  <c r="DK23" i="29"/>
  <c r="DK22" i="29"/>
  <c r="CR50" i="29"/>
  <c r="CR53" i="29"/>
  <c r="CR57" i="29"/>
  <c r="CR61" i="29"/>
  <c r="CR27" i="29"/>
  <c r="CR34" i="29"/>
  <c r="CR68" i="29"/>
  <c r="CR71" i="29"/>
  <c r="CR25" i="29"/>
  <c r="CR74" i="29"/>
  <c r="CR79" i="29"/>
  <c r="CR40" i="29"/>
  <c r="CR42" i="29"/>
  <c r="CR85" i="29"/>
  <c r="CR28" i="29"/>
  <c r="CR44" i="29"/>
  <c r="CY24" i="29"/>
  <c r="CY50" i="29"/>
  <c r="DK31" i="29"/>
  <c r="CY53" i="29"/>
  <c r="DK54" i="29"/>
  <c r="CY57" i="29"/>
  <c r="DK58" i="29"/>
  <c r="CY61" i="29"/>
  <c r="DK62" i="29"/>
  <c r="CY27" i="29"/>
  <c r="DK33" i="29"/>
  <c r="CY34" i="29"/>
  <c r="DK32" i="29"/>
  <c r="CY68" i="29"/>
  <c r="DK69" i="29"/>
  <c r="CY71" i="29"/>
  <c r="CY25" i="29"/>
  <c r="DK26" i="29"/>
  <c r="CY74" i="29"/>
  <c r="DK75" i="29"/>
  <c r="DK80" i="29"/>
  <c r="CY42" i="29"/>
  <c r="CY28" i="29"/>
  <c r="H13" i="13"/>
  <c r="DA48" i="29"/>
  <c r="DA47" i="29"/>
  <c r="P8" i="28"/>
  <c r="P6" i="28" s="1"/>
  <c r="I26" i="28"/>
  <c r="I30" i="28"/>
  <c r="I34" i="28"/>
  <c r="I38" i="28"/>
  <c r="I42" i="28"/>
  <c r="I46" i="28"/>
  <c r="I28" i="28"/>
  <c r="I40" i="28"/>
  <c r="I25" i="28"/>
  <c r="I29" i="28"/>
  <c r="I33" i="28"/>
  <c r="I37" i="28"/>
  <c r="I45" i="28"/>
  <c r="I14" i="28"/>
  <c r="I27" i="28"/>
  <c r="I31" i="28"/>
  <c r="I35" i="28"/>
  <c r="I39" i="28"/>
  <c r="I43" i="28"/>
  <c r="I23" i="28"/>
  <c r="I24" i="28"/>
  <c r="I32" i="28"/>
  <c r="I36" i="28"/>
  <c r="I44" i="28"/>
  <c r="I41" i="28"/>
  <c r="DC47" i="29"/>
  <c r="DC48" i="29"/>
  <c r="I75" i="15"/>
  <c r="I71" i="15"/>
  <c r="I67" i="15"/>
  <c r="I63" i="15"/>
  <c r="I59" i="15"/>
  <c r="I55" i="15"/>
  <c r="I51" i="15"/>
  <c r="I47" i="15"/>
  <c r="I43" i="15"/>
  <c r="I68" i="15"/>
  <c r="I60" i="15"/>
  <c r="I52" i="15"/>
  <c r="I44" i="15"/>
  <c r="I74" i="15"/>
  <c r="I70" i="15"/>
  <c r="I66" i="15"/>
  <c r="I62" i="15"/>
  <c r="I58" i="15"/>
  <c r="I54" i="15"/>
  <c r="I50" i="15"/>
  <c r="I46" i="15"/>
  <c r="I42" i="15"/>
  <c r="I26" i="15"/>
  <c r="I72" i="15"/>
  <c r="I64" i="15"/>
  <c r="I56" i="15"/>
  <c r="I48" i="15"/>
  <c r="I73" i="15"/>
  <c r="I69" i="15"/>
  <c r="I65" i="15"/>
  <c r="I61" i="15"/>
  <c r="I57" i="15"/>
  <c r="I53" i="15"/>
  <c r="I49" i="15"/>
  <c r="I45" i="15"/>
  <c r="F10" i="15"/>
  <c r="DB48" i="29"/>
  <c r="DB47" i="29"/>
  <c r="J111" i="21"/>
  <c r="Q111" i="21" s="1"/>
  <c r="J115" i="21"/>
  <c r="Q115" i="21" s="1"/>
  <c r="Q112" i="21" s="1"/>
  <c r="Q151" i="21"/>
  <c r="J152" i="21"/>
  <c r="Q152" i="21" s="1"/>
  <c r="I15" i="21"/>
  <c r="I16" i="21" s="1"/>
  <c r="I17" i="21" s="1"/>
  <c r="I18" i="21" s="1"/>
  <c r="I19" i="21" s="1"/>
  <c r="P89" i="21"/>
  <c r="P86" i="21" s="1"/>
  <c r="I89" i="21"/>
  <c r="CY47" i="29"/>
  <c r="CY48" i="29"/>
  <c r="J170" i="8"/>
  <c r="L23" i="26"/>
  <c r="L24" i="26"/>
  <c r="I51" i="21"/>
  <c r="I52" i="21" s="1"/>
  <c r="F42" i="26"/>
  <c r="F50" i="26"/>
  <c r="F54" i="26"/>
  <c r="F51" i="26"/>
  <c r="F55" i="26"/>
  <c r="F49" i="26"/>
  <c r="F53" i="26"/>
  <c r="F48" i="26"/>
  <c r="F52" i="26"/>
  <c r="H56" i="26"/>
  <c r="H57" i="26" s="1"/>
  <c r="D17" i="18"/>
  <c r="D41" i="18"/>
  <c r="D45" i="18"/>
  <c r="D49" i="18"/>
  <c r="D44" i="18"/>
  <c r="D22" i="18"/>
  <c r="D42" i="18"/>
  <c r="D46" i="18"/>
  <c r="D50" i="18"/>
  <c r="D48" i="18"/>
  <c r="D43" i="18"/>
  <c r="D47" i="18"/>
  <c r="D51" i="18"/>
  <c r="D52" i="18"/>
  <c r="D38" i="18"/>
  <c r="D23" i="18"/>
  <c r="D31" i="18"/>
  <c r="D35" i="18"/>
  <c r="D39" i="18"/>
  <c r="D30" i="18"/>
  <c r="D27" i="18"/>
  <c r="D24" i="18"/>
  <c r="D28" i="18"/>
  <c r="D32" i="18"/>
  <c r="D36" i="18"/>
  <c r="D40" i="18"/>
  <c r="D34" i="18"/>
  <c r="G39" i="18"/>
  <c r="G41" i="18"/>
  <c r="G45" i="18"/>
  <c r="G49" i="18"/>
  <c r="G44" i="18"/>
  <c r="G42" i="18"/>
  <c r="G46" i="18"/>
  <c r="G50" i="18"/>
  <c r="G48" i="18"/>
  <c r="G43" i="18"/>
  <c r="G47" i="18"/>
  <c r="G51" i="18"/>
  <c r="G40" i="18"/>
  <c r="G52" i="18"/>
  <c r="D25" i="18"/>
  <c r="D29" i="18"/>
  <c r="D33" i="18"/>
  <c r="D37" i="18"/>
  <c r="R35" i="19"/>
  <c r="C13" i="19"/>
  <c r="P28" i="5"/>
  <c r="P6" i="10"/>
  <c r="O19" i="10"/>
  <c r="L27" i="19" s="1"/>
  <c r="P11" i="13"/>
  <c r="L12" i="24"/>
  <c r="E14" i="19" s="1"/>
  <c r="G17" i="18"/>
  <c r="C15" i="19" s="1"/>
  <c r="K6" i="18"/>
  <c r="K358" i="8"/>
  <c r="K359" i="8" s="1"/>
  <c r="P9" i="5"/>
  <c r="L12" i="5"/>
  <c r="P45" i="21"/>
  <c r="K343" i="8"/>
  <c r="K344" i="8" s="1"/>
  <c r="P40" i="5"/>
  <c r="P46" i="5" s="1"/>
  <c r="M26" i="9"/>
  <c r="K336" i="8"/>
  <c r="N26" i="9"/>
  <c r="R336" i="8"/>
  <c r="K330" i="8"/>
  <c r="R330" i="8" s="1"/>
  <c r="N18" i="9"/>
  <c r="M30" i="9"/>
  <c r="I72" i="13"/>
  <c r="P10" i="10"/>
  <c r="I25" i="10"/>
  <c r="O23" i="10"/>
  <c r="L32" i="19" s="1"/>
  <c r="L6" i="14"/>
  <c r="L16" i="14" s="1"/>
  <c r="M6" i="14"/>
  <c r="M16" i="14" s="1"/>
  <c r="E9" i="19" s="1"/>
  <c r="P13" i="5"/>
  <c r="P16" i="5"/>
  <c r="P30" i="5"/>
  <c r="J6" i="9"/>
  <c r="N10" i="9"/>
  <c r="N14" i="9"/>
  <c r="L14" i="10"/>
  <c r="C8" i="19" s="1"/>
  <c r="O6" i="10"/>
  <c r="O14" i="10" s="1"/>
  <c r="O10" i="10"/>
  <c r="O21" i="10"/>
  <c r="L30" i="19" s="1"/>
  <c r="J98" i="21"/>
  <c r="P98" i="21" s="1"/>
  <c r="P97" i="21"/>
  <c r="L32" i="5"/>
  <c r="N32" i="5" s="1"/>
  <c r="P34" i="5"/>
  <c r="M10" i="9"/>
  <c r="L15" i="12"/>
  <c r="K14" i="18"/>
  <c r="M279" i="21"/>
  <c r="M283" i="21"/>
  <c r="M287" i="21"/>
  <c r="M277" i="21"/>
  <c r="M285" i="21"/>
  <c r="M282" i="21"/>
  <c r="M276" i="21"/>
  <c r="M280" i="21"/>
  <c r="M284" i="21"/>
  <c r="M281" i="21"/>
  <c r="M278" i="21"/>
  <c r="M286" i="21"/>
  <c r="Q362" i="8"/>
  <c r="I120" i="22"/>
  <c r="I124" i="22"/>
  <c r="C10" i="19"/>
  <c r="I119" i="22"/>
  <c r="I121" i="22"/>
  <c r="I123" i="22"/>
  <c r="I125" i="22"/>
  <c r="I127" i="22"/>
  <c r="I129" i="22"/>
  <c r="I122" i="22"/>
  <c r="I128" i="22"/>
  <c r="I118" i="22"/>
  <c r="I126" i="22"/>
  <c r="K61" i="22"/>
  <c r="K57" i="22"/>
  <c r="K53" i="22"/>
  <c r="K49" i="22"/>
  <c r="K45" i="22"/>
  <c r="K35" i="22"/>
  <c r="K50" i="22"/>
  <c r="K12" i="22"/>
  <c r="K60" i="22"/>
  <c r="K56" i="22"/>
  <c r="K48" i="22"/>
  <c r="K44" i="22"/>
  <c r="K34" i="22"/>
  <c r="K30" i="22"/>
  <c r="K26" i="22"/>
  <c r="K46" i="22"/>
  <c r="K59" i="22"/>
  <c r="K55" i="22"/>
  <c r="K51" i="22"/>
  <c r="K47" i="22"/>
  <c r="K37" i="22"/>
  <c r="K33" i="22"/>
  <c r="K29" i="22"/>
  <c r="K25" i="22"/>
  <c r="K17" i="22"/>
  <c r="K9" i="22"/>
  <c r="K58" i="22"/>
  <c r="K54" i="22"/>
  <c r="K36" i="22"/>
  <c r="M51" i="22"/>
  <c r="M56" i="22"/>
  <c r="M61" i="22"/>
  <c r="M30" i="22"/>
  <c r="M57" i="22"/>
  <c r="M50" i="22"/>
  <c r="M55" i="22"/>
  <c r="M59" i="22"/>
  <c r="L37" i="22"/>
  <c r="M58" i="22"/>
  <c r="K8" i="22"/>
  <c r="B10" i="19"/>
  <c r="P10" i="28"/>
  <c r="L14" i="28"/>
  <c r="J54" i="19" s="1"/>
  <c r="N22" i="9"/>
  <c r="N38" i="9"/>
  <c r="M34" i="9"/>
  <c r="P14" i="13"/>
  <c r="O14" i="13"/>
  <c r="P17" i="13"/>
  <c r="L30" i="13"/>
  <c r="C6" i="19" s="1"/>
  <c r="L94" i="13"/>
  <c r="L79" i="13"/>
  <c r="L83" i="13"/>
  <c r="L89" i="13"/>
  <c r="L95" i="13"/>
  <c r="L74" i="13"/>
  <c r="L76" i="13"/>
  <c r="L78" i="13"/>
  <c r="L80" i="13"/>
  <c r="L82" i="13"/>
  <c r="L84" i="13"/>
  <c r="L86" i="13"/>
  <c r="L88" i="13"/>
  <c r="L90" i="13"/>
  <c r="L92" i="13"/>
  <c r="L96" i="13"/>
  <c r="L77" i="13"/>
  <c r="L85" i="13"/>
  <c r="L91" i="13"/>
  <c r="L97" i="13"/>
  <c r="L75" i="13"/>
  <c r="L81" i="13"/>
  <c r="L87" i="13"/>
  <c r="L93" i="13"/>
  <c r="I54" i="13"/>
  <c r="I71" i="13"/>
  <c r="I51" i="13"/>
  <c r="I55" i="13"/>
  <c r="I59" i="13"/>
  <c r="I63" i="13"/>
  <c r="I68" i="13"/>
  <c r="I50" i="13"/>
  <c r="I62" i="13"/>
  <c r="O17" i="13"/>
  <c r="G17" i="13" s="1"/>
  <c r="I74" i="13"/>
  <c r="I76" i="13"/>
  <c r="I78" i="13"/>
  <c r="I80" i="13"/>
  <c r="I82" i="13"/>
  <c r="I84" i="13"/>
  <c r="I86" i="13"/>
  <c r="I88" i="13"/>
  <c r="I90" i="13"/>
  <c r="I92" i="13"/>
  <c r="I94" i="13"/>
  <c r="I96" i="13"/>
  <c r="I30" i="13"/>
  <c r="I75" i="13"/>
  <c r="I77" i="13"/>
  <c r="I79" i="13"/>
  <c r="I81" i="13"/>
  <c r="I83" i="13"/>
  <c r="I85" i="13"/>
  <c r="I87" i="13"/>
  <c r="I89" i="13"/>
  <c r="I91" i="13"/>
  <c r="I93" i="13"/>
  <c r="I95" i="13"/>
  <c r="I97" i="13"/>
  <c r="I67" i="13"/>
  <c r="I52" i="13"/>
  <c r="I56" i="13"/>
  <c r="I60" i="13"/>
  <c r="I64" i="13"/>
  <c r="I69" i="13"/>
  <c r="I73" i="13"/>
  <c r="P26" i="13"/>
  <c r="I58" i="13"/>
  <c r="I66" i="13"/>
  <c r="I49" i="13"/>
  <c r="I53" i="13"/>
  <c r="I57" i="13"/>
  <c r="I61" i="13"/>
  <c r="I65" i="13"/>
  <c r="I70" i="13"/>
  <c r="R9" i="27"/>
  <c r="R6" i="27" s="1"/>
  <c r="N69" i="27"/>
  <c r="N73" i="27"/>
  <c r="N77" i="27"/>
  <c r="N81" i="27"/>
  <c r="N85" i="27"/>
  <c r="N75" i="27"/>
  <c r="N79" i="27"/>
  <c r="N72" i="27"/>
  <c r="N76" i="27"/>
  <c r="N84" i="27"/>
  <c r="N70" i="27"/>
  <c r="N74" i="27"/>
  <c r="N78" i="27"/>
  <c r="N82" i="27"/>
  <c r="N71" i="27"/>
  <c r="N83" i="27"/>
  <c r="N80" i="27"/>
  <c r="Q34" i="27"/>
  <c r="R10" i="27"/>
  <c r="Q61" i="21"/>
  <c r="Q70" i="21"/>
  <c r="P38" i="21"/>
  <c r="Q45" i="21"/>
  <c r="S45" i="21" s="1"/>
  <c r="P49" i="21"/>
  <c r="Q110" i="21"/>
  <c r="P58" i="21"/>
  <c r="Q99" i="21"/>
  <c r="P116" i="21"/>
  <c r="P143" i="21"/>
  <c r="P20" i="21"/>
  <c r="P108" i="21"/>
  <c r="P53" i="21"/>
  <c r="Q116" i="21"/>
  <c r="N535" i="8"/>
  <c r="N539" i="8"/>
  <c r="N543" i="8"/>
  <c r="N536" i="8"/>
  <c r="N540" i="8"/>
  <c r="N544" i="8"/>
  <c r="N546" i="8"/>
  <c r="N537" i="8"/>
  <c r="N541" i="8"/>
  <c r="N545" i="8"/>
  <c r="N538" i="8"/>
  <c r="N542" i="8"/>
  <c r="Q276" i="8"/>
  <c r="Q131" i="8"/>
  <c r="R131" i="8"/>
  <c r="Q177" i="8"/>
  <c r="R177" i="8"/>
  <c r="R6" i="8"/>
  <c r="R13" i="8"/>
  <c r="Q268" i="8"/>
  <c r="Q89" i="8"/>
  <c r="R108" i="8"/>
  <c r="Q153" i="8"/>
  <c r="Q158" i="8"/>
  <c r="Q163" i="8"/>
  <c r="Q168" i="8"/>
  <c r="T231" i="8"/>
  <c r="Q217" i="8"/>
  <c r="Q70" i="8"/>
  <c r="Q78" i="8"/>
  <c r="Q84" i="8"/>
  <c r="Q148" i="8"/>
  <c r="Q211" i="8"/>
  <c r="K227" i="8"/>
  <c r="K228" i="8" s="1"/>
  <c r="J61" i="8"/>
  <c r="Q23" i="8"/>
  <c r="Q143" i="8"/>
  <c r="Q190" i="8"/>
  <c r="Q197" i="8"/>
  <c r="K304" i="8"/>
  <c r="K305" i="8" s="1"/>
  <c r="R305" i="8" s="1"/>
  <c r="Q340" i="8"/>
  <c r="P28" i="21"/>
  <c r="Q38" i="21"/>
  <c r="P13" i="21"/>
  <c r="P33" i="21"/>
  <c r="Q49" i="21"/>
  <c r="Q53" i="21"/>
  <c r="Q13" i="21"/>
  <c r="Q28" i="21"/>
  <c r="Q58" i="21"/>
  <c r="Q86" i="21"/>
  <c r="P61" i="21"/>
  <c r="I64" i="21"/>
  <c r="Q65" i="21"/>
  <c r="S65" i="21" s="1"/>
  <c r="P70" i="21"/>
  <c r="P99" i="21"/>
  <c r="Q83" i="21"/>
  <c r="S83" i="21" s="1"/>
  <c r="Q6" i="8"/>
  <c r="R44" i="8"/>
  <c r="R78" i="8"/>
  <c r="R89" i="8"/>
  <c r="R94" i="8"/>
  <c r="Q137" i="8"/>
  <c r="R143" i="8"/>
  <c r="R153" i="8"/>
  <c r="Q184" i="8"/>
  <c r="J234" i="8"/>
  <c r="R204" i="8"/>
  <c r="Q354" i="8"/>
  <c r="T369" i="8"/>
  <c r="T380" i="8"/>
  <c r="T391" i="8"/>
  <c r="K6" i="5"/>
  <c r="P8" i="5"/>
  <c r="P11" i="5"/>
  <c r="P14" i="5"/>
  <c r="P15" i="5"/>
  <c r="P21" i="5"/>
  <c r="L26" i="5"/>
  <c r="P29" i="5"/>
  <c r="P35" i="5"/>
  <c r="L46" i="5"/>
  <c r="K53" i="5" s="1"/>
  <c r="N6" i="9"/>
  <c r="M18" i="9"/>
  <c r="O6" i="28"/>
  <c r="L11" i="11"/>
  <c r="E7" i="19" s="1"/>
  <c r="F7" i="19" s="1"/>
  <c r="M10" i="15"/>
  <c r="E13" i="19" s="1"/>
  <c r="L10" i="15"/>
  <c r="D13" i="19" s="1"/>
  <c r="K12" i="24"/>
  <c r="C11" i="18"/>
  <c r="C12" i="18" s="1"/>
  <c r="C13" i="18" s="1"/>
  <c r="G30" i="18"/>
  <c r="G38" i="18"/>
  <c r="N431" i="8"/>
  <c r="N534" i="8"/>
  <c r="C3" i="19"/>
  <c r="N523" i="8"/>
  <c r="Q108" i="8"/>
  <c r="R123" i="8"/>
  <c r="K297" i="8"/>
  <c r="R297" i="8" s="1"/>
  <c r="T348" i="8"/>
  <c r="T352" i="8"/>
  <c r="K18" i="5"/>
  <c r="O11" i="14"/>
  <c r="L21" i="26"/>
  <c r="K15" i="12"/>
  <c r="J10" i="18"/>
  <c r="L10" i="18" s="1"/>
  <c r="G36" i="18"/>
  <c r="P112" i="21"/>
  <c r="L6" i="5"/>
  <c r="D38" i="5"/>
  <c r="L18" i="5"/>
  <c r="N30" i="9"/>
  <c r="G42" i="9"/>
  <c r="O26" i="13"/>
  <c r="G34" i="18"/>
  <c r="M249" i="21"/>
  <c r="Q77" i="21"/>
  <c r="I106" i="21"/>
  <c r="I107" i="21" s="1"/>
  <c r="P136" i="21"/>
  <c r="R84" i="8"/>
  <c r="Q94" i="8"/>
  <c r="R148" i="8"/>
  <c r="R158" i="8"/>
  <c r="R163" i="8"/>
  <c r="R168" i="8"/>
  <c r="R184" i="8"/>
  <c r="R190" i="8"/>
  <c r="R197" i="8"/>
  <c r="Q204" i="8"/>
  <c r="R217" i="8"/>
  <c r="Q320" i="8"/>
  <c r="T346" i="8"/>
  <c r="T350" i="8"/>
  <c r="P22" i="5"/>
  <c r="P27" i="5"/>
  <c r="P36" i="5"/>
  <c r="M14" i="9"/>
  <c r="J22" i="9"/>
  <c r="N34" i="9"/>
  <c r="O11" i="13"/>
  <c r="P22" i="13"/>
  <c r="O18" i="10"/>
  <c r="L26" i="19" s="1"/>
  <c r="O20" i="10"/>
  <c r="L29" i="19" s="1"/>
  <c r="O22" i="10"/>
  <c r="L31" i="19" s="1"/>
  <c r="L24" i="14"/>
  <c r="M29" i="19" s="1"/>
  <c r="F26" i="26"/>
  <c r="F22" i="26"/>
  <c r="G32" i="18"/>
  <c r="I76" i="21"/>
  <c r="Q136" i="21"/>
  <c r="Q6" i="21"/>
  <c r="Q20" i="21"/>
  <c r="Q97" i="21"/>
  <c r="Q90" i="21" s="1"/>
  <c r="T229" i="8"/>
  <c r="T243" i="8"/>
  <c r="T274" i="8"/>
  <c r="K289" i="8"/>
  <c r="T374" i="8"/>
  <c r="T382" i="8"/>
  <c r="T393" i="8"/>
  <c r="Q105" i="21"/>
  <c r="Q106" i="21"/>
  <c r="P133" i="21"/>
  <c r="P119" i="21" s="1"/>
  <c r="Q147" i="21"/>
  <c r="Q143" i="21" s="1"/>
  <c r="T376" i="8"/>
  <c r="T387" i="8"/>
  <c r="T395" i="8"/>
  <c r="P7" i="5"/>
  <c r="P6" i="21"/>
  <c r="Q33" i="21"/>
  <c r="I48" i="21"/>
  <c r="J113" i="8"/>
  <c r="J114" i="8" s="1"/>
  <c r="T175" i="8"/>
  <c r="T378" i="8"/>
  <c r="T389" i="8"/>
  <c r="T397" i="8"/>
  <c r="K237" i="8"/>
  <c r="Q284" i="8"/>
  <c r="Q299" i="8"/>
  <c r="R223" i="8"/>
  <c r="E61" i="5"/>
  <c r="E65" i="5"/>
  <c r="E68" i="5"/>
  <c r="E71" i="5"/>
  <c r="E76" i="5"/>
  <c r="G58" i="9"/>
  <c r="G62" i="9"/>
  <c r="G70" i="9"/>
  <c r="R34" i="8"/>
  <c r="Q62" i="8"/>
  <c r="R70" i="8"/>
  <c r="T98" i="8"/>
  <c r="J185" i="8"/>
  <c r="K188" i="8"/>
  <c r="K247" i="8"/>
  <c r="K248" i="8" s="1"/>
  <c r="R211" i="8"/>
  <c r="J269" i="8"/>
  <c r="K271" i="8"/>
  <c r="Q291" i="8"/>
  <c r="O20" i="5"/>
  <c r="P20" i="5" s="1"/>
  <c r="K25" i="5"/>
  <c r="K26" i="5"/>
  <c r="E46" i="5"/>
  <c r="E47" i="5" s="1"/>
  <c r="O46" i="5"/>
  <c r="E60" i="5"/>
  <c r="E64" i="5"/>
  <c r="E69" i="5"/>
  <c r="E74" i="5"/>
  <c r="E77" i="5"/>
  <c r="G64" i="9"/>
  <c r="L35" i="22"/>
  <c r="L22" i="26"/>
  <c r="Q54" i="8"/>
  <c r="R54" i="8"/>
  <c r="R100" i="8"/>
  <c r="K256" i="8"/>
  <c r="K262" i="8"/>
  <c r="K278" i="8"/>
  <c r="K310" i="8"/>
  <c r="R310" i="8" s="1"/>
  <c r="K365" i="8"/>
  <c r="R365" i="8" s="1"/>
  <c r="K46" i="5"/>
  <c r="E59" i="5"/>
  <c r="E63" i="5"/>
  <c r="E67" i="5"/>
  <c r="E72" i="5"/>
  <c r="E75" i="5"/>
  <c r="M6" i="9"/>
  <c r="G88" i="9"/>
  <c r="G86" i="9"/>
  <c r="G84" i="9"/>
  <c r="G82" i="9"/>
  <c r="G80" i="9"/>
  <c r="G89" i="9"/>
  <c r="G87" i="9"/>
  <c r="G85" i="9"/>
  <c r="G83" i="9"/>
  <c r="G81" i="9"/>
  <c r="G79" i="9"/>
  <c r="G77" i="9"/>
  <c r="G78" i="9"/>
  <c r="G75" i="9"/>
  <c r="G73" i="9"/>
  <c r="G71" i="9"/>
  <c r="G69" i="9"/>
  <c r="G67" i="9"/>
  <c r="G65" i="9"/>
  <c r="G63" i="9"/>
  <c r="G61" i="9"/>
  <c r="G59" i="9"/>
  <c r="G57" i="9"/>
  <c r="G56" i="9"/>
  <c r="G55" i="9"/>
  <c r="G54" i="9"/>
  <c r="G53" i="9"/>
  <c r="G52" i="9"/>
  <c r="G51" i="9"/>
  <c r="G50" i="9"/>
  <c r="G49" i="9"/>
  <c r="G48" i="9"/>
  <c r="G60" i="9"/>
  <c r="G66" i="9"/>
  <c r="G74" i="9"/>
  <c r="L60" i="13"/>
  <c r="R115" i="8"/>
  <c r="Q245" i="8"/>
  <c r="K315" i="8"/>
  <c r="K323" i="8"/>
  <c r="K324" i="8" s="1"/>
  <c r="Q223" i="8"/>
  <c r="H38" i="5"/>
  <c r="E58" i="5"/>
  <c r="E62" i="5"/>
  <c r="E66" i="5"/>
  <c r="E70" i="5"/>
  <c r="E73" i="5"/>
  <c r="M24" i="9"/>
  <c r="M22" i="9" s="1"/>
  <c r="G68" i="9"/>
  <c r="G76" i="9"/>
  <c r="L68" i="13"/>
  <c r="R6" i="13"/>
  <c r="L73" i="13"/>
  <c r="L71" i="13"/>
  <c r="L69" i="13"/>
  <c r="L67" i="13"/>
  <c r="L65" i="13"/>
  <c r="L63" i="13"/>
  <c r="L61" i="13"/>
  <c r="L59" i="13"/>
  <c r="L50" i="13"/>
  <c r="L52" i="13"/>
  <c r="L54" i="13"/>
  <c r="L56" i="13"/>
  <c r="L58" i="13"/>
  <c r="L66" i="13"/>
  <c r="O13" i="14"/>
  <c r="I27" i="14"/>
  <c r="I23" i="14"/>
  <c r="I22" i="14"/>
  <c r="I21" i="14"/>
  <c r="I24" i="14"/>
  <c r="I16" i="14"/>
  <c r="C9" i="19" s="1"/>
  <c r="I30" i="14"/>
  <c r="L64" i="13"/>
  <c r="L72" i="13"/>
  <c r="I28" i="14"/>
  <c r="I25" i="14"/>
  <c r="L49" i="13"/>
  <c r="L51" i="13"/>
  <c r="L53" i="13"/>
  <c r="L55" i="13"/>
  <c r="L57" i="13"/>
  <c r="L62" i="13"/>
  <c r="L70" i="13"/>
  <c r="L23" i="14"/>
  <c r="M28" i="19" s="1"/>
  <c r="F47" i="26"/>
  <c r="F45" i="26"/>
  <c r="F43" i="26"/>
  <c r="F41" i="26"/>
  <c r="F39" i="26"/>
  <c r="F37" i="26"/>
  <c r="F35" i="26"/>
  <c r="F33" i="26"/>
  <c r="F31" i="26"/>
  <c r="F29" i="26"/>
  <c r="F27" i="26"/>
  <c r="F44" i="26"/>
  <c r="F36" i="26"/>
  <c r="F28" i="26"/>
  <c r="F23" i="26"/>
  <c r="F46" i="26"/>
  <c r="F38" i="26"/>
  <c r="F30" i="26"/>
  <c r="F24" i="26"/>
  <c r="F17" i="26"/>
  <c r="F40" i="26"/>
  <c r="F32" i="26"/>
  <c r="F25" i="26"/>
  <c r="F21" i="26"/>
  <c r="F34" i="26"/>
  <c r="O10" i="28"/>
  <c r="L25" i="14"/>
  <c r="M30" i="19" s="1"/>
  <c r="F31" i="14"/>
  <c r="F32" i="14" s="1"/>
  <c r="L17" i="26"/>
  <c r="L15" i="23"/>
  <c r="E12" i="19" s="1"/>
  <c r="H15" i="23"/>
  <c r="C12" i="19" s="1"/>
  <c r="M17" i="26"/>
  <c r="E11" i="19" s="1"/>
  <c r="L18" i="10"/>
  <c r="L19" i="10"/>
  <c r="L20" i="10"/>
  <c r="L21" i="10"/>
  <c r="L22" i="10"/>
  <c r="I29" i="14"/>
  <c r="L21" i="14"/>
  <c r="L22" i="14"/>
  <c r="M27" i="19" s="1"/>
  <c r="I26" i="14"/>
  <c r="L29" i="22"/>
  <c r="L86" i="22" s="1"/>
  <c r="K7" i="23"/>
  <c r="K15" i="23" s="1"/>
  <c r="H22" i="23"/>
  <c r="H21" i="23"/>
  <c r="H20" i="23"/>
  <c r="H19" i="23"/>
  <c r="K20" i="23"/>
  <c r="Q30" i="19" s="1"/>
  <c r="K19" i="23"/>
  <c r="E23" i="23"/>
  <c r="E24" i="23" s="1"/>
  <c r="J6" i="18"/>
  <c r="K12" i="25"/>
  <c r="G22" i="18"/>
  <c r="G23" i="18"/>
  <c r="G24" i="18"/>
  <c r="G25" i="18"/>
  <c r="G26" i="18"/>
  <c r="G27" i="18"/>
  <c r="G28" i="18"/>
  <c r="G29" i="18"/>
  <c r="G31" i="18"/>
  <c r="G33" i="18"/>
  <c r="G35" i="18"/>
  <c r="G37" i="18"/>
  <c r="T195" i="8"/>
  <c r="N436" i="8"/>
  <c r="I103" i="22"/>
  <c r="M174" i="21"/>
  <c r="T39" i="27"/>
  <c r="T251" i="8"/>
  <c r="N531" i="8"/>
  <c r="P77" i="21"/>
  <c r="M275" i="21"/>
  <c r="I116" i="22"/>
  <c r="I90" i="22"/>
  <c r="I101" i="22"/>
  <c r="I114" i="22"/>
  <c r="I99" i="22"/>
  <c r="I91" i="22"/>
  <c r="I97" i="22"/>
  <c r="I105" i="22"/>
  <c r="I95" i="22"/>
  <c r="M175" i="21"/>
  <c r="M177" i="21"/>
  <c r="M179" i="21"/>
  <c r="M181" i="21"/>
  <c r="M183" i="21"/>
  <c r="M185" i="21"/>
  <c r="M187" i="21"/>
  <c r="M191" i="21"/>
  <c r="M195" i="21"/>
  <c r="M199" i="21"/>
  <c r="M203" i="21"/>
  <c r="M207" i="21"/>
  <c r="M211" i="21"/>
  <c r="M215" i="21"/>
  <c r="M219" i="21"/>
  <c r="M223" i="21"/>
  <c r="M227" i="21"/>
  <c r="M231" i="21"/>
  <c r="M235" i="21"/>
  <c r="M239" i="21"/>
  <c r="M243" i="21"/>
  <c r="M190" i="21"/>
  <c r="M194" i="21"/>
  <c r="M198" i="21"/>
  <c r="M202" i="21"/>
  <c r="M206" i="21"/>
  <c r="M210" i="21"/>
  <c r="M214" i="21"/>
  <c r="M218" i="21"/>
  <c r="M222" i="21"/>
  <c r="M226" i="21"/>
  <c r="M230" i="21"/>
  <c r="M234" i="21"/>
  <c r="M238" i="21"/>
  <c r="M242" i="21"/>
  <c r="M246" i="21"/>
  <c r="M176" i="21"/>
  <c r="M178" i="21"/>
  <c r="M180" i="21"/>
  <c r="M182" i="21"/>
  <c r="M184" i="21"/>
  <c r="M186" i="21"/>
  <c r="M189" i="21"/>
  <c r="M193" i="21"/>
  <c r="M197" i="21"/>
  <c r="M201" i="21"/>
  <c r="M205" i="21"/>
  <c r="M209" i="21"/>
  <c r="M213" i="21"/>
  <c r="M217" i="21"/>
  <c r="M221" i="21"/>
  <c r="M225" i="21"/>
  <c r="M229" i="21"/>
  <c r="M233" i="21"/>
  <c r="M237" i="21"/>
  <c r="M241" i="21"/>
  <c r="M245" i="21"/>
  <c r="M247" i="21"/>
  <c r="M154" i="21"/>
  <c r="M188" i="21"/>
  <c r="M192" i="21"/>
  <c r="M196" i="21"/>
  <c r="M200" i="21"/>
  <c r="M204" i="21"/>
  <c r="M208" i="21"/>
  <c r="M212" i="21"/>
  <c r="M216" i="21"/>
  <c r="M220" i="21"/>
  <c r="M224" i="21"/>
  <c r="M228" i="21"/>
  <c r="M232" i="21"/>
  <c r="M236" i="21"/>
  <c r="M240" i="21"/>
  <c r="M244" i="21"/>
  <c r="M248" i="21"/>
  <c r="M250" i="21"/>
  <c r="M252" i="21"/>
  <c r="M254" i="21"/>
  <c r="M256" i="21"/>
  <c r="M258" i="21"/>
  <c r="M260" i="21"/>
  <c r="M262" i="21"/>
  <c r="M264" i="21"/>
  <c r="M266" i="21"/>
  <c r="M268" i="21"/>
  <c r="M270" i="21"/>
  <c r="M272" i="21"/>
  <c r="M274" i="21"/>
  <c r="M251" i="21"/>
  <c r="M253" i="21"/>
  <c r="M255" i="21"/>
  <c r="M257" i="21"/>
  <c r="M259" i="21"/>
  <c r="M261" i="21"/>
  <c r="M263" i="21"/>
  <c r="M265" i="21"/>
  <c r="M267" i="21"/>
  <c r="M269" i="21"/>
  <c r="M271" i="21"/>
  <c r="M273" i="21"/>
  <c r="N446" i="8"/>
  <c r="N458" i="8"/>
  <c r="N477" i="8"/>
  <c r="N493" i="8"/>
  <c r="N505" i="8"/>
  <c r="N521" i="8"/>
  <c r="N443" i="8"/>
  <c r="N451" i="8"/>
  <c r="N459" i="8"/>
  <c r="N466" i="8"/>
  <c r="N474" i="8"/>
  <c r="N482" i="8"/>
  <c r="N490" i="8"/>
  <c r="N498" i="8"/>
  <c r="N506" i="8"/>
  <c r="N510" i="8"/>
  <c r="N518" i="8"/>
  <c r="N430" i="8"/>
  <c r="N434" i="8"/>
  <c r="N440" i="8"/>
  <c r="N445" i="8"/>
  <c r="N449" i="8"/>
  <c r="N453" i="8"/>
  <c r="N457" i="8"/>
  <c r="N461" i="8"/>
  <c r="N465" i="8"/>
  <c r="N468" i="8"/>
  <c r="N472" i="8"/>
  <c r="N476" i="8"/>
  <c r="N480" i="8"/>
  <c r="N484" i="8"/>
  <c r="N488" i="8"/>
  <c r="N492" i="8"/>
  <c r="N496" i="8"/>
  <c r="N500" i="8"/>
  <c r="N504" i="8"/>
  <c r="N508" i="8"/>
  <c r="N512" i="8"/>
  <c r="N516" i="8"/>
  <c r="N520" i="8"/>
  <c r="N524" i="8"/>
  <c r="N528" i="8"/>
  <c r="N532" i="8"/>
  <c r="N454" i="8"/>
  <c r="N469" i="8"/>
  <c r="N485" i="8"/>
  <c r="N501" i="8"/>
  <c r="N513" i="8"/>
  <c r="N525" i="8"/>
  <c r="N529" i="8"/>
  <c r="N533" i="8"/>
  <c r="N530" i="8"/>
  <c r="N442" i="8"/>
  <c r="N450" i="8"/>
  <c r="N462" i="8"/>
  <c r="N473" i="8"/>
  <c r="N481" i="8"/>
  <c r="N489" i="8"/>
  <c r="N497" i="8"/>
  <c r="N509" i="8"/>
  <c r="N517" i="8"/>
  <c r="N432" i="8"/>
  <c r="N438" i="8"/>
  <c r="N447" i="8"/>
  <c r="N455" i="8"/>
  <c r="N463" i="8"/>
  <c r="N470" i="8"/>
  <c r="N478" i="8"/>
  <c r="N486" i="8"/>
  <c r="N494" i="8"/>
  <c r="N502" i="8"/>
  <c r="N514" i="8"/>
  <c r="N522" i="8"/>
  <c r="N526" i="8"/>
  <c r="N441" i="8"/>
  <c r="N444" i="8"/>
  <c r="N448" i="8"/>
  <c r="N452" i="8"/>
  <c r="N456" i="8"/>
  <c r="N460" i="8"/>
  <c r="N464" i="8"/>
  <c r="N467" i="8"/>
  <c r="N471" i="8"/>
  <c r="N475" i="8"/>
  <c r="N479" i="8"/>
  <c r="N483" i="8"/>
  <c r="N487" i="8"/>
  <c r="N491" i="8"/>
  <c r="N495" i="8"/>
  <c r="N499" i="8"/>
  <c r="N503" i="8"/>
  <c r="N507" i="8"/>
  <c r="N511" i="8"/>
  <c r="N515" i="8"/>
  <c r="N519" i="8"/>
  <c r="N527" i="8"/>
  <c r="R23" i="8"/>
  <c r="Q34" i="8"/>
  <c r="Q115" i="8"/>
  <c r="Q44" i="8"/>
  <c r="R62" i="8"/>
  <c r="Q100" i="8"/>
  <c r="Q123" i="8"/>
  <c r="R137" i="8"/>
  <c r="T137" i="8" s="1"/>
  <c r="I93" i="22"/>
  <c r="I96" i="22"/>
  <c r="I98" i="22"/>
  <c r="I100" i="22"/>
  <c r="I102" i="22"/>
  <c r="I104" i="22"/>
  <c r="I106" i="22"/>
  <c r="I108" i="22"/>
  <c r="I110" i="22"/>
  <c r="I112" i="22"/>
  <c r="I92" i="22"/>
  <c r="I107" i="22"/>
  <c r="I109" i="22"/>
  <c r="I111" i="22"/>
  <c r="I113" i="22"/>
  <c r="I115" i="22"/>
  <c r="I117" i="22"/>
  <c r="I94" i="22"/>
  <c r="N435" i="8"/>
  <c r="N439" i="8"/>
  <c r="N433" i="8"/>
  <c r="N437" i="8"/>
  <c r="H4" i="29" l="1"/>
  <c r="H11" i="29"/>
  <c r="H8" i="29"/>
  <c r="H5" i="29"/>
  <c r="H13" i="29"/>
  <c r="H6" i="29"/>
  <c r="H10" i="29"/>
  <c r="H9" i="29"/>
  <c r="H7" i="29"/>
  <c r="H3" i="29"/>
  <c r="H43" i="29"/>
  <c r="H12" i="29"/>
  <c r="H14" i="29"/>
  <c r="H45" i="29"/>
  <c r="H46" i="29"/>
  <c r="H29" i="29"/>
  <c r="H19" i="29"/>
  <c r="H18" i="29"/>
  <c r="H23" i="29"/>
  <c r="H22" i="29"/>
  <c r="H20" i="29"/>
  <c r="H78" i="29"/>
  <c r="H24" i="29"/>
  <c r="H30" i="29"/>
  <c r="H49" i="29"/>
  <c r="H50" i="29"/>
  <c r="H31" i="29"/>
  <c r="H51" i="29"/>
  <c r="H52" i="29"/>
  <c r="H53" i="29"/>
  <c r="H54" i="29"/>
  <c r="H55" i="29"/>
  <c r="H56" i="29"/>
  <c r="H57" i="29"/>
  <c r="H58" i="29"/>
  <c r="H59" i="29"/>
  <c r="H60" i="29"/>
  <c r="H61" i="29"/>
  <c r="H62" i="29"/>
  <c r="H63" i="29"/>
  <c r="H64" i="29"/>
  <c r="H27" i="29"/>
  <c r="H33" i="29"/>
  <c r="H65" i="29"/>
  <c r="H66" i="29"/>
  <c r="H34" i="29"/>
  <c r="H32" i="29"/>
  <c r="H36" i="29"/>
  <c r="H67" i="29"/>
  <c r="H68" i="29"/>
  <c r="H69" i="29"/>
  <c r="H70" i="29"/>
  <c r="H35" i="29"/>
  <c r="H71" i="29"/>
  <c r="H72" i="29"/>
  <c r="H37" i="29"/>
  <c r="H25" i="29"/>
  <c r="H26" i="29"/>
  <c r="H15" i="29"/>
  <c r="H73" i="29"/>
  <c r="H74" i="29"/>
  <c r="H75" i="29"/>
  <c r="H76" i="29"/>
  <c r="H77" i="29"/>
  <c r="H79" i="29"/>
  <c r="H80" i="29"/>
  <c r="H81" i="29"/>
  <c r="H39" i="29"/>
  <c r="H40" i="29"/>
  <c r="H41" i="29"/>
  <c r="H82" i="29"/>
  <c r="H21" i="29"/>
  <c r="H42" i="29"/>
  <c r="H16" i="29"/>
  <c r="H83" i="29"/>
  <c r="H84" i="29"/>
  <c r="H85" i="29"/>
  <c r="H86" i="29"/>
  <c r="H38" i="29"/>
  <c r="H17" i="29"/>
  <c r="H28" i="29"/>
  <c r="H87" i="29"/>
  <c r="H89" i="29"/>
  <c r="H90" i="29"/>
  <c r="H44" i="29"/>
  <c r="G30" i="13"/>
  <c r="B6" i="19" s="1"/>
  <c r="H18" i="13"/>
  <c r="H19" i="13" s="1"/>
  <c r="H20" i="13" s="1"/>
  <c r="H47" i="29"/>
  <c r="H48" i="29"/>
  <c r="I36" i="15"/>
  <c r="P18" i="9"/>
  <c r="K332" i="8"/>
  <c r="Q332" i="8" s="1"/>
  <c r="Q328" i="8" s="1"/>
  <c r="K360" i="8"/>
  <c r="K361" i="8" s="1"/>
  <c r="L85" i="29"/>
  <c r="L69" i="29"/>
  <c r="L53" i="29"/>
  <c r="L37" i="29"/>
  <c r="L21" i="29"/>
  <c r="L5" i="29"/>
  <c r="L76" i="29"/>
  <c r="L60" i="29"/>
  <c r="L44" i="29"/>
  <c r="L28" i="29"/>
  <c r="L12" i="29"/>
  <c r="L83" i="29"/>
  <c r="L67" i="29"/>
  <c r="L51" i="29"/>
  <c r="L35" i="29"/>
  <c r="L19" i="29"/>
  <c r="L3" i="29"/>
  <c r="L74" i="29"/>
  <c r="L58" i="29"/>
  <c r="L42" i="29"/>
  <c r="L26" i="29"/>
  <c r="L10" i="29"/>
  <c r="K31" i="27"/>
  <c r="Q31" i="27" s="1"/>
  <c r="Q28" i="27" s="1"/>
  <c r="K15" i="27"/>
  <c r="K16" i="27" s="1"/>
  <c r="K17" i="18"/>
  <c r="E15" i="19" s="1"/>
  <c r="R36" i="19"/>
  <c r="R55" i="19"/>
  <c r="K333" i="8"/>
  <c r="L81" i="29"/>
  <c r="L65" i="29"/>
  <c r="L49" i="29"/>
  <c r="L33" i="29"/>
  <c r="L17" i="29"/>
  <c r="L89" i="29"/>
  <c r="L72" i="29"/>
  <c r="L56" i="29"/>
  <c r="L40" i="29"/>
  <c r="L24" i="29"/>
  <c r="L8" i="29"/>
  <c r="L79" i="29"/>
  <c r="L63" i="29"/>
  <c r="L47" i="29"/>
  <c r="L31" i="29"/>
  <c r="L15" i="29"/>
  <c r="L86" i="29"/>
  <c r="L70" i="29"/>
  <c r="L54" i="29"/>
  <c r="L38" i="29"/>
  <c r="L22" i="29"/>
  <c r="L6" i="29"/>
  <c r="K339" i="8"/>
  <c r="R339" i="8" s="1"/>
  <c r="R334" i="8" s="1"/>
  <c r="T334" i="8" s="1"/>
  <c r="Q11" i="27"/>
  <c r="G14" i="10"/>
  <c r="B8" i="19" s="1"/>
  <c r="L77" i="29"/>
  <c r="L61" i="29"/>
  <c r="L45" i="29"/>
  <c r="L29" i="29"/>
  <c r="L13" i="29"/>
  <c r="L84" i="29"/>
  <c r="L68" i="29"/>
  <c r="L52" i="29"/>
  <c r="L36" i="29"/>
  <c r="L20" i="29"/>
  <c r="L4" i="29"/>
  <c r="L75" i="29"/>
  <c r="L59" i="29"/>
  <c r="L43" i="29"/>
  <c r="L27" i="29"/>
  <c r="L11" i="29"/>
  <c r="L82" i="29"/>
  <c r="L66" i="29"/>
  <c r="L50" i="29"/>
  <c r="L34" i="29"/>
  <c r="L18" i="29"/>
  <c r="K37" i="27"/>
  <c r="K338" i="8"/>
  <c r="Q338" i="8" s="1"/>
  <c r="Q334" i="8" s="1"/>
  <c r="N26" i="5"/>
  <c r="S33" i="21"/>
  <c r="J54" i="9"/>
  <c r="T23" i="8"/>
  <c r="R14" i="13"/>
  <c r="L90" i="29"/>
  <c r="L73" i="29"/>
  <c r="L57" i="29"/>
  <c r="L41" i="29"/>
  <c r="L25" i="29"/>
  <c r="L9" i="29"/>
  <c r="L80" i="29"/>
  <c r="L64" i="29"/>
  <c r="L48" i="29"/>
  <c r="L32" i="29"/>
  <c r="L16" i="29"/>
  <c r="L87" i="29"/>
  <c r="L71" i="29"/>
  <c r="L55" i="29"/>
  <c r="L39" i="29"/>
  <c r="L23" i="29"/>
  <c r="L7" i="29"/>
  <c r="L78" i="29"/>
  <c r="L62" i="29"/>
  <c r="L46" i="29"/>
  <c r="L30" i="29"/>
  <c r="L14" i="29"/>
  <c r="AZ76" i="29"/>
  <c r="AZ60" i="29"/>
  <c r="AZ12" i="29"/>
  <c r="AZ18" i="29"/>
  <c r="AZ31" i="29"/>
  <c r="V16" i="29"/>
  <c r="AZ57" i="29"/>
  <c r="AZ49" i="29"/>
  <c r="AZ7" i="29"/>
  <c r="AZ71" i="29"/>
  <c r="AZ19" i="29"/>
  <c r="AZ25" i="29"/>
  <c r="T44" i="8"/>
  <c r="AZ79" i="29"/>
  <c r="AZ63" i="29"/>
  <c r="AZ44" i="29"/>
  <c r="AZ87" i="29"/>
  <c r="AZ27" i="29"/>
  <c r="AZ11" i="29"/>
  <c r="AZ50" i="29"/>
  <c r="AZ34" i="29"/>
  <c r="AZ16" i="29"/>
  <c r="AZ75" i="29"/>
  <c r="AZ45" i="29"/>
  <c r="AZ13" i="29"/>
  <c r="AZ43" i="29"/>
  <c r="AZ82" i="29"/>
  <c r="AZ66" i="29"/>
  <c r="AZ83" i="29"/>
  <c r="AZ67" i="29"/>
  <c r="AZ52" i="29"/>
  <c r="AZ21" i="29"/>
  <c r="AW91" i="29"/>
  <c r="AZ36" i="29"/>
  <c r="AZ35" i="29"/>
  <c r="AZ10" i="29"/>
  <c r="AZ73" i="29"/>
  <c r="AZ90" i="29"/>
  <c r="AZ32" i="29"/>
  <c r="AZ53" i="29"/>
  <c r="AZ72" i="29"/>
  <c r="AZ56" i="29"/>
  <c r="AZ48" i="29"/>
  <c r="AZ29" i="29"/>
  <c r="AZ5" i="29"/>
  <c r="AZ85" i="29"/>
  <c r="AZ69" i="29"/>
  <c r="AZ89" i="29"/>
  <c r="AZ24" i="29"/>
  <c r="AZ41" i="29"/>
  <c r="AZ33" i="29"/>
  <c r="AZ17" i="29"/>
  <c r="AZ9" i="29"/>
  <c r="AZ78" i="29"/>
  <c r="AZ62" i="29"/>
  <c r="AZ46" i="29"/>
  <c r="AZ30" i="29"/>
  <c r="AZ14" i="29"/>
  <c r="AZ77" i="29"/>
  <c r="AZ20" i="29"/>
  <c r="AZ4" i="29"/>
  <c r="AZ55" i="29"/>
  <c r="AZ39" i="29"/>
  <c r="AZ15" i="29"/>
  <c r="AZ80" i="29"/>
  <c r="AZ64" i="29"/>
  <c r="AZ61" i="29"/>
  <c r="AZ37" i="29"/>
  <c r="AZ86" i="29"/>
  <c r="AZ70" i="29"/>
  <c r="AZ54" i="29"/>
  <c r="AZ38" i="29"/>
  <c r="AZ22" i="29"/>
  <c r="AY91" i="29"/>
  <c r="AR91" i="29"/>
  <c r="P30" i="9"/>
  <c r="S49" i="19"/>
  <c r="CO92" i="29"/>
  <c r="R17" i="13"/>
  <c r="P10" i="9"/>
  <c r="K20" i="27"/>
  <c r="C9" i="18"/>
  <c r="N4" i="29" s="1"/>
  <c r="N10" i="29"/>
  <c r="N5" i="29"/>
  <c r="N43" i="29"/>
  <c r="K8" i="29"/>
  <c r="S61" i="21"/>
  <c r="BD4" i="29"/>
  <c r="BD5" i="29"/>
  <c r="BD6" i="29"/>
  <c r="BD7" i="29"/>
  <c r="BD8" i="29"/>
  <c r="BD9" i="29"/>
  <c r="BD10" i="29"/>
  <c r="BD11" i="29"/>
  <c r="BD12" i="29"/>
  <c r="BD13" i="29"/>
  <c r="BD14" i="29"/>
  <c r="BD15" i="29"/>
  <c r="BD16" i="29"/>
  <c r="BD17" i="29"/>
  <c r="BD18" i="29"/>
  <c r="BD19" i="29"/>
  <c r="BD20" i="29"/>
  <c r="BD21" i="29"/>
  <c r="BD22" i="29"/>
  <c r="BD23" i="29"/>
  <c r="BD24" i="29"/>
  <c r="BD25" i="29"/>
  <c r="BD26" i="29"/>
  <c r="BD27" i="29"/>
  <c r="BD28" i="29"/>
  <c r="BD29" i="29"/>
  <c r="BD30" i="29"/>
  <c r="BD31" i="29"/>
  <c r="BD32" i="29"/>
  <c r="BD33" i="29"/>
  <c r="BD34" i="29"/>
  <c r="BD35" i="29"/>
  <c r="BD36" i="29"/>
  <c r="BD37" i="29"/>
  <c r="BD38" i="29"/>
  <c r="BD39" i="29"/>
  <c r="BD40" i="29"/>
  <c r="BD41" i="29"/>
  <c r="BD42" i="29"/>
  <c r="BD43" i="29"/>
  <c r="BD47" i="29"/>
  <c r="BD51" i="29"/>
  <c r="BD55" i="29"/>
  <c r="BD59" i="29"/>
  <c r="BD63" i="29"/>
  <c r="BD67" i="29"/>
  <c r="BD71" i="29"/>
  <c r="BD75" i="29"/>
  <c r="BD79" i="29"/>
  <c r="BD83" i="29"/>
  <c r="BD87" i="29"/>
  <c r="BD3" i="29"/>
  <c r="BK3" i="29"/>
  <c r="BD46" i="29"/>
  <c r="BD50" i="29"/>
  <c r="BD54" i="29"/>
  <c r="BD58" i="29"/>
  <c r="BD62" i="29"/>
  <c r="BD66" i="29"/>
  <c r="BD70" i="29"/>
  <c r="BD74" i="29"/>
  <c r="BD78" i="29"/>
  <c r="BD82" i="29"/>
  <c r="BD86" i="29"/>
  <c r="BK4" i="29"/>
  <c r="BK5" i="29"/>
  <c r="BK6" i="29"/>
  <c r="BK7" i="29"/>
  <c r="BK8" i="29"/>
  <c r="BK9" i="29"/>
  <c r="BK10" i="29"/>
  <c r="BK11" i="29"/>
  <c r="BK12" i="29"/>
  <c r="BK13" i="29"/>
  <c r="BK14" i="29"/>
  <c r="BK15" i="29"/>
  <c r="BK16" i="29"/>
  <c r="BK17" i="29"/>
  <c r="BK18" i="29"/>
  <c r="BK19" i="29"/>
  <c r="BK20" i="29"/>
  <c r="BK21" i="29"/>
  <c r="BK22" i="29"/>
  <c r="BK23" i="29"/>
  <c r="BK24" i="29"/>
  <c r="BK25" i="29"/>
  <c r="BK26" i="29"/>
  <c r="BK27" i="29"/>
  <c r="BK28" i="29"/>
  <c r="BK29" i="29"/>
  <c r="BK30" i="29"/>
  <c r="BK31" i="29"/>
  <c r="BK32" i="29"/>
  <c r="BK33" i="29"/>
  <c r="BK34" i="29"/>
  <c r="BK35" i="29"/>
  <c r="BK36" i="29"/>
  <c r="BK37" i="29"/>
  <c r="BK38" i="29"/>
  <c r="BK39" i="29"/>
  <c r="BK40" i="29"/>
  <c r="BK41" i="29"/>
  <c r="BK42" i="29"/>
  <c r="BK43" i="29"/>
  <c r="BK44" i="29"/>
  <c r="BK45" i="29"/>
  <c r="BK46" i="29"/>
  <c r="BK47" i="29"/>
  <c r="BK48" i="29"/>
  <c r="BK49" i="29"/>
  <c r="BK50" i="29"/>
  <c r="BK51" i="29"/>
  <c r="BK52" i="29"/>
  <c r="BK53" i="29"/>
  <c r="BK54" i="29"/>
  <c r="BK55" i="29"/>
  <c r="BK56" i="29"/>
  <c r="BK57" i="29"/>
  <c r="BK58" i="29"/>
  <c r="BK59" i="29"/>
  <c r="BK60" i="29"/>
  <c r="BK61" i="29"/>
  <c r="BK62" i="29"/>
  <c r="BK63" i="29"/>
  <c r="BK64" i="29"/>
  <c r="BK65" i="29"/>
  <c r="BK66" i="29"/>
  <c r="BK67" i="29"/>
  <c r="BK68" i="29"/>
  <c r="BK69" i="29"/>
  <c r="BK70" i="29"/>
  <c r="BK71" i="29"/>
  <c r="BK72" i="29"/>
  <c r="BK73" i="29"/>
  <c r="BK74" i="29"/>
  <c r="BK75" i="29"/>
  <c r="BK76" i="29"/>
  <c r="BK77" i="29"/>
  <c r="BK78" i="29"/>
  <c r="BK79" i="29"/>
  <c r="BK80" i="29"/>
  <c r="BK81" i="29"/>
  <c r="BK82" i="29"/>
  <c r="BK83" i="29"/>
  <c r="BK84" i="29"/>
  <c r="BK85" i="29"/>
  <c r="BK86" i="29"/>
  <c r="BK87" i="29"/>
  <c r="BK89" i="29"/>
  <c r="BK90" i="29"/>
  <c r="BD45" i="29"/>
  <c r="BD49" i="29"/>
  <c r="BD53" i="29"/>
  <c r="BD57" i="29"/>
  <c r="BD61" i="29"/>
  <c r="BD65" i="29"/>
  <c r="BD69" i="29"/>
  <c r="BD73" i="29"/>
  <c r="BD77" i="29"/>
  <c r="BD81" i="29"/>
  <c r="BD85" i="29"/>
  <c r="BD90" i="29"/>
  <c r="BD44" i="29"/>
  <c r="BD48" i="29"/>
  <c r="BD52" i="29"/>
  <c r="BD56" i="29"/>
  <c r="BD60" i="29"/>
  <c r="BD64" i="29"/>
  <c r="BD68" i="29"/>
  <c r="BD72" i="29"/>
  <c r="BD76" i="29"/>
  <c r="BD80" i="29"/>
  <c r="BD84" i="29"/>
  <c r="BD89" i="29"/>
  <c r="BR6" i="29"/>
  <c r="BR10" i="29"/>
  <c r="BR14" i="29"/>
  <c r="BR18" i="29"/>
  <c r="BR22" i="29"/>
  <c r="BR26" i="29"/>
  <c r="BR30" i="29"/>
  <c r="BR34" i="29"/>
  <c r="BR38" i="29"/>
  <c r="BR42" i="29"/>
  <c r="BR46" i="29"/>
  <c r="BR50" i="29"/>
  <c r="BR54" i="29"/>
  <c r="BR58" i="29"/>
  <c r="BR62" i="29"/>
  <c r="BR66" i="29"/>
  <c r="BR70" i="29"/>
  <c r="BR7" i="29"/>
  <c r="BR11" i="29"/>
  <c r="BR15" i="29"/>
  <c r="BR19" i="29"/>
  <c r="BR23" i="29"/>
  <c r="BR27" i="29"/>
  <c r="BR31" i="29"/>
  <c r="BR35" i="29"/>
  <c r="BR39" i="29"/>
  <c r="BR43" i="29"/>
  <c r="BR47" i="29"/>
  <c r="BR51" i="29"/>
  <c r="BR55" i="29"/>
  <c r="BR59" i="29"/>
  <c r="BR63" i="29"/>
  <c r="BR67" i="29"/>
  <c r="BR71" i="29"/>
  <c r="BR75" i="29"/>
  <c r="BR79" i="29"/>
  <c r="BR4" i="29"/>
  <c r="BR8" i="29"/>
  <c r="BR12" i="29"/>
  <c r="BR16" i="29"/>
  <c r="BR20" i="29"/>
  <c r="BR24" i="29"/>
  <c r="BR28" i="29"/>
  <c r="BR32" i="29"/>
  <c r="BR36" i="29"/>
  <c r="BR40" i="29"/>
  <c r="BR44" i="29"/>
  <c r="BR48" i="29"/>
  <c r="BR52" i="29"/>
  <c r="BR56" i="29"/>
  <c r="BR60" i="29"/>
  <c r="BR64" i="29"/>
  <c r="BR68" i="29"/>
  <c r="BR72" i="29"/>
  <c r="BR76" i="29"/>
  <c r="BR80" i="29"/>
  <c r="BR5" i="29"/>
  <c r="BR9" i="29"/>
  <c r="BR13" i="29"/>
  <c r="BR17" i="29"/>
  <c r="BR21" i="29"/>
  <c r="BR25" i="29"/>
  <c r="BR29" i="29"/>
  <c r="BR33" i="29"/>
  <c r="BR37" i="29"/>
  <c r="BR41" i="29"/>
  <c r="BR45" i="29"/>
  <c r="BR49" i="29"/>
  <c r="BR53" i="29"/>
  <c r="BR57" i="29"/>
  <c r="BR69" i="29"/>
  <c r="BR77" i="29"/>
  <c r="BR84" i="29"/>
  <c r="BR89" i="29"/>
  <c r="BR3" i="29"/>
  <c r="CZ6" i="29"/>
  <c r="CZ4" i="29"/>
  <c r="CZ10" i="29"/>
  <c r="CZ11" i="29"/>
  <c r="CZ9" i="29"/>
  <c r="CZ8" i="29"/>
  <c r="CZ7" i="29"/>
  <c r="CZ5" i="29"/>
  <c r="CZ3" i="29"/>
  <c r="BR74" i="29"/>
  <c r="BR81" i="29"/>
  <c r="BR85" i="29"/>
  <c r="BR90" i="29"/>
  <c r="CJ6" i="29"/>
  <c r="DL6" i="29"/>
  <c r="CJ4" i="29"/>
  <c r="DL4" i="29"/>
  <c r="CJ10" i="29"/>
  <c r="DL10" i="29"/>
  <c r="CJ11" i="29"/>
  <c r="DL11" i="29"/>
  <c r="CJ9" i="29"/>
  <c r="DL9" i="29"/>
  <c r="CJ8" i="29"/>
  <c r="DL8" i="29"/>
  <c r="CJ7" i="29"/>
  <c r="DL7" i="29"/>
  <c r="CJ5" i="29"/>
  <c r="DL5" i="29"/>
  <c r="CJ3" i="29"/>
  <c r="DL3" i="29"/>
  <c r="BX90" i="29"/>
  <c r="BX85" i="29"/>
  <c r="BX81" i="29"/>
  <c r="BX77" i="29"/>
  <c r="BX73" i="29"/>
  <c r="BX69" i="29"/>
  <c r="BX65" i="29"/>
  <c r="BX61" i="29"/>
  <c r="BX57" i="29"/>
  <c r="BX53" i="29"/>
  <c r="BX49" i="29"/>
  <c r="BX45" i="29"/>
  <c r="BX41" i="29"/>
  <c r="BX37" i="29"/>
  <c r="BX33" i="29"/>
  <c r="BX29" i="29"/>
  <c r="BX25" i="29"/>
  <c r="BX21" i="29"/>
  <c r="BX17" i="29"/>
  <c r="BX13" i="29"/>
  <c r="BR61" i="29"/>
  <c r="BR73" i="29"/>
  <c r="BR82" i="29"/>
  <c r="BR86" i="29"/>
  <c r="BX6" i="29"/>
  <c r="BX4" i="29"/>
  <c r="BX10" i="29"/>
  <c r="BX11" i="29"/>
  <c r="BX9" i="29"/>
  <c r="BX8" i="29"/>
  <c r="BX7" i="29"/>
  <c r="BX5" i="29"/>
  <c r="BX3" i="29"/>
  <c r="BX89" i="29"/>
  <c r="BX84" i="29"/>
  <c r="BX80" i="29"/>
  <c r="BX76" i="29"/>
  <c r="BX72" i="29"/>
  <c r="BX68" i="29"/>
  <c r="BX64" i="29"/>
  <c r="BX60" i="29"/>
  <c r="BX56" i="29"/>
  <c r="BX52" i="29"/>
  <c r="BX48" i="29"/>
  <c r="BX44" i="29"/>
  <c r="BX40" i="29"/>
  <c r="BX36" i="29"/>
  <c r="BX32" i="29"/>
  <c r="BX28" i="29"/>
  <c r="BX24" i="29"/>
  <c r="BX20" i="29"/>
  <c r="BX16" i="29"/>
  <c r="BX12" i="29"/>
  <c r="BR65" i="29"/>
  <c r="BR78" i="29"/>
  <c r="BR83" i="29"/>
  <c r="BR87" i="29"/>
  <c r="CS6" i="29"/>
  <c r="CS4" i="29"/>
  <c r="CS10" i="29"/>
  <c r="CS11" i="29"/>
  <c r="CS9" i="29"/>
  <c r="CS8" i="29"/>
  <c r="CS7" i="29"/>
  <c r="BX83" i="29"/>
  <c r="BX75" i="29"/>
  <c r="BX67" i="29"/>
  <c r="BX59" i="29"/>
  <c r="BX51" i="29"/>
  <c r="BX43" i="29"/>
  <c r="BX35" i="29"/>
  <c r="BX27" i="29"/>
  <c r="BX19" i="29"/>
  <c r="CZ14" i="29"/>
  <c r="BX82" i="29"/>
  <c r="BX74" i="29"/>
  <c r="BX66" i="29"/>
  <c r="BX58" i="29"/>
  <c r="BX50" i="29"/>
  <c r="BX42" i="29"/>
  <c r="BX34" i="29"/>
  <c r="BX26" i="29"/>
  <c r="BX18" i="29"/>
  <c r="BX87" i="29"/>
  <c r="BX79" i="29"/>
  <c r="BX71" i="29"/>
  <c r="BX63" i="29"/>
  <c r="BX55" i="29"/>
  <c r="BX47" i="29"/>
  <c r="BX39" i="29"/>
  <c r="BX31" i="29"/>
  <c r="BX23" i="29"/>
  <c r="BX15" i="29"/>
  <c r="CJ43" i="29"/>
  <c r="DL43" i="29"/>
  <c r="CS12" i="29"/>
  <c r="CZ13" i="29"/>
  <c r="CS5" i="29"/>
  <c r="CS3" i="29"/>
  <c r="BX86" i="29"/>
  <c r="BX78" i="29"/>
  <c r="BX70" i="29"/>
  <c r="BX62" i="29"/>
  <c r="BX54" i="29"/>
  <c r="BX46" i="29"/>
  <c r="BX38" i="29"/>
  <c r="BX30" i="29"/>
  <c r="BX22" i="29"/>
  <c r="BX14" i="29"/>
  <c r="CS14" i="29"/>
  <c r="CS13" i="29"/>
  <c r="CZ12" i="29"/>
  <c r="CS43" i="29"/>
  <c r="CJ12" i="29"/>
  <c r="DL12" i="29"/>
  <c r="DL13" i="29"/>
  <c r="CJ13" i="29"/>
  <c r="CZ43" i="29"/>
  <c r="DL14" i="29"/>
  <c r="CJ14" i="29"/>
  <c r="CJ87" i="29"/>
  <c r="CJ83" i="29"/>
  <c r="CJ79" i="29"/>
  <c r="CJ75" i="29"/>
  <c r="CJ71" i="29"/>
  <c r="CJ67" i="29"/>
  <c r="CJ63" i="29"/>
  <c r="CJ59" i="29"/>
  <c r="CJ55" i="29"/>
  <c r="CJ51" i="29"/>
  <c r="CJ47" i="29"/>
  <c r="CJ42" i="29"/>
  <c r="CJ38" i="29"/>
  <c r="CJ34" i="29"/>
  <c r="CJ30" i="29"/>
  <c r="CJ26" i="29"/>
  <c r="CJ22" i="29"/>
  <c r="CJ18" i="29"/>
  <c r="CJ86" i="29"/>
  <c r="CJ82" i="29"/>
  <c r="CJ78" i="29"/>
  <c r="CJ74" i="29"/>
  <c r="CJ70" i="29"/>
  <c r="CJ66" i="29"/>
  <c r="CJ62" i="29"/>
  <c r="CJ58" i="29"/>
  <c r="CJ54" i="29"/>
  <c r="CJ50" i="29"/>
  <c r="CJ46" i="29"/>
  <c r="CJ41" i="29"/>
  <c r="CJ37" i="29"/>
  <c r="CJ33" i="29"/>
  <c r="CJ29" i="29"/>
  <c r="CJ25" i="29"/>
  <c r="CJ21" i="29"/>
  <c r="CJ17" i="29"/>
  <c r="CJ90" i="29"/>
  <c r="CJ85" i="29"/>
  <c r="CJ81" i="29"/>
  <c r="CJ77" i="29"/>
  <c r="CJ73" i="29"/>
  <c r="CJ69" i="29"/>
  <c r="CJ65" i="29"/>
  <c r="CJ61" i="29"/>
  <c r="CJ57" i="29"/>
  <c r="CJ53" i="29"/>
  <c r="CJ49" i="29"/>
  <c r="CJ45" i="29"/>
  <c r="CJ40" i="29"/>
  <c r="CJ36" i="29"/>
  <c r="CJ32" i="29"/>
  <c r="CJ28" i="29"/>
  <c r="CJ24" i="29"/>
  <c r="CJ20" i="29"/>
  <c r="CJ16" i="29"/>
  <c r="CJ89" i="29"/>
  <c r="CJ84" i="29"/>
  <c r="CJ80" i="29"/>
  <c r="CJ76" i="29"/>
  <c r="CJ72" i="29"/>
  <c r="CJ68" i="29"/>
  <c r="CJ64" i="29"/>
  <c r="CJ60" i="29"/>
  <c r="CJ56" i="29"/>
  <c r="CJ52" i="29"/>
  <c r="CJ48" i="29"/>
  <c r="CJ44" i="29"/>
  <c r="CJ39" i="29"/>
  <c r="CJ35" i="29"/>
  <c r="CJ31" i="29"/>
  <c r="CJ27" i="29"/>
  <c r="CJ23" i="29"/>
  <c r="CJ19" i="29"/>
  <c r="CJ15" i="29"/>
  <c r="P14" i="10"/>
  <c r="E8" i="19" s="1"/>
  <c r="P6" i="9"/>
  <c r="B4" i="19"/>
  <c r="F4" i="29"/>
  <c r="F8" i="29"/>
  <c r="F17" i="29"/>
  <c r="F73" i="29"/>
  <c r="F23" i="29"/>
  <c r="F39" i="29"/>
  <c r="F55" i="29"/>
  <c r="F71" i="29"/>
  <c r="F87" i="29"/>
  <c r="F41" i="29"/>
  <c r="F90" i="29"/>
  <c r="F24" i="29"/>
  <c r="F40" i="29"/>
  <c r="F56" i="29"/>
  <c r="F72" i="29"/>
  <c r="F89" i="29"/>
  <c r="F61" i="29"/>
  <c r="F30" i="29"/>
  <c r="F74" i="29"/>
  <c r="F66" i="29"/>
  <c r="F58" i="29"/>
  <c r="F70" i="29"/>
  <c r="F10" i="29"/>
  <c r="F7" i="29"/>
  <c r="F33" i="29"/>
  <c r="F85" i="29"/>
  <c r="F27" i="29"/>
  <c r="F43" i="29"/>
  <c r="F59" i="29"/>
  <c r="F75" i="29"/>
  <c r="F13" i="29"/>
  <c r="F53" i="29"/>
  <c r="F12" i="29"/>
  <c r="F28" i="29"/>
  <c r="F44" i="29"/>
  <c r="F60" i="29"/>
  <c r="F76" i="29"/>
  <c r="F25" i="29"/>
  <c r="F69" i="29"/>
  <c r="F46" i="29"/>
  <c r="F18" i="29"/>
  <c r="F82" i="29"/>
  <c r="F22" i="29"/>
  <c r="F86" i="29"/>
  <c r="F11" i="29"/>
  <c r="F5" i="29"/>
  <c r="F45" i="29"/>
  <c r="F15" i="29"/>
  <c r="F31" i="29"/>
  <c r="F47" i="29"/>
  <c r="F63" i="29"/>
  <c r="F79" i="29"/>
  <c r="F21" i="29"/>
  <c r="F65" i="29"/>
  <c r="F16" i="29"/>
  <c r="F32" i="29"/>
  <c r="F48" i="29"/>
  <c r="F64" i="29"/>
  <c r="F80" i="29"/>
  <c r="F37" i="29"/>
  <c r="F81" i="29"/>
  <c r="F62" i="29"/>
  <c r="F34" i="29"/>
  <c r="F26" i="29"/>
  <c r="F38" i="29"/>
  <c r="F6" i="29"/>
  <c r="F9" i="29"/>
  <c r="F3" i="29"/>
  <c r="F57" i="29"/>
  <c r="F19" i="29"/>
  <c r="F35" i="29"/>
  <c r="F51" i="29"/>
  <c r="F67" i="29"/>
  <c r="F83" i="29"/>
  <c r="F29" i="29"/>
  <c r="F77" i="29"/>
  <c r="F20" i="29"/>
  <c r="F36" i="29"/>
  <c r="F52" i="29"/>
  <c r="F68" i="29"/>
  <c r="F84" i="29"/>
  <c r="F49" i="29"/>
  <c r="F14" i="29"/>
  <c r="F78" i="29"/>
  <c r="F50" i="29"/>
  <c r="F42" i="29"/>
  <c r="F54" i="29"/>
  <c r="K16" i="29"/>
  <c r="K32" i="29"/>
  <c r="K48" i="29"/>
  <c r="K64" i="29"/>
  <c r="K80" i="29"/>
  <c r="K11" i="29"/>
  <c r="K33" i="29"/>
  <c r="K54" i="29"/>
  <c r="K75" i="29"/>
  <c r="K13" i="29"/>
  <c r="K34" i="29"/>
  <c r="K55" i="29"/>
  <c r="K77" i="29"/>
  <c r="K14" i="29"/>
  <c r="K35" i="29"/>
  <c r="K57" i="29"/>
  <c r="K78" i="29"/>
  <c r="K10" i="29"/>
  <c r="K31" i="29"/>
  <c r="K53" i="29"/>
  <c r="K74" i="29"/>
  <c r="H77" i="5"/>
  <c r="BC9" i="29"/>
  <c r="BC25" i="29"/>
  <c r="BC41" i="29"/>
  <c r="BC57" i="29"/>
  <c r="BC73" i="29"/>
  <c r="BC90" i="29"/>
  <c r="BC18" i="29"/>
  <c r="BC34" i="29"/>
  <c r="BC50" i="29"/>
  <c r="BC66" i="29"/>
  <c r="BC82" i="29"/>
  <c r="BC11" i="29"/>
  <c r="BC27" i="29"/>
  <c r="BC43" i="29"/>
  <c r="BC59" i="29"/>
  <c r="BC75" i="29"/>
  <c r="BG75" i="29" s="1"/>
  <c r="BC4" i="29"/>
  <c r="BC20" i="29"/>
  <c r="BC36" i="29"/>
  <c r="BC52" i="29"/>
  <c r="BG52" i="29" s="1"/>
  <c r="BC68" i="29"/>
  <c r="BC84" i="29"/>
  <c r="BJ6" i="29"/>
  <c r="BJ10" i="29"/>
  <c r="BN10" i="29" s="1"/>
  <c r="BJ14" i="29"/>
  <c r="BJ18" i="29"/>
  <c r="BJ22" i="29"/>
  <c r="BJ26" i="29"/>
  <c r="BJ30" i="29"/>
  <c r="BJ34" i="29"/>
  <c r="BJ38" i="29"/>
  <c r="BJ42" i="29"/>
  <c r="BN42" i="29" s="1"/>
  <c r="BJ46" i="29"/>
  <c r="BJ50" i="29"/>
  <c r="BJ54" i="29"/>
  <c r="BJ58" i="29"/>
  <c r="BN58" i="29" s="1"/>
  <c r="BJ62" i="29"/>
  <c r="BJ66" i="29"/>
  <c r="BJ70" i="29"/>
  <c r="BJ74" i="29"/>
  <c r="BN74" i="29" s="1"/>
  <c r="BJ78" i="29"/>
  <c r="BJ82" i="29"/>
  <c r="BJ86" i="29"/>
  <c r="BJ3" i="29"/>
  <c r="BN3" i="29" s="1"/>
  <c r="BQ19" i="29"/>
  <c r="BQ35" i="29"/>
  <c r="BQ51" i="29"/>
  <c r="BQ67" i="29"/>
  <c r="BT67" i="29" s="1"/>
  <c r="BQ12" i="29"/>
  <c r="BQ28" i="29"/>
  <c r="BQ44" i="29"/>
  <c r="BQ60" i="29"/>
  <c r="BQ76" i="29"/>
  <c r="BQ17" i="29"/>
  <c r="BQ33" i="29"/>
  <c r="BQ49" i="29"/>
  <c r="BQ65" i="29"/>
  <c r="BQ6" i="29"/>
  <c r="BQ22" i="29"/>
  <c r="BQ38" i="29"/>
  <c r="BT38" i="29" s="1"/>
  <c r="BQ54" i="29"/>
  <c r="BQ80" i="29"/>
  <c r="CI6" i="29"/>
  <c r="CI9" i="29"/>
  <c r="CI3" i="29"/>
  <c r="BQ86" i="29"/>
  <c r="BW10" i="29"/>
  <c r="BW7" i="29"/>
  <c r="CF7" i="29" s="1"/>
  <c r="BW83" i="29"/>
  <c r="BW67" i="29"/>
  <c r="BW51" i="29"/>
  <c r="BW35" i="29"/>
  <c r="CF35" i="29" s="1"/>
  <c r="BW19" i="29"/>
  <c r="BQ87" i="29"/>
  <c r="BW74" i="29"/>
  <c r="BW58" i="29"/>
  <c r="CF58" i="29" s="1"/>
  <c r="BQ89" i="29"/>
  <c r="BW65" i="29"/>
  <c r="BW41" i="29"/>
  <c r="BW20" i="29"/>
  <c r="CI46" i="29"/>
  <c r="BW80" i="29"/>
  <c r="BW50" i="29"/>
  <c r="CF50" i="29" s="1"/>
  <c r="BW29" i="29"/>
  <c r="CF29" i="29" s="1"/>
  <c r="BW85" i="29"/>
  <c r="BW54" i="29"/>
  <c r="BW33" i="29"/>
  <c r="BW12" i="29"/>
  <c r="CI76" i="29"/>
  <c r="CI60" i="29"/>
  <c r="CI44" i="29"/>
  <c r="CP44" i="29" s="1"/>
  <c r="CI28" i="29"/>
  <c r="CP28" i="29" s="1"/>
  <c r="CI12" i="29"/>
  <c r="CI54" i="29"/>
  <c r="BW84" i="29"/>
  <c r="BW53" i="29"/>
  <c r="CF53" i="29" s="1"/>
  <c r="BW32" i="29"/>
  <c r="CI87" i="29"/>
  <c r="CI71" i="29"/>
  <c r="CI55" i="29"/>
  <c r="CP55" i="29" s="1"/>
  <c r="CI39" i="29"/>
  <c r="CP39" i="29" s="1"/>
  <c r="CI23" i="29"/>
  <c r="CP23" i="29" s="1"/>
  <c r="CI70" i="29"/>
  <c r="CP70" i="29" s="1"/>
  <c r="CI26" i="29"/>
  <c r="CI57" i="29"/>
  <c r="CI13" i="29"/>
  <c r="CI37" i="29"/>
  <c r="CP37" i="29" s="1"/>
  <c r="CI65" i="29"/>
  <c r="CP65" i="29" s="1"/>
  <c r="CI77" i="29"/>
  <c r="BC13" i="29"/>
  <c r="BC29" i="29"/>
  <c r="BC45" i="29"/>
  <c r="BG45" i="29" s="1"/>
  <c r="BC61" i="29"/>
  <c r="BC77" i="29"/>
  <c r="BC6" i="29"/>
  <c r="BC22" i="29"/>
  <c r="BG22" i="29" s="1"/>
  <c r="BC38" i="29"/>
  <c r="BC54" i="29"/>
  <c r="BC70" i="29"/>
  <c r="BG70" i="29" s="1"/>
  <c r="BC86" i="29"/>
  <c r="BG86" i="29" s="1"/>
  <c r="BC15" i="29"/>
  <c r="BC31" i="29"/>
  <c r="BC47" i="29"/>
  <c r="BG47" i="29" s="1"/>
  <c r="BC63" i="29"/>
  <c r="BG63" i="29" s="1"/>
  <c r="BC79" i="29"/>
  <c r="BC8" i="29"/>
  <c r="BC24" i="29"/>
  <c r="BG24" i="29" s="1"/>
  <c r="BC40" i="29"/>
  <c r="BG40" i="29" s="1"/>
  <c r="BC56" i="29"/>
  <c r="BC72" i="29"/>
  <c r="BC89" i="29"/>
  <c r="BG89" i="29" s="1"/>
  <c r="BJ7" i="29"/>
  <c r="BN7" i="29" s="1"/>
  <c r="BJ11" i="29"/>
  <c r="BJ15" i="29"/>
  <c r="BJ19" i="29"/>
  <c r="BN19" i="29" s="1"/>
  <c r="BJ23" i="29"/>
  <c r="BN23" i="29" s="1"/>
  <c r="BJ27" i="29"/>
  <c r="BJ31" i="29"/>
  <c r="BJ35" i="29"/>
  <c r="BJ39" i="29"/>
  <c r="BN39" i="29" s="1"/>
  <c r="BJ43" i="29"/>
  <c r="BJ47" i="29"/>
  <c r="BJ51" i="29"/>
  <c r="BN51" i="29" s="1"/>
  <c r="BJ55" i="29"/>
  <c r="BN55" i="29" s="1"/>
  <c r="BJ59" i="29"/>
  <c r="BJ63" i="29"/>
  <c r="BJ67" i="29"/>
  <c r="BN67" i="29" s="1"/>
  <c r="BJ71" i="29"/>
  <c r="BJ75" i="29"/>
  <c r="BJ79" i="29"/>
  <c r="BJ83" i="29"/>
  <c r="BN83" i="29" s="1"/>
  <c r="BJ87" i="29"/>
  <c r="BQ7" i="29"/>
  <c r="BQ23" i="29"/>
  <c r="BQ39" i="29"/>
  <c r="BT39" i="29" s="1"/>
  <c r="BQ55" i="29"/>
  <c r="BT55" i="29" s="1"/>
  <c r="BQ71" i="29"/>
  <c r="BQ16" i="29"/>
  <c r="BQ32" i="29"/>
  <c r="BT32" i="29" s="1"/>
  <c r="BQ48" i="29"/>
  <c r="BT48" i="29" s="1"/>
  <c r="BQ64" i="29"/>
  <c r="BQ5" i="29"/>
  <c r="BQ21" i="29"/>
  <c r="BT21" i="29" s="1"/>
  <c r="BQ37" i="29"/>
  <c r="BT37" i="29" s="1"/>
  <c r="BQ53" i="29"/>
  <c r="BQ69" i="29"/>
  <c r="BQ10" i="29"/>
  <c r="BQ26" i="29"/>
  <c r="BT26" i="29" s="1"/>
  <c r="BQ42" i="29"/>
  <c r="BQ58" i="29"/>
  <c r="BQ81" i="29"/>
  <c r="BT81" i="29" s="1"/>
  <c r="CI4" i="29"/>
  <c r="CP4" i="29" s="1"/>
  <c r="CI8" i="29"/>
  <c r="BQ70" i="29"/>
  <c r="BQ3" i="29"/>
  <c r="BT3" i="29" s="1"/>
  <c r="BW11" i="29"/>
  <c r="CF11" i="29" s="1"/>
  <c r="BW5" i="29"/>
  <c r="BW79" i="29"/>
  <c r="BW63" i="29"/>
  <c r="CF63" i="29" s="1"/>
  <c r="BW47" i="29"/>
  <c r="CF47" i="29" s="1"/>
  <c r="BW31" i="29"/>
  <c r="BW15" i="29"/>
  <c r="BW86" i="29"/>
  <c r="CF86" i="29" s="1"/>
  <c r="BW70" i="29"/>
  <c r="CF70" i="29" s="1"/>
  <c r="BQ62" i="29"/>
  <c r="BW90" i="29"/>
  <c r="BW57" i="29"/>
  <c r="BW36" i="29"/>
  <c r="BW14" i="29"/>
  <c r="CI30" i="29"/>
  <c r="BW72" i="29"/>
  <c r="CF72" i="29" s="1"/>
  <c r="BW45" i="29"/>
  <c r="BW24" i="29"/>
  <c r="BW77" i="29"/>
  <c r="BW49" i="29"/>
  <c r="BW28" i="29"/>
  <c r="CF28" i="29" s="1"/>
  <c r="CI89" i="29"/>
  <c r="CI72" i="29"/>
  <c r="CI56" i="29"/>
  <c r="CP56" i="29" s="1"/>
  <c r="CI40" i="29"/>
  <c r="CP40" i="29" s="1"/>
  <c r="CI24" i="29"/>
  <c r="CI86" i="29"/>
  <c r="CI42" i="29"/>
  <c r="CP42" i="29" s="1"/>
  <c r="BW76" i="29"/>
  <c r="CF76" i="29" s="1"/>
  <c r="BW48" i="29"/>
  <c r="BW26" i="29"/>
  <c r="CI83" i="29"/>
  <c r="CI67" i="29"/>
  <c r="CP67" i="29" s="1"/>
  <c r="CI51" i="29"/>
  <c r="CI35" i="29"/>
  <c r="CI19" i="29"/>
  <c r="CI62" i="29"/>
  <c r="CP62" i="29" s="1"/>
  <c r="CI14" i="29"/>
  <c r="CI41" i="29"/>
  <c r="CP41" i="29" s="1"/>
  <c r="CI85" i="29"/>
  <c r="CP85" i="29" s="1"/>
  <c r="CI21" i="29"/>
  <c r="CP21" i="29" s="1"/>
  <c r="CI49" i="29"/>
  <c r="CI29" i="29"/>
  <c r="BC17" i="29"/>
  <c r="BG17" i="29" s="1"/>
  <c r="BC33" i="29"/>
  <c r="BG33" i="29" s="1"/>
  <c r="BC49" i="29"/>
  <c r="BC65" i="29"/>
  <c r="BC81" i="29"/>
  <c r="BC10" i="29"/>
  <c r="BG10" i="29" s="1"/>
  <c r="BC26" i="29"/>
  <c r="BC42" i="29"/>
  <c r="BC58" i="29"/>
  <c r="BG58" i="29" s="1"/>
  <c r="BC74" i="29"/>
  <c r="BC3" i="29"/>
  <c r="BC19" i="29"/>
  <c r="BC35" i="29"/>
  <c r="BC51" i="29"/>
  <c r="BG51" i="29" s="1"/>
  <c r="BC67" i="29"/>
  <c r="BC83" i="29"/>
  <c r="BC12" i="29"/>
  <c r="BG12" i="29" s="1"/>
  <c r="BC28" i="29"/>
  <c r="BG28" i="29" s="1"/>
  <c r="BC44" i="29"/>
  <c r="BC60" i="29"/>
  <c r="BC76" i="29"/>
  <c r="BG76" i="29" s="1"/>
  <c r="BJ4" i="29"/>
  <c r="BN4" i="29" s="1"/>
  <c r="BJ8" i="29"/>
  <c r="BJ12" i="29"/>
  <c r="BJ16" i="29"/>
  <c r="BJ20" i="29"/>
  <c r="BN20" i="29" s="1"/>
  <c r="BJ24" i="29"/>
  <c r="BJ28" i="29"/>
  <c r="BJ32" i="29"/>
  <c r="BJ36" i="29"/>
  <c r="BN36" i="29" s="1"/>
  <c r="BJ40" i="29"/>
  <c r="BJ44" i="29"/>
  <c r="BJ48" i="29"/>
  <c r="BN48" i="29" s="1"/>
  <c r="BJ52" i="29"/>
  <c r="BN52" i="29" s="1"/>
  <c r="BJ56" i="29"/>
  <c r="BJ60" i="29"/>
  <c r="BJ64" i="29"/>
  <c r="BN64" i="29" s="1"/>
  <c r="BJ68" i="29"/>
  <c r="BN68" i="29" s="1"/>
  <c r="BJ72" i="29"/>
  <c r="BJ76" i="29"/>
  <c r="BJ80" i="29"/>
  <c r="BN80" i="29" s="1"/>
  <c r="BJ84" i="29"/>
  <c r="BN84" i="29" s="1"/>
  <c r="BJ89" i="29"/>
  <c r="BQ11" i="29"/>
  <c r="BQ27" i="29"/>
  <c r="BT27" i="29" s="1"/>
  <c r="BQ43" i="29"/>
  <c r="BT43" i="29" s="1"/>
  <c r="BQ59" i="29"/>
  <c r="BQ4" i="29"/>
  <c r="BQ20" i="29"/>
  <c r="BT20" i="29" s="1"/>
  <c r="BQ36" i="29"/>
  <c r="BT36" i="29" s="1"/>
  <c r="BQ52" i="29"/>
  <c r="BQ68" i="29"/>
  <c r="BQ9" i="29"/>
  <c r="BQ25" i="29"/>
  <c r="BT25" i="29" s="1"/>
  <c r="BQ41" i="29"/>
  <c r="BQ57" i="29"/>
  <c r="BQ73" i="29"/>
  <c r="BT73" i="29" s="1"/>
  <c r="BQ14" i="29"/>
  <c r="BT14" i="29" s="1"/>
  <c r="BQ30" i="29"/>
  <c r="BQ46" i="29"/>
  <c r="BQ66" i="29"/>
  <c r="BQ85" i="29"/>
  <c r="BT85" i="29" s="1"/>
  <c r="CI10" i="29"/>
  <c r="CI7" i="29"/>
  <c r="BQ79" i="29"/>
  <c r="BT79" i="29" s="1"/>
  <c r="BW6" i="29"/>
  <c r="CF6" i="29" s="1"/>
  <c r="BW9" i="29"/>
  <c r="BW3" i="29"/>
  <c r="BW75" i="29"/>
  <c r="CF75" i="29" s="1"/>
  <c r="BW59" i="29"/>
  <c r="CF59" i="29" s="1"/>
  <c r="BW43" i="29"/>
  <c r="BW27" i="29"/>
  <c r="BQ78" i="29"/>
  <c r="BT78" i="29" s="1"/>
  <c r="BW82" i="29"/>
  <c r="CF82" i="29" s="1"/>
  <c r="BW66" i="29"/>
  <c r="BQ75" i="29"/>
  <c r="BW81" i="29"/>
  <c r="CF81" i="29" s="1"/>
  <c r="BW52" i="29"/>
  <c r="CF52" i="29" s="1"/>
  <c r="BW30" i="29"/>
  <c r="CI74" i="29"/>
  <c r="CP74" i="29" s="1"/>
  <c r="CI18" i="29"/>
  <c r="BW64" i="29"/>
  <c r="CF64" i="29" s="1"/>
  <c r="BW40" i="29"/>
  <c r="BW18" i="29"/>
  <c r="BW69" i="29"/>
  <c r="CF69" i="29" s="1"/>
  <c r="BW44" i="29"/>
  <c r="CF44" i="29" s="1"/>
  <c r="BW22" i="29"/>
  <c r="CI84" i="29"/>
  <c r="CI68" i="29"/>
  <c r="CP68" i="29" s="1"/>
  <c r="CI52" i="29"/>
  <c r="CP52" i="29" s="1"/>
  <c r="CI36" i="29"/>
  <c r="CI20" i="29"/>
  <c r="CP20" i="29" s="1"/>
  <c r="CI78" i="29"/>
  <c r="CI34" i="29"/>
  <c r="CP34" i="29" s="1"/>
  <c r="BW68" i="29"/>
  <c r="BW42" i="29"/>
  <c r="BW21" i="29"/>
  <c r="CF21" i="29" s="1"/>
  <c r="CI79" i="29"/>
  <c r="CI63" i="29"/>
  <c r="CI47" i="29"/>
  <c r="CI31" i="29"/>
  <c r="CP31" i="29" s="1"/>
  <c r="CI15" i="29"/>
  <c r="CP15" i="29" s="1"/>
  <c r="CI50" i="29"/>
  <c r="CP50" i="29" s="1"/>
  <c r="CI90" i="29"/>
  <c r="CI25" i="29"/>
  <c r="CP25" i="29" s="1"/>
  <c r="CI69" i="29"/>
  <c r="CP69" i="29" s="1"/>
  <c r="CI45" i="29"/>
  <c r="CI33" i="29"/>
  <c r="BC5" i="29"/>
  <c r="BC21" i="29"/>
  <c r="BG21" i="29" s="1"/>
  <c r="BC37" i="29"/>
  <c r="BC53" i="29"/>
  <c r="BC69" i="29"/>
  <c r="BG69" i="29" s="1"/>
  <c r="BC85" i="29"/>
  <c r="BG85" i="29" s="1"/>
  <c r="BC14" i="29"/>
  <c r="BC30" i="29"/>
  <c r="BC46" i="29"/>
  <c r="BG46" i="29" s="1"/>
  <c r="BC62" i="29"/>
  <c r="BG62" i="29" s="1"/>
  <c r="BC78" i="29"/>
  <c r="BC7" i="29"/>
  <c r="BC23" i="29"/>
  <c r="BG23" i="29" s="1"/>
  <c r="BC39" i="29"/>
  <c r="BG39" i="29" s="1"/>
  <c r="BC55" i="29"/>
  <c r="BC71" i="29"/>
  <c r="BC87" i="29"/>
  <c r="BG87" i="29" s="1"/>
  <c r="BC16" i="29"/>
  <c r="BG16" i="29" s="1"/>
  <c r="BC32" i="29"/>
  <c r="BC48" i="29"/>
  <c r="BC64" i="29"/>
  <c r="BG64" i="29" s="1"/>
  <c r="BC80" i="29"/>
  <c r="BG80" i="29" s="1"/>
  <c r="BJ5" i="29"/>
  <c r="BJ9" i="29"/>
  <c r="BJ13" i="29"/>
  <c r="BN13" i="29" s="1"/>
  <c r="BJ17" i="29"/>
  <c r="BN17" i="29" s="1"/>
  <c r="BJ21" i="29"/>
  <c r="BJ25" i="29"/>
  <c r="BJ29" i="29"/>
  <c r="BN29" i="29" s="1"/>
  <c r="BJ33" i="29"/>
  <c r="BN33" i="29" s="1"/>
  <c r="BJ37" i="29"/>
  <c r="BJ41" i="29"/>
  <c r="BJ45" i="29"/>
  <c r="BJ49" i="29"/>
  <c r="BJ53" i="29"/>
  <c r="BJ57" i="29"/>
  <c r="BJ61" i="29"/>
  <c r="BN61" i="29" s="1"/>
  <c r="BJ65" i="29"/>
  <c r="BN65" i="29" s="1"/>
  <c r="BJ69" i="29"/>
  <c r="BJ73" i="29"/>
  <c r="BN73" i="29" s="1"/>
  <c r="BJ77" i="29"/>
  <c r="BN77" i="29" s="1"/>
  <c r="BJ81" i="29"/>
  <c r="BN81" i="29" s="1"/>
  <c r="BJ85" i="29"/>
  <c r="BJ90" i="29"/>
  <c r="BQ15" i="29"/>
  <c r="BT15" i="29" s="1"/>
  <c r="BQ31" i="29"/>
  <c r="BT31" i="29" s="1"/>
  <c r="BQ47" i="29"/>
  <c r="BQ63" i="29"/>
  <c r="BT63" i="29" s="1"/>
  <c r="BQ8" i="29"/>
  <c r="BT8" i="29" s="1"/>
  <c r="BQ24" i="29"/>
  <c r="BT24" i="29" s="1"/>
  <c r="BQ40" i="29"/>
  <c r="BQ56" i="29"/>
  <c r="BT56" i="29" s="1"/>
  <c r="BQ72" i="29"/>
  <c r="BT72" i="29" s="1"/>
  <c r="BQ13" i="29"/>
  <c r="BT13" i="29" s="1"/>
  <c r="BQ29" i="29"/>
  <c r="BQ45" i="29"/>
  <c r="BT45" i="29" s="1"/>
  <c r="BQ61" i="29"/>
  <c r="BT61" i="29" s="1"/>
  <c r="BQ77" i="29"/>
  <c r="BQ18" i="29"/>
  <c r="BQ34" i="29"/>
  <c r="BT34" i="29" s="1"/>
  <c r="BQ50" i="29"/>
  <c r="BT50" i="29" s="1"/>
  <c r="BQ74" i="29"/>
  <c r="BQ90" i="29"/>
  <c r="CI11" i="29"/>
  <c r="CP11" i="29" s="1"/>
  <c r="CI5" i="29"/>
  <c r="CP5" i="29" s="1"/>
  <c r="BQ82" i="29"/>
  <c r="BT82" i="29" s="1"/>
  <c r="BW4" i="29"/>
  <c r="CF4" i="29" s="1"/>
  <c r="BW8" i="29"/>
  <c r="CF8" i="29" s="1"/>
  <c r="BW87" i="29"/>
  <c r="CF87" i="29" s="1"/>
  <c r="BW71" i="29"/>
  <c r="CF71" i="29" s="1"/>
  <c r="BW55" i="29"/>
  <c r="CF55" i="29" s="1"/>
  <c r="BW39" i="29"/>
  <c r="CF39" i="29" s="1"/>
  <c r="BW23" i="29"/>
  <c r="CF23" i="29" s="1"/>
  <c r="BQ83" i="29"/>
  <c r="BT83" i="29" s="1"/>
  <c r="BW78" i="29"/>
  <c r="CF78" i="29" s="1"/>
  <c r="BW62" i="29"/>
  <c r="CF62" i="29" s="1"/>
  <c r="BQ84" i="29"/>
  <c r="BT84" i="29" s="1"/>
  <c r="BW73" i="29"/>
  <c r="CF73" i="29" s="1"/>
  <c r="BW46" i="29"/>
  <c r="CF46" i="29" s="1"/>
  <c r="BW25" i="29"/>
  <c r="CF25" i="29" s="1"/>
  <c r="CI58" i="29"/>
  <c r="CP58" i="29" s="1"/>
  <c r="BW89" i="29"/>
  <c r="CF89" i="29" s="1"/>
  <c r="BW56" i="29"/>
  <c r="CF56" i="29" s="1"/>
  <c r="BW34" i="29"/>
  <c r="CF34" i="29" s="1"/>
  <c r="BW13" i="29"/>
  <c r="CF13" i="29" s="1"/>
  <c r="BW61" i="29"/>
  <c r="CF61" i="29" s="1"/>
  <c r="BW38" i="29"/>
  <c r="CF38" i="29" s="1"/>
  <c r="BW17" i="29"/>
  <c r="CF17" i="29" s="1"/>
  <c r="CI80" i="29"/>
  <c r="CP80" i="29" s="1"/>
  <c r="CI64" i="29"/>
  <c r="CP64" i="29" s="1"/>
  <c r="CI48" i="29"/>
  <c r="CP48" i="29" s="1"/>
  <c r="CI32" i="29"/>
  <c r="CP32" i="29" s="1"/>
  <c r="CI16" i="29"/>
  <c r="CP16" i="29" s="1"/>
  <c r="CI66" i="29"/>
  <c r="CP66" i="29" s="1"/>
  <c r="CI22" i="29"/>
  <c r="CP22" i="29" s="1"/>
  <c r="BW60" i="29"/>
  <c r="CF60" i="29" s="1"/>
  <c r="BW37" i="29"/>
  <c r="CF37" i="29" s="1"/>
  <c r="BW16" i="29"/>
  <c r="CF16" i="29" s="1"/>
  <c r="CI75" i="29"/>
  <c r="CP75" i="29" s="1"/>
  <c r="CI59" i="29"/>
  <c r="CP59" i="29" s="1"/>
  <c r="CI43" i="29"/>
  <c r="CP43" i="29" s="1"/>
  <c r="CI27" i="29"/>
  <c r="CP27" i="29" s="1"/>
  <c r="CI82" i="29"/>
  <c r="CP82" i="29" s="1"/>
  <c r="CI38" i="29"/>
  <c r="CP38" i="29" s="1"/>
  <c r="CI73" i="29"/>
  <c r="CP73" i="29" s="1"/>
  <c r="CI61" i="29"/>
  <c r="CP61" i="29" s="1"/>
  <c r="CI53" i="29"/>
  <c r="CP53" i="29" s="1"/>
  <c r="CI81" i="29"/>
  <c r="CP81" i="29" s="1"/>
  <c r="CI17" i="29"/>
  <c r="CP17" i="29" s="1"/>
  <c r="CP36" i="29"/>
  <c r="CP24" i="29"/>
  <c r="CP57" i="29"/>
  <c r="CP90" i="29"/>
  <c r="CP46" i="29"/>
  <c r="CP78" i="29"/>
  <c r="CP26" i="29"/>
  <c r="CP12" i="29"/>
  <c r="CF48" i="29"/>
  <c r="CF90" i="29"/>
  <c r="CP14" i="29"/>
  <c r="CF85" i="29"/>
  <c r="DH12" i="29"/>
  <c r="CF40" i="29"/>
  <c r="CP7" i="29"/>
  <c r="CV43" i="29"/>
  <c r="CF26" i="29"/>
  <c r="CF42" i="29"/>
  <c r="CF74" i="29"/>
  <c r="DH8" i="29"/>
  <c r="CV11" i="29"/>
  <c r="CF27" i="29"/>
  <c r="CF43" i="29"/>
  <c r="CV3" i="29"/>
  <c r="BN16" i="29"/>
  <c r="BN28" i="29"/>
  <c r="BN63" i="29"/>
  <c r="BN31" i="29"/>
  <c r="BN86" i="29"/>
  <c r="BN54" i="29"/>
  <c r="BN22" i="29"/>
  <c r="BN49" i="29"/>
  <c r="CP60" i="29"/>
  <c r="CP76" i="29"/>
  <c r="CP49" i="29"/>
  <c r="CP71" i="29"/>
  <c r="CP87" i="29"/>
  <c r="CF32" i="29"/>
  <c r="DH13" i="29"/>
  <c r="CF45" i="29"/>
  <c r="CF77" i="29"/>
  <c r="CF24" i="29"/>
  <c r="CF65" i="29"/>
  <c r="CF20" i="29"/>
  <c r="CF84" i="29"/>
  <c r="CF22" i="29"/>
  <c r="CF54" i="29"/>
  <c r="CV5" i="29"/>
  <c r="CF9" i="29"/>
  <c r="CP6" i="29"/>
  <c r="CV13" i="29"/>
  <c r="CP8" i="29"/>
  <c r="DT4" i="29"/>
  <c r="BN56" i="29"/>
  <c r="BN24" i="29"/>
  <c r="AZ84" i="29"/>
  <c r="AZ68" i="29"/>
  <c r="BN59" i="29"/>
  <c r="BN27" i="29"/>
  <c r="BN82" i="29"/>
  <c r="BN50" i="29"/>
  <c r="BN18" i="29"/>
  <c r="AZ47" i="29"/>
  <c r="AZ23" i="29"/>
  <c r="AZ74" i="29"/>
  <c r="AZ58" i="29"/>
  <c r="AZ42" i="29"/>
  <c r="AZ26" i="29"/>
  <c r="BN71" i="29"/>
  <c r="BN62" i="29"/>
  <c r="BN30" i="29"/>
  <c r="BN85" i="29"/>
  <c r="BN69" i="29"/>
  <c r="BN53" i="29"/>
  <c r="BN37" i="29"/>
  <c r="BN21" i="29"/>
  <c r="BN5" i="29"/>
  <c r="CM91" i="29"/>
  <c r="BF91" i="29"/>
  <c r="K79" i="29"/>
  <c r="K58" i="29"/>
  <c r="K37" i="29"/>
  <c r="K15" i="29"/>
  <c r="K83" i="29"/>
  <c r="K62" i="29"/>
  <c r="K41" i="29"/>
  <c r="K19" i="29"/>
  <c r="K82" i="29"/>
  <c r="K61" i="29"/>
  <c r="K39" i="29"/>
  <c r="K18" i="29"/>
  <c r="K81" i="29"/>
  <c r="K59" i="29"/>
  <c r="K38" i="29"/>
  <c r="K17" i="29"/>
  <c r="K84" i="29"/>
  <c r="K68" i="29"/>
  <c r="K52" i="29"/>
  <c r="K36" i="29"/>
  <c r="K20" i="29"/>
  <c r="K4" i="29"/>
  <c r="CH91" i="29"/>
  <c r="BB91" i="29"/>
  <c r="BI91" i="29"/>
  <c r="AU91" i="29"/>
  <c r="CG91" i="29"/>
  <c r="BT80" i="29"/>
  <c r="BT89" i="29"/>
  <c r="BT87" i="29"/>
  <c r="BT40" i="29"/>
  <c r="BT71" i="29"/>
  <c r="BT23" i="29"/>
  <c r="BT7" i="29"/>
  <c r="BT66" i="29"/>
  <c r="BT18" i="29"/>
  <c r="BT69" i="29"/>
  <c r="BT53" i="29"/>
  <c r="BT5" i="29"/>
  <c r="BG74" i="29"/>
  <c r="BG43" i="29"/>
  <c r="BG35" i="29"/>
  <c r="BG27" i="29"/>
  <c r="BG19" i="29"/>
  <c r="BG59" i="29"/>
  <c r="BG48" i="29"/>
  <c r="BG38" i="29"/>
  <c r="BG30" i="29"/>
  <c r="BG77" i="29"/>
  <c r="BG61" i="29"/>
  <c r="BG13" i="29"/>
  <c r="BG9" i="29"/>
  <c r="BG5" i="29"/>
  <c r="AS89" i="29"/>
  <c r="AS80" i="29"/>
  <c r="AS72" i="29"/>
  <c r="AS64" i="29"/>
  <c r="AS56" i="29"/>
  <c r="AS48" i="29"/>
  <c r="AS40" i="29"/>
  <c r="AS90" i="29"/>
  <c r="AS81" i="29"/>
  <c r="AS73" i="29"/>
  <c r="AS65" i="29"/>
  <c r="AS57" i="29"/>
  <c r="AS49" i="29"/>
  <c r="AS41" i="29"/>
  <c r="AS19" i="29"/>
  <c r="AS34" i="29"/>
  <c r="AS30" i="29"/>
  <c r="AS26" i="29"/>
  <c r="AS16" i="29"/>
  <c r="W76" i="29"/>
  <c r="W60" i="29"/>
  <c r="W44" i="29"/>
  <c r="W28" i="29"/>
  <c r="W12" i="29"/>
  <c r="V87" i="29"/>
  <c r="W87" i="29" s="1"/>
  <c r="V71" i="29"/>
  <c r="W71" i="29" s="1"/>
  <c r="V55" i="29"/>
  <c r="W55" i="29" s="1"/>
  <c r="V39" i="29"/>
  <c r="W39" i="29" s="1"/>
  <c r="V23" i="29"/>
  <c r="W23" i="29" s="1"/>
  <c r="V7" i="29"/>
  <c r="W7" i="29" s="1"/>
  <c r="AS14" i="29"/>
  <c r="AS10" i="29"/>
  <c r="AS6" i="29"/>
  <c r="V86" i="29"/>
  <c r="W86" i="29" s="1"/>
  <c r="V70" i="29"/>
  <c r="W70" i="29" s="1"/>
  <c r="V54" i="29"/>
  <c r="W54" i="29" s="1"/>
  <c r="V38" i="29"/>
  <c r="W38" i="29" s="1"/>
  <c r="V22" i="29"/>
  <c r="W22" i="29" s="1"/>
  <c r="V6" i="29"/>
  <c r="W6" i="29" s="1"/>
  <c r="V85" i="29"/>
  <c r="W85" i="29" s="1"/>
  <c r="V69" i="29"/>
  <c r="W69" i="29" s="1"/>
  <c r="V53" i="29"/>
  <c r="W53" i="29" s="1"/>
  <c r="V37" i="29"/>
  <c r="W37" i="29" s="1"/>
  <c r="V21" i="29"/>
  <c r="W21" i="29" s="1"/>
  <c r="V5" i="29"/>
  <c r="W5" i="29" s="1"/>
  <c r="BS91" i="29"/>
  <c r="AX91" i="29"/>
  <c r="AQ91" i="29"/>
  <c r="AP91" i="29"/>
  <c r="BU91" i="29"/>
  <c r="BT77" i="29"/>
  <c r="BT90" i="29"/>
  <c r="BT68" i="29"/>
  <c r="BT52" i="29"/>
  <c r="BT4" i="29"/>
  <c r="BT51" i="29"/>
  <c r="BT35" i="29"/>
  <c r="BT19" i="29"/>
  <c r="BT62" i="29"/>
  <c r="BT46" i="29"/>
  <c r="BT30" i="29"/>
  <c r="BT65" i="29"/>
  <c r="BT49" i="29"/>
  <c r="BT33" i="29"/>
  <c r="BT17" i="29"/>
  <c r="BG54" i="29"/>
  <c r="BG41" i="29"/>
  <c r="BG25" i="29"/>
  <c r="BG71" i="29"/>
  <c r="BG55" i="29"/>
  <c r="BH91" i="29"/>
  <c r="BG60" i="29"/>
  <c r="BG44" i="29"/>
  <c r="BG36" i="29"/>
  <c r="BG20" i="29"/>
  <c r="BG90" i="29"/>
  <c r="BG73" i="29"/>
  <c r="BG57" i="29"/>
  <c r="BG8" i="29"/>
  <c r="BG4" i="29"/>
  <c r="AS86" i="29"/>
  <c r="AS78" i="29"/>
  <c r="AS70" i="29"/>
  <c r="AS62" i="29"/>
  <c r="AS54" i="29"/>
  <c r="AS46" i="29"/>
  <c r="AS38" i="29"/>
  <c r="AS87" i="29"/>
  <c r="AS79" i="29"/>
  <c r="AS71" i="29"/>
  <c r="AS63" i="29"/>
  <c r="AS55" i="29"/>
  <c r="AS47" i="29"/>
  <c r="AS39" i="29"/>
  <c r="AO91" i="29"/>
  <c r="AS3" i="29"/>
  <c r="AS22" i="29"/>
  <c r="AS37" i="29"/>
  <c r="AS33" i="29"/>
  <c r="AS29" i="29"/>
  <c r="AS25" i="29"/>
  <c r="W89" i="29"/>
  <c r="W72" i="29"/>
  <c r="W56" i="29"/>
  <c r="W40" i="29"/>
  <c r="W24" i="29"/>
  <c r="W8" i="29"/>
  <c r="V83" i="29"/>
  <c r="W83" i="29" s="1"/>
  <c r="V67" i="29"/>
  <c r="W67" i="29" s="1"/>
  <c r="V51" i="29"/>
  <c r="W51" i="29" s="1"/>
  <c r="V35" i="29"/>
  <c r="W35" i="29" s="1"/>
  <c r="V19" i="29"/>
  <c r="W19" i="29" s="1"/>
  <c r="AJ3" i="29"/>
  <c r="AI91" i="29"/>
  <c r="AS13" i="29"/>
  <c r="AS9" i="29"/>
  <c r="AS5" i="29"/>
  <c r="V82" i="29"/>
  <c r="W82" i="29" s="1"/>
  <c r="V66" i="29"/>
  <c r="W66" i="29" s="1"/>
  <c r="V50" i="29"/>
  <c r="W50" i="29" s="1"/>
  <c r="V34" i="29"/>
  <c r="W34" i="29" s="1"/>
  <c r="V18" i="29"/>
  <c r="W18" i="29" s="1"/>
  <c r="V81" i="29"/>
  <c r="W81" i="29" s="1"/>
  <c r="V65" i="29"/>
  <c r="W65" i="29" s="1"/>
  <c r="V49" i="29"/>
  <c r="W49" i="29" s="1"/>
  <c r="V33" i="29"/>
  <c r="W33" i="29" s="1"/>
  <c r="V17" i="29"/>
  <c r="W17" i="29" s="1"/>
  <c r="CL91" i="29"/>
  <c r="CP45" i="29"/>
  <c r="CP77" i="29"/>
  <c r="CP33" i="29"/>
  <c r="CP19" i="29"/>
  <c r="CP35" i="29"/>
  <c r="CP84" i="29"/>
  <c r="CP54" i="29"/>
  <c r="CP86" i="29"/>
  <c r="CP30" i="29"/>
  <c r="CP47" i="29"/>
  <c r="CP63" i="29"/>
  <c r="CP79" i="29"/>
  <c r="CV14" i="29"/>
  <c r="CV8" i="29"/>
  <c r="CF41" i="29"/>
  <c r="DT10" i="29"/>
  <c r="DH43" i="29"/>
  <c r="DT14" i="29"/>
  <c r="CF5" i="29"/>
  <c r="CF33" i="29"/>
  <c r="DT5" i="29"/>
  <c r="CF36" i="29"/>
  <c r="CF68" i="29"/>
  <c r="CF14" i="29"/>
  <c r="CF30" i="29"/>
  <c r="DT9" i="29"/>
  <c r="CV12" i="29"/>
  <c r="CF15" i="29"/>
  <c r="CF31" i="29"/>
  <c r="CF79" i="29"/>
  <c r="DH7" i="29"/>
  <c r="CV9" i="29"/>
  <c r="BN76" i="29"/>
  <c r="BN89" i="29"/>
  <c r="BN40" i="29"/>
  <c r="BN8" i="29"/>
  <c r="AZ28" i="29"/>
  <c r="BN75" i="29"/>
  <c r="BN43" i="29"/>
  <c r="BN11" i="29"/>
  <c r="BN66" i="29"/>
  <c r="BN34" i="29"/>
  <c r="AZ59" i="29"/>
  <c r="AZ51" i="29"/>
  <c r="BN87" i="29"/>
  <c r="BN78" i="29"/>
  <c r="BN46" i="29"/>
  <c r="BN14" i="29"/>
  <c r="AZ81" i="29"/>
  <c r="AZ65" i="29"/>
  <c r="BN45" i="29"/>
  <c r="CD91" i="29"/>
  <c r="K3" i="29"/>
  <c r="K69" i="29"/>
  <c r="K47" i="29"/>
  <c r="K26" i="29"/>
  <c r="K5" i="29"/>
  <c r="K73" i="29"/>
  <c r="K51" i="29"/>
  <c r="K30" i="29"/>
  <c r="K9" i="29"/>
  <c r="K71" i="29"/>
  <c r="K50" i="29"/>
  <c r="K29" i="29"/>
  <c r="K7" i="29"/>
  <c r="K70" i="29"/>
  <c r="K49" i="29"/>
  <c r="K27" i="29"/>
  <c r="K6" i="29"/>
  <c r="K76" i="29"/>
  <c r="K60" i="29"/>
  <c r="K44" i="29"/>
  <c r="K28" i="29"/>
  <c r="K12" i="29"/>
  <c r="BP91" i="29"/>
  <c r="BV91" i="29"/>
  <c r="AN3" i="29"/>
  <c r="AN91" i="29" s="1"/>
  <c r="AM91" i="29"/>
  <c r="BO91" i="29"/>
  <c r="BT76" i="29"/>
  <c r="BT16" i="29"/>
  <c r="BT47" i="29"/>
  <c r="BT74" i="29"/>
  <c r="BT58" i="29"/>
  <c r="BT42" i="29"/>
  <c r="BT10" i="29"/>
  <c r="BT29" i="29"/>
  <c r="BG82" i="29"/>
  <c r="BG66" i="29"/>
  <c r="BG50" i="29"/>
  <c r="BG31" i="29"/>
  <c r="BG83" i="29"/>
  <c r="BG67" i="29"/>
  <c r="BG72" i="29"/>
  <c r="BG56" i="29"/>
  <c r="BG42" i="29"/>
  <c r="BG34" i="29"/>
  <c r="BG26" i="29"/>
  <c r="BG18" i="29"/>
  <c r="BG53" i="29"/>
  <c r="BG15" i="29"/>
  <c r="BG11" i="29"/>
  <c r="BG7" i="29"/>
  <c r="AT91" i="29"/>
  <c r="AS84" i="29"/>
  <c r="AS76" i="29"/>
  <c r="AS68" i="29"/>
  <c r="AS60" i="29"/>
  <c r="AS52" i="29"/>
  <c r="AS44" i="29"/>
  <c r="AS85" i="29"/>
  <c r="AS77" i="29"/>
  <c r="AS69" i="29"/>
  <c r="AS61" i="29"/>
  <c r="AS53" i="29"/>
  <c r="AS45" i="29"/>
  <c r="AS21" i="29"/>
  <c r="AS18" i="29"/>
  <c r="AS36" i="29"/>
  <c r="AS32" i="29"/>
  <c r="AS28" i="29"/>
  <c r="AS24" i="29"/>
  <c r="W84" i="29"/>
  <c r="W68" i="29"/>
  <c r="W52" i="29"/>
  <c r="X52" i="29" s="1"/>
  <c r="Y52" i="29" s="1"/>
  <c r="W36" i="29"/>
  <c r="W20" i="29"/>
  <c r="W4" i="29"/>
  <c r="V79" i="29"/>
  <c r="W79" i="29" s="1"/>
  <c r="V63" i="29"/>
  <c r="W63" i="29" s="1"/>
  <c r="V47" i="29"/>
  <c r="W47" i="29" s="1"/>
  <c r="V31" i="29"/>
  <c r="W31" i="29" s="1"/>
  <c r="V15" i="29"/>
  <c r="W15" i="29" s="1"/>
  <c r="AS12" i="29"/>
  <c r="AS8" i="29"/>
  <c r="AS4" i="29"/>
  <c r="V78" i="29"/>
  <c r="W78" i="29" s="1"/>
  <c r="V62" i="29"/>
  <c r="W62" i="29" s="1"/>
  <c r="V46" i="29"/>
  <c r="W46" i="29" s="1"/>
  <c r="V30" i="29"/>
  <c r="W30" i="29" s="1"/>
  <c r="V14" i="29"/>
  <c r="W14" i="29" s="1"/>
  <c r="V77" i="29"/>
  <c r="W77" i="29" s="1"/>
  <c r="V61" i="29"/>
  <c r="W61" i="29" s="1"/>
  <c r="V45" i="29"/>
  <c r="W45" i="29" s="1"/>
  <c r="V29" i="29"/>
  <c r="W29" i="29" s="1"/>
  <c r="V13" i="29"/>
  <c r="W13" i="29" s="1"/>
  <c r="CB91" i="29"/>
  <c r="CP72" i="29"/>
  <c r="CP89" i="29"/>
  <c r="CP29" i="29"/>
  <c r="CP18" i="29"/>
  <c r="CP51" i="29"/>
  <c r="CP83" i="29"/>
  <c r="CF80" i="29"/>
  <c r="CF10" i="29"/>
  <c r="CF57" i="29"/>
  <c r="CF12" i="29"/>
  <c r="CV7" i="29"/>
  <c r="DT43" i="29"/>
  <c r="CP10" i="29"/>
  <c r="CF49" i="29"/>
  <c r="CV10" i="29"/>
  <c r="CV4" i="29"/>
  <c r="CF18" i="29"/>
  <c r="CF66" i="29"/>
  <c r="CP9" i="29"/>
  <c r="CP13" i="29"/>
  <c r="CF19" i="29"/>
  <c r="CF51" i="29"/>
  <c r="CF67" i="29"/>
  <c r="CF83" i="29"/>
  <c r="DH10" i="29"/>
  <c r="CV6" i="29"/>
  <c r="BN60" i="29"/>
  <c r="BN72" i="29"/>
  <c r="BN32" i="29"/>
  <c r="AZ40" i="29"/>
  <c r="AZ8" i="29"/>
  <c r="BN35" i="29"/>
  <c r="BN26" i="29"/>
  <c r="BN44" i="29"/>
  <c r="BN12" i="29"/>
  <c r="BN79" i="29"/>
  <c r="BN47" i="29"/>
  <c r="BN15" i="29"/>
  <c r="BN70" i="29"/>
  <c r="BN38" i="29"/>
  <c r="BN6" i="29"/>
  <c r="BN90" i="29"/>
  <c r="BN57" i="29"/>
  <c r="BN41" i="29"/>
  <c r="BN25" i="29"/>
  <c r="BN9" i="29"/>
  <c r="CC91" i="29"/>
  <c r="CN91" i="29"/>
  <c r="K85" i="29"/>
  <c r="K63" i="29"/>
  <c r="K42" i="29"/>
  <c r="K21" i="29"/>
  <c r="K90" i="29"/>
  <c r="K67" i="29"/>
  <c r="K46" i="29"/>
  <c r="K25" i="29"/>
  <c r="K87" i="29"/>
  <c r="K66" i="29"/>
  <c r="K45" i="29"/>
  <c r="K23" i="29"/>
  <c r="K86" i="29"/>
  <c r="K65" i="29"/>
  <c r="K43" i="29"/>
  <c r="K22" i="29"/>
  <c r="K89" i="29"/>
  <c r="K72" i="29"/>
  <c r="K56" i="29"/>
  <c r="K40" i="29"/>
  <c r="K24" i="29"/>
  <c r="BT86" i="29"/>
  <c r="BT64" i="29"/>
  <c r="BT60" i="29"/>
  <c r="BT44" i="29"/>
  <c r="BT28" i="29"/>
  <c r="BT12" i="29"/>
  <c r="BT75" i="29"/>
  <c r="BT59" i="29"/>
  <c r="BT11" i="29"/>
  <c r="BT70" i="29"/>
  <c r="BT54" i="29"/>
  <c r="BT22" i="29"/>
  <c r="BT6" i="29"/>
  <c r="BT57" i="29"/>
  <c r="BT41" i="29"/>
  <c r="BT9" i="29"/>
  <c r="BG78" i="29"/>
  <c r="BG37" i="29"/>
  <c r="BG29" i="29"/>
  <c r="BG79" i="29"/>
  <c r="BG84" i="29"/>
  <c r="BG68" i="29"/>
  <c r="BG32" i="29"/>
  <c r="BG81" i="29"/>
  <c r="BG65" i="29"/>
  <c r="BG49" i="29"/>
  <c r="BG14" i="29"/>
  <c r="BG6" i="29"/>
  <c r="BG3" i="29"/>
  <c r="BA91" i="29"/>
  <c r="AS82" i="29"/>
  <c r="AS74" i="29"/>
  <c r="AS66" i="29"/>
  <c r="AS58" i="29"/>
  <c r="AS50" i="29"/>
  <c r="AS42" i="29"/>
  <c r="AS83" i="29"/>
  <c r="AS75" i="29"/>
  <c r="AS67" i="29"/>
  <c r="AS59" i="29"/>
  <c r="AS51" i="29"/>
  <c r="AS43" i="29"/>
  <c r="AS17" i="29"/>
  <c r="AS23" i="29"/>
  <c r="AS35" i="29"/>
  <c r="AS31" i="29"/>
  <c r="AS27" i="29"/>
  <c r="AS20" i="29"/>
  <c r="W80" i="29"/>
  <c r="W64" i="29"/>
  <c r="W48" i="29"/>
  <c r="W32" i="29"/>
  <c r="W16" i="29"/>
  <c r="V75" i="29"/>
  <c r="W75" i="29" s="1"/>
  <c r="X75" i="29" s="1"/>
  <c r="Y75" i="29" s="1"/>
  <c r="V59" i="29"/>
  <c r="W59" i="29" s="1"/>
  <c r="V43" i="29"/>
  <c r="W43" i="29" s="1"/>
  <c r="V27" i="29"/>
  <c r="W27" i="29" s="1"/>
  <c r="V11" i="29"/>
  <c r="W11" i="29" s="1"/>
  <c r="AS15" i="29"/>
  <c r="AS11" i="29"/>
  <c r="AS7" i="29"/>
  <c r="AL3" i="29"/>
  <c r="AK91" i="29"/>
  <c r="V74" i="29"/>
  <c r="W74" i="29" s="1"/>
  <c r="V58" i="29"/>
  <c r="W58" i="29" s="1"/>
  <c r="V42" i="29"/>
  <c r="W42" i="29" s="1"/>
  <c r="V26" i="29"/>
  <c r="W26" i="29" s="1"/>
  <c r="V10" i="29"/>
  <c r="W10" i="29" s="1"/>
  <c r="V90" i="29"/>
  <c r="W90" i="29" s="1"/>
  <c r="V73" i="29"/>
  <c r="W73" i="29" s="1"/>
  <c r="V57" i="29"/>
  <c r="W57" i="29" s="1"/>
  <c r="V41" i="29"/>
  <c r="W41" i="29" s="1"/>
  <c r="V25" i="29"/>
  <c r="W25" i="29" s="1"/>
  <c r="V9" i="29"/>
  <c r="W9" i="29" s="1"/>
  <c r="BM91" i="29"/>
  <c r="BE91" i="29"/>
  <c r="CA91" i="29"/>
  <c r="DH5" i="29"/>
  <c r="DT3" i="29"/>
  <c r="DH14" i="29"/>
  <c r="DH4" i="29"/>
  <c r="DT8" i="29"/>
  <c r="DT7" i="29"/>
  <c r="DH3" i="29"/>
  <c r="DT12" i="29"/>
  <c r="DT11" i="29"/>
  <c r="DH6" i="29"/>
  <c r="DH11" i="29"/>
  <c r="DT13" i="29"/>
  <c r="DH9" i="29"/>
  <c r="DT6" i="29"/>
  <c r="BY91" i="29"/>
  <c r="CF3" i="29"/>
  <c r="CP3" i="29"/>
  <c r="CK91" i="29"/>
  <c r="BL91" i="29"/>
  <c r="AV91" i="29"/>
  <c r="AZ3" i="29"/>
  <c r="CX91" i="29"/>
  <c r="CU91" i="29"/>
  <c r="DA91" i="29"/>
  <c r="CT91" i="29"/>
  <c r="DB91" i="29"/>
  <c r="CQ91" i="29"/>
  <c r="DP91" i="29"/>
  <c r="DQ91" i="29"/>
  <c r="DN91" i="29"/>
  <c r="DJ91" i="29"/>
  <c r="DD91" i="29"/>
  <c r="DE91" i="29"/>
  <c r="DM91" i="29"/>
  <c r="DO91" i="29"/>
  <c r="DC91" i="29"/>
  <c r="DI91" i="29"/>
  <c r="CW91" i="29"/>
  <c r="CY91" i="29"/>
  <c r="CR91" i="29"/>
  <c r="DK91" i="29"/>
  <c r="N6" i="5"/>
  <c r="J89" i="9"/>
  <c r="L38" i="5"/>
  <c r="K52" i="5" s="1"/>
  <c r="J26" i="18"/>
  <c r="O33" i="19" s="1"/>
  <c r="J24" i="18"/>
  <c r="O30" i="19" s="1"/>
  <c r="J72" i="9"/>
  <c r="R11" i="13"/>
  <c r="R361" i="8"/>
  <c r="R360" i="8"/>
  <c r="R6" i="10"/>
  <c r="J76" i="9"/>
  <c r="J59" i="9"/>
  <c r="J58" i="9"/>
  <c r="J86" i="9"/>
  <c r="J75" i="9"/>
  <c r="N12" i="5"/>
  <c r="O6" i="14"/>
  <c r="J64" i="9"/>
  <c r="J50" i="9"/>
  <c r="J78" i="9"/>
  <c r="K16" i="12"/>
  <c r="K25" i="27"/>
  <c r="K26" i="27" s="1"/>
  <c r="R26" i="27" s="1"/>
  <c r="DS92" i="29"/>
  <c r="S52" i="19"/>
  <c r="N47" i="29"/>
  <c r="N42" i="29"/>
  <c r="N44" i="29"/>
  <c r="N21" i="29"/>
  <c r="N28" i="29"/>
  <c r="N83" i="29"/>
  <c r="N15" i="29"/>
  <c r="N80" i="29"/>
  <c r="S80" i="29" s="1"/>
  <c r="N67" i="29"/>
  <c r="N72" i="29"/>
  <c r="N63" i="29"/>
  <c r="N32" i="29"/>
  <c r="S32" i="29" s="1"/>
  <c r="N71" i="29"/>
  <c r="N61" i="29"/>
  <c r="N24" i="29"/>
  <c r="N49" i="29"/>
  <c r="N30" i="29"/>
  <c r="N78" i="29"/>
  <c r="S78" i="29" s="1"/>
  <c r="N20" i="29"/>
  <c r="J84" i="9"/>
  <c r="J68" i="9"/>
  <c r="J80" i="9"/>
  <c r="J67" i="9"/>
  <c r="N18" i="5"/>
  <c r="P26" i="9"/>
  <c r="D53" i="18"/>
  <c r="D54" i="18" s="1"/>
  <c r="S51" i="19"/>
  <c r="DG92" i="29"/>
  <c r="N87" i="29"/>
  <c r="N40" i="29"/>
  <c r="N90" i="29"/>
  <c r="N39" i="29"/>
  <c r="N46" i="29"/>
  <c r="N82" i="29"/>
  <c r="N86" i="29"/>
  <c r="N75" i="29"/>
  <c r="S75" i="29" s="1"/>
  <c r="N66" i="29"/>
  <c r="N70" i="29"/>
  <c r="N26" i="29"/>
  <c r="N33" i="29"/>
  <c r="S33" i="29" s="1"/>
  <c r="N68" i="29"/>
  <c r="N57" i="29"/>
  <c r="N60" i="29"/>
  <c r="N59" i="29"/>
  <c r="N54" i="29"/>
  <c r="N22" i="29"/>
  <c r="N23" i="29"/>
  <c r="N45" i="29"/>
  <c r="N79" i="29"/>
  <c r="N17" i="29"/>
  <c r="N77" i="29"/>
  <c r="S77" i="29" s="1"/>
  <c r="N89" i="29"/>
  <c r="N81" i="29"/>
  <c r="N16" i="29"/>
  <c r="S16" i="29" s="1"/>
  <c r="N37" i="29"/>
  <c r="N64" i="29"/>
  <c r="S64" i="29" s="1"/>
  <c r="N36" i="29"/>
  <c r="N58" i="29"/>
  <c r="N34" i="29"/>
  <c r="S34" i="29" s="1"/>
  <c r="N53" i="29"/>
  <c r="S53" i="29" s="1"/>
  <c r="N56" i="29"/>
  <c r="N55" i="29"/>
  <c r="N31" i="29"/>
  <c r="S31" i="29" s="1"/>
  <c r="N18" i="29"/>
  <c r="N29" i="29"/>
  <c r="S50" i="19"/>
  <c r="S53" i="19"/>
  <c r="CS19" i="29"/>
  <c r="CV19" i="29" s="1"/>
  <c r="DL19" i="29"/>
  <c r="DT19" i="29" s="1"/>
  <c r="DL23" i="29"/>
  <c r="DT23" i="29" s="1"/>
  <c r="CS22" i="29"/>
  <c r="CV22" i="29" s="1"/>
  <c r="DL20" i="29"/>
  <c r="DT20" i="29" s="1"/>
  <c r="CS78" i="29"/>
  <c r="CZ29" i="29"/>
  <c r="DH29" i="29" s="1"/>
  <c r="CS18" i="29"/>
  <c r="CV18" i="29" s="1"/>
  <c r="DL18" i="29"/>
  <c r="DT18" i="29" s="1"/>
  <c r="CZ22" i="29"/>
  <c r="CZ78" i="29"/>
  <c r="DH78" i="29" s="1"/>
  <c r="CZ19" i="29"/>
  <c r="DH19" i="29" s="1"/>
  <c r="CS23" i="29"/>
  <c r="CV23" i="29" s="1"/>
  <c r="DL22" i="29"/>
  <c r="CS20" i="29"/>
  <c r="CV20" i="29" s="1"/>
  <c r="DL78" i="29"/>
  <c r="CS29" i="29"/>
  <c r="CV29" i="29" s="1"/>
  <c r="DL29" i="29"/>
  <c r="DT29" i="29" s="1"/>
  <c r="CZ18" i="29"/>
  <c r="DH18" i="29" s="1"/>
  <c r="CZ23" i="29"/>
  <c r="CZ20" i="29"/>
  <c r="DH20" i="29" s="1"/>
  <c r="CS30" i="29"/>
  <c r="CV30" i="29" s="1"/>
  <c r="CS51" i="29"/>
  <c r="CV51" i="29" s="1"/>
  <c r="CS55" i="29"/>
  <c r="CV55" i="29" s="1"/>
  <c r="CS59" i="29"/>
  <c r="CV59" i="29" s="1"/>
  <c r="CS63" i="29"/>
  <c r="CS65" i="29"/>
  <c r="CV65" i="29" s="1"/>
  <c r="CS36" i="29"/>
  <c r="CS70" i="29"/>
  <c r="CV70" i="29" s="1"/>
  <c r="CS72" i="29"/>
  <c r="CS15" i="29"/>
  <c r="CV15" i="29" s="1"/>
  <c r="CS76" i="29"/>
  <c r="CV76" i="29" s="1"/>
  <c r="CS81" i="29"/>
  <c r="CV81" i="29" s="1"/>
  <c r="CS82" i="29"/>
  <c r="CS83" i="29"/>
  <c r="CV83" i="29" s="1"/>
  <c r="CS38" i="29"/>
  <c r="CV38" i="29" s="1"/>
  <c r="CS89" i="29"/>
  <c r="CS46" i="29"/>
  <c r="CV46" i="29" s="1"/>
  <c r="CS47" i="29"/>
  <c r="CV47" i="29" s="1"/>
  <c r="CS49" i="29"/>
  <c r="CV49" i="29" s="1"/>
  <c r="CS52" i="29"/>
  <c r="CV52" i="29" s="1"/>
  <c r="CS56" i="29"/>
  <c r="CV56" i="29" s="1"/>
  <c r="CS60" i="29"/>
  <c r="CV60" i="29" s="1"/>
  <c r="CS64" i="29"/>
  <c r="CV64" i="29" s="1"/>
  <c r="CS66" i="29"/>
  <c r="CV66" i="29" s="1"/>
  <c r="CS67" i="29"/>
  <c r="CV67" i="29" s="1"/>
  <c r="CS35" i="29"/>
  <c r="CV35" i="29" s="1"/>
  <c r="CS37" i="29"/>
  <c r="CV37" i="29" s="1"/>
  <c r="CS73" i="29"/>
  <c r="CV73" i="29" s="1"/>
  <c r="CS77" i="29"/>
  <c r="CV77" i="29" s="1"/>
  <c r="CS39" i="29"/>
  <c r="CV39" i="29" s="1"/>
  <c r="CS21" i="29"/>
  <c r="CV21" i="29" s="1"/>
  <c r="CS84" i="29"/>
  <c r="CV84" i="29" s="1"/>
  <c r="CS17" i="29"/>
  <c r="CV17" i="29" s="1"/>
  <c r="CS90" i="29"/>
  <c r="CV90" i="29" s="1"/>
  <c r="CS48" i="29"/>
  <c r="CV48" i="29" s="1"/>
  <c r="CS24" i="29"/>
  <c r="CV24" i="29" s="1"/>
  <c r="CS50" i="29"/>
  <c r="CS53" i="29"/>
  <c r="CV53" i="29" s="1"/>
  <c r="CS57" i="29"/>
  <c r="CV57" i="29" s="1"/>
  <c r="CS61" i="29"/>
  <c r="CV61" i="29" s="1"/>
  <c r="CS27" i="29"/>
  <c r="CS34" i="29"/>
  <c r="CV34" i="29" s="1"/>
  <c r="CS68" i="29"/>
  <c r="CV68" i="29" s="1"/>
  <c r="CS71" i="29"/>
  <c r="CV71" i="29" s="1"/>
  <c r="CS25" i="29"/>
  <c r="CV25" i="29" s="1"/>
  <c r="CS74" i="29"/>
  <c r="CV74" i="29" s="1"/>
  <c r="CS79" i="29"/>
  <c r="CV79" i="29" s="1"/>
  <c r="CS40" i="29"/>
  <c r="CV40" i="29" s="1"/>
  <c r="CS42" i="29"/>
  <c r="CV42" i="29" s="1"/>
  <c r="CS85" i="29"/>
  <c r="CV85" i="29" s="1"/>
  <c r="CS28" i="29"/>
  <c r="CV28" i="29" s="1"/>
  <c r="CS44" i="29"/>
  <c r="CV44" i="29" s="1"/>
  <c r="CS31" i="29"/>
  <c r="CV31" i="29" s="1"/>
  <c r="CS54" i="29"/>
  <c r="CV54" i="29" s="1"/>
  <c r="CS58" i="29"/>
  <c r="CS62" i="29"/>
  <c r="CV62" i="29" s="1"/>
  <c r="CS33" i="29"/>
  <c r="CV33" i="29" s="1"/>
  <c r="CS32" i="29"/>
  <c r="CV32" i="29" s="1"/>
  <c r="CS69" i="29"/>
  <c r="CV69" i="29" s="1"/>
  <c r="CS26" i="29"/>
  <c r="CV26" i="29" s="1"/>
  <c r="CS75" i="29"/>
  <c r="CV75" i="29" s="1"/>
  <c r="CS80" i="29"/>
  <c r="CV80" i="29" s="1"/>
  <c r="CS41" i="29"/>
  <c r="CV41" i="29" s="1"/>
  <c r="CS16" i="29"/>
  <c r="CV16" i="29" s="1"/>
  <c r="CS86" i="29"/>
  <c r="CV86" i="29" s="1"/>
  <c r="CS87" i="29"/>
  <c r="CV87" i="29" s="1"/>
  <c r="CS45" i="29"/>
  <c r="CV45" i="29" s="1"/>
  <c r="CZ24" i="29"/>
  <c r="DH24" i="29" s="1"/>
  <c r="DL49" i="29"/>
  <c r="CZ50" i="29"/>
  <c r="DH50" i="29" s="1"/>
  <c r="DL52" i="29"/>
  <c r="DT52" i="29" s="1"/>
  <c r="CZ53" i="29"/>
  <c r="DL24" i="29"/>
  <c r="DT24" i="29" s="1"/>
  <c r="DL50" i="29"/>
  <c r="DT50" i="29" s="1"/>
  <c r="CZ31" i="29"/>
  <c r="DH31" i="29" s="1"/>
  <c r="DL53" i="29"/>
  <c r="DT53" i="29" s="1"/>
  <c r="CZ54" i="29"/>
  <c r="DL57" i="29"/>
  <c r="DT57" i="29" s="1"/>
  <c r="CZ58" i="29"/>
  <c r="DH58" i="29" s="1"/>
  <c r="DL61" i="29"/>
  <c r="DT61" i="29" s="1"/>
  <c r="CZ62" i="29"/>
  <c r="DH62" i="29" s="1"/>
  <c r="CZ30" i="29"/>
  <c r="DH30" i="29" s="1"/>
  <c r="DL31" i="29"/>
  <c r="DT31" i="29" s="1"/>
  <c r="CZ51" i="29"/>
  <c r="DL54" i="29"/>
  <c r="CZ55" i="29"/>
  <c r="DH55" i="29" s="1"/>
  <c r="DL58" i="29"/>
  <c r="DT58" i="29" s="1"/>
  <c r="CZ59" i="29"/>
  <c r="DL30" i="29"/>
  <c r="DT30" i="29" s="1"/>
  <c r="CZ49" i="29"/>
  <c r="DH49" i="29" s="1"/>
  <c r="DL51" i="29"/>
  <c r="DT51" i="29" s="1"/>
  <c r="CZ52" i="29"/>
  <c r="DH52" i="29" s="1"/>
  <c r="DL55" i="29"/>
  <c r="DT55" i="29" s="1"/>
  <c r="CZ56" i="29"/>
  <c r="DH56" i="29" s="1"/>
  <c r="DL59" i="29"/>
  <c r="DT59" i="29" s="1"/>
  <c r="CZ60" i="29"/>
  <c r="DH60" i="29" s="1"/>
  <c r="CZ61" i="29"/>
  <c r="DH61" i="29" s="1"/>
  <c r="DL63" i="29"/>
  <c r="DT63" i="29" s="1"/>
  <c r="CZ64" i="29"/>
  <c r="DH64" i="29" s="1"/>
  <c r="DL65" i="29"/>
  <c r="DT65" i="29" s="1"/>
  <c r="CZ66" i="29"/>
  <c r="DH66" i="29" s="1"/>
  <c r="DL36" i="29"/>
  <c r="DT36" i="29" s="1"/>
  <c r="CZ67" i="29"/>
  <c r="DH67" i="29" s="1"/>
  <c r="DL70" i="29"/>
  <c r="DT70" i="29" s="1"/>
  <c r="CZ35" i="29"/>
  <c r="DL72" i="29"/>
  <c r="DT72" i="29" s="1"/>
  <c r="CZ37" i="29"/>
  <c r="DH37" i="29" s="1"/>
  <c r="DL64" i="29"/>
  <c r="DT64" i="29" s="1"/>
  <c r="CZ27" i="29"/>
  <c r="DH27" i="29" s="1"/>
  <c r="DL66" i="29"/>
  <c r="DT66" i="29" s="1"/>
  <c r="CZ34" i="29"/>
  <c r="DH34" i="29" s="1"/>
  <c r="DL67" i="29"/>
  <c r="DT67" i="29" s="1"/>
  <c r="CZ68" i="29"/>
  <c r="DH68" i="29" s="1"/>
  <c r="DL35" i="29"/>
  <c r="DT35" i="29" s="1"/>
  <c r="CZ71" i="29"/>
  <c r="DH71" i="29" s="1"/>
  <c r="DL37" i="29"/>
  <c r="DT37" i="29" s="1"/>
  <c r="CZ25" i="29"/>
  <c r="DH25" i="29" s="1"/>
  <c r="DL73" i="29"/>
  <c r="DT73" i="29" s="1"/>
  <c r="CZ74" i="29"/>
  <c r="DH74" i="29" s="1"/>
  <c r="DL56" i="29"/>
  <c r="DT56" i="29" s="1"/>
  <c r="DL27" i="29"/>
  <c r="DT27" i="29" s="1"/>
  <c r="CZ33" i="29"/>
  <c r="DH33" i="29" s="1"/>
  <c r="DL34" i="29"/>
  <c r="DT34" i="29" s="1"/>
  <c r="CZ32" i="29"/>
  <c r="DH32" i="29" s="1"/>
  <c r="DL68" i="29"/>
  <c r="DT68" i="29" s="1"/>
  <c r="CZ69" i="29"/>
  <c r="DH69" i="29" s="1"/>
  <c r="DL71" i="29"/>
  <c r="DT71" i="29" s="1"/>
  <c r="CZ57" i="29"/>
  <c r="DH57" i="29" s="1"/>
  <c r="DL60" i="29"/>
  <c r="DT60" i="29" s="1"/>
  <c r="DL62" i="29"/>
  <c r="DT62" i="29" s="1"/>
  <c r="CZ63" i="29"/>
  <c r="DH63" i="29" s="1"/>
  <c r="DL33" i="29"/>
  <c r="DT33" i="29" s="1"/>
  <c r="CZ65" i="29"/>
  <c r="DH65" i="29" s="1"/>
  <c r="DL32" i="29"/>
  <c r="DT32" i="29" s="1"/>
  <c r="CZ36" i="29"/>
  <c r="DH36" i="29" s="1"/>
  <c r="DL69" i="29"/>
  <c r="DT69" i="29" s="1"/>
  <c r="CZ70" i="29"/>
  <c r="DH70" i="29" s="1"/>
  <c r="CZ72" i="29"/>
  <c r="DH72" i="29" s="1"/>
  <c r="DL77" i="29"/>
  <c r="CZ79" i="29"/>
  <c r="DH79" i="29" s="1"/>
  <c r="DL39" i="29"/>
  <c r="DT39" i="29" s="1"/>
  <c r="CZ40" i="29"/>
  <c r="DH40" i="29" s="1"/>
  <c r="DL21" i="29"/>
  <c r="DT21" i="29" s="1"/>
  <c r="CZ42" i="29"/>
  <c r="DH42" i="29" s="1"/>
  <c r="DL84" i="29"/>
  <c r="DT84" i="29" s="1"/>
  <c r="CZ85" i="29"/>
  <c r="DH85" i="29" s="1"/>
  <c r="DL74" i="29"/>
  <c r="DT74" i="29" s="1"/>
  <c r="CZ75" i="29"/>
  <c r="DH75" i="29" s="1"/>
  <c r="DL79" i="29"/>
  <c r="DT79" i="29" s="1"/>
  <c r="CZ80" i="29"/>
  <c r="DH80" i="29" s="1"/>
  <c r="DL40" i="29"/>
  <c r="DT40" i="29" s="1"/>
  <c r="CZ41" i="29"/>
  <c r="DH41" i="29" s="1"/>
  <c r="DL42" i="29"/>
  <c r="DT42" i="29" s="1"/>
  <c r="CZ16" i="29"/>
  <c r="DH16" i="29" s="1"/>
  <c r="DL85" i="29"/>
  <c r="DT85" i="29" s="1"/>
  <c r="CZ86" i="29"/>
  <c r="DH86" i="29" s="1"/>
  <c r="DL28" i="29"/>
  <c r="DT28" i="29" s="1"/>
  <c r="CZ87" i="29"/>
  <c r="DH87" i="29" s="1"/>
  <c r="DL44" i="29"/>
  <c r="DT44" i="29" s="1"/>
  <c r="CZ45" i="29"/>
  <c r="DH45" i="29" s="1"/>
  <c r="DL47" i="29"/>
  <c r="DT47" i="29" s="1"/>
  <c r="DL89" i="29"/>
  <c r="DT89" i="29" s="1"/>
  <c r="CZ15" i="29"/>
  <c r="DH15" i="29" s="1"/>
  <c r="DL15" i="29"/>
  <c r="DT15" i="29" s="1"/>
  <c r="DL75" i="29"/>
  <c r="DT75" i="29" s="1"/>
  <c r="CZ76" i="29"/>
  <c r="DH76" i="29" s="1"/>
  <c r="DL80" i="29"/>
  <c r="DT80" i="29" s="1"/>
  <c r="CZ81" i="29"/>
  <c r="DH81" i="29" s="1"/>
  <c r="DL41" i="29"/>
  <c r="DT41" i="29" s="1"/>
  <c r="CZ82" i="29"/>
  <c r="DH82" i="29" s="1"/>
  <c r="DL16" i="29"/>
  <c r="DT16" i="29" s="1"/>
  <c r="CZ83" i="29"/>
  <c r="DH83" i="29" s="1"/>
  <c r="DL86" i="29"/>
  <c r="DT86" i="29" s="1"/>
  <c r="CZ38" i="29"/>
  <c r="DH38" i="29" s="1"/>
  <c r="DL87" i="29"/>
  <c r="DT87" i="29" s="1"/>
  <c r="CZ89" i="29"/>
  <c r="DH89" i="29" s="1"/>
  <c r="DL45" i="29"/>
  <c r="DT45" i="29" s="1"/>
  <c r="CZ46" i="29"/>
  <c r="DH46" i="29" s="1"/>
  <c r="DL48" i="29"/>
  <c r="DT48" i="29" s="1"/>
  <c r="DL38" i="29"/>
  <c r="DT38" i="29" s="1"/>
  <c r="CZ17" i="29"/>
  <c r="DH17" i="29" s="1"/>
  <c r="CZ90" i="29"/>
  <c r="DH90" i="29" s="1"/>
  <c r="DL46" i="29"/>
  <c r="DT46" i="29" s="1"/>
  <c r="DL17" i="29"/>
  <c r="DT17" i="29" s="1"/>
  <c r="DL25" i="29"/>
  <c r="DT25" i="29" s="1"/>
  <c r="CZ26" i="29"/>
  <c r="DH26" i="29" s="1"/>
  <c r="DL26" i="29"/>
  <c r="DT26" i="29" s="1"/>
  <c r="CZ73" i="29"/>
  <c r="DH73" i="29" s="1"/>
  <c r="DL76" i="29"/>
  <c r="DT76" i="29" s="1"/>
  <c r="CZ77" i="29"/>
  <c r="DH77" i="29" s="1"/>
  <c r="DL81" i="29"/>
  <c r="DT81" i="29" s="1"/>
  <c r="CZ39" i="29"/>
  <c r="DH39" i="29" s="1"/>
  <c r="DL82" i="29"/>
  <c r="DT82" i="29" s="1"/>
  <c r="CZ21" i="29"/>
  <c r="DH21" i="29" s="1"/>
  <c r="DL83" i="29"/>
  <c r="DT83" i="29" s="1"/>
  <c r="CZ84" i="29"/>
  <c r="DH84" i="29" s="1"/>
  <c r="DL90" i="29"/>
  <c r="DT90" i="29" s="1"/>
  <c r="CZ28" i="29"/>
  <c r="DH28" i="29" s="1"/>
  <c r="CZ44" i="29"/>
  <c r="DH44" i="29" s="1"/>
  <c r="CZ47" i="29"/>
  <c r="DH47" i="29" s="1"/>
  <c r="CZ48" i="29"/>
  <c r="DH48" i="29" s="1"/>
  <c r="J27" i="18"/>
  <c r="O34" i="19" s="1"/>
  <c r="CV27" i="29"/>
  <c r="CV50" i="29"/>
  <c r="DH54" i="29"/>
  <c r="L17" i="28"/>
  <c r="L47" i="28"/>
  <c r="L18" i="28"/>
  <c r="N48" i="29"/>
  <c r="N85" i="29"/>
  <c r="S85" i="29" s="1"/>
  <c r="N74" i="29"/>
  <c r="S74" i="29" s="1"/>
  <c r="N84" i="29"/>
  <c r="S84" i="29" s="1"/>
  <c r="N73" i="29"/>
  <c r="S73" i="29" s="1"/>
  <c r="N38" i="29"/>
  <c r="S38" i="29" s="1"/>
  <c r="N76" i="29"/>
  <c r="S76" i="29" s="1"/>
  <c r="N41" i="29"/>
  <c r="S41" i="29" s="1"/>
  <c r="N35" i="29"/>
  <c r="S35" i="29" s="1"/>
  <c r="N62" i="29"/>
  <c r="S62" i="29" s="1"/>
  <c r="N65" i="29"/>
  <c r="N69" i="29"/>
  <c r="S69" i="29" s="1"/>
  <c r="N25" i="29"/>
  <c r="N27" i="29"/>
  <c r="S27" i="29" s="1"/>
  <c r="N50" i="29"/>
  <c r="N52" i="29"/>
  <c r="S52" i="29" s="1"/>
  <c r="N51" i="29"/>
  <c r="N19" i="29"/>
  <c r="S19" i="29" s="1"/>
  <c r="T6" i="27"/>
  <c r="DH35" i="29"/>
  <c r="CV82" i="29"/>
  <c r="DT54" i="29"/>
  <c r="DH22" i="29"/>
  <c r="CV89" i="29"/>
  <c r="DT78" i="29"/>
  <c r="DH53" i="29"/>
  <c r="CV72" i="29"/>
  <c r="CV63" i="29"/>
  <c r="DH23" i="29"/>
  <c r="DH59" i="29"/>
  <c r="DH51" i="29"/>
  <c r="DT22" i="29"/>
  <c r="DT77" i="29"/>
  <c r="DT49" i="29"/>
  <c r="CV36" i="29"/>
  <c r="CV78" i="29"/>
  <c r="CV58" i="29"/>
  <c r="J85" i="9"/>
  <c r="P14" i="9"/>
  <c r="I42" i="13"/>
  <c r="I34" i="19" s="1"/>
  <c r="I38" i="13"/>
  <c r="I30" i="19" s="1"/>
  <c r="I34" i="13"/>
  <c r="I26" i="19" s="1"/>
  <c r="I41" i="13"/>
  <c r="I33" i="19" s="1"/>
  <c r="I37" i="13"/>
  <c r="I29" i="19" s="1"/>
  <c r="I40" i="13"/>
  <c r="I32" i="19" s="1"/>
  <c r="I36" i="13"/>
  <c r="I28" i="19" s="1"/>
  <c r="I39" i="13"/>
  <c r="I31" i="19" s="1"/>
  <c r="I35" i="13"/>
  <c r="I27" i="19" s="1"/>
  <c r="I18" i="28"/>
  <c r="I17" i="28"/>
  <c r="I47" i="28"/>
  <c r="N51" i="19"/>
  <c r="I35" i="15"/>
  <c r="N50" i="19" s="1"/>
  <c r="I37" i="15"/>
  <c r="N52" i="19" s="1"/>
  <c r="I33" i="15"/>
  <c r="N48" i="19" s="1"/>
  <c r="I32" i="15"/>
  <c r="N47" i="19" s="1"/>
  <c r="I31" i="15"/>
  <c r="N46" i="19" s="1"/>
  <c r="I34" i="15"/>
  <c r="N49" i="19" s="1"/>
  <c r="I29" i="15"/>
  <c r="I76" i="15"/>
  <c r="I77" i="15" s="1"/>
  <c r="L26" i="15"/>
  <c r="I30" i="15"/>
  <c r="N45" i="19" s="1"/>
  <c r="F43" i="15"/>
  <c r="F47" i="15"/>
  <c r="F51" i="15"/>
  <c r="F55" i="15"/>
  <c r="F59" i="15"/>
  <c r="F63" i="15"/>
  <c r="F67" i="15"/>
  <c r="F71" i="15"/>
  <c r="F75" i="15"/>
  <c r="F50" i="15"/>
  <c r="F66" i="15"/>
  <c r="F44" i="15"/>
  <c r="F48" i="15"/>
  <c r="F52" i="15"/>
  <c r="F56" i="15"/>
  <c r="F60" i="15"/>
  <c r="F64" i="15"/>
  <c r="F68" i="15"/>
  <c r="F72" i="15"/>
  <c r="F42" i="15"/>
  <c r="F69" i="15"/>
  <c r="F46" i="15"/>
  <c r="F58" i="15"/>
  <c r="F70" i="15"/>
  <c r="F26" i="15"/>
  <c r="F45" i="15"/>
  <c r="F49" i="15"/>
  <c r="F53" i="15"/>
  <c r="F57" i="15"/>
  <c r="F61" i="15"/>
  <c r="F65" i="15"/>
  <c r="F73" i="15"/>
  <c r="F54" i="15"/>
  <c r="F62" i="15"/>
  <c r="F74" i="15"/>
  <c r="M26" i="15"/>
  <c r="O14" i="28"/>
  <c r="M169" i="21"/>
  <c r="D52" i="19" s="1"/>
  <c r="M168" i="21"/>
  <c r="D51" i="19" s="1"/>
  <c r="M158" i="21"/>
  <c r="D40" i="19" s="1"/>
  <c r="C40" i="19" s="1"/>
  <c r="Q149" i="21"/>
  <c r="S149" i="21" s="1"/>
  <c r="P90" i="21"/>
  <c r="S90" i="21" s="1"/>
  <c r="Q108" i="21"/>
  <c r="S108" i="21" s="1"/>
  <c r="J154" i="21"/>
  <c r="R343" i="8"/>
  <c r="C48" i="29"/>
  <c r="C47" i="29"/>
  <c r="T143" i="8"/>
  <c r="K27" i="18"/>
  <c r="O52" i="19" s="1"/>
  <c r="K23" i="26"/>
  <c r="K24" i="26"/>
  <c r="L25" i="26"/>
  <c r="F56" i="26"/>
  <c r="J22" i="18"/>
  <c r="J23" i="18"/>
  <c r="J25" i="18"/>
  <c r="O31" i="19" s="1"/>
  <c r="L35" i="19"/>
  <c r="F13" i="19"/>
  <c r="P14" i="28"/>
  <c r="P22" i="9"/>
  <c r="J42" i="9"/>
  <c r="C5" i="19" s="1"/>
  <c r="J62" i="9"/>
  <c r="J70" i="9"/>
  <c r="J79" i="9"/>
  <c r="J88" i="9"/>
  <c r="J51" i="9"/>
  <c r="J55" i="9"/>
  <c r="J61" i="9"/>
  <c r="J69" i="9"/>
  <c r="J81" i="9"/>
  <c r="T94" i="8"/>
  <c r="S70" i="21"/>
  <c r="J48" i="9"/>
  <c r="J52" i="9"/>
  <c r="J56" i="9"/>
  <c r="J63" i="9"/>
  <c r="J71" i="9"/>
  <c r="J83" i="9"/>
  <c r="J60" i="9"/>
  <c r="J66" i="9"/>
  <c r="J74" i="9"/>
  <c r="J77" i="9"/>
  <c r="J49" i="9"/>
  <c r="J53" i="9"/>
  <c r="J57" i="9"/>
  <c r="J65" i="9"/>
  <c r="J73" i="9"/>
  <c r="P34" i="9"/>
  <c r="R10" i="10"/>
  <c r="R344" i="8"/>
  <c r="K345" i="8"/>
  <c r="R345" i="8" s="1"/>
  <c r="J82" i="9"/>
  <c r="J87" i="9"/>
  <c r="R333" i="8"/>
  <c r="R328" i="8" s="1"/>
  <c r="T328" i="8" s="1"/>
  <c r="T108" i="8"/>
  <c r="T34" i="8"/>
  <c r="M86" i="22"/>
  <c r="E10" i="19" s="1"/>
  <c r="K249" i="8"/>
  <c r="K250" i="8" s="1"/>
  <c r="R250" i="8" s="1"/>
  <c r="R245" i="8" s="1"/>
  <c r="T245" i="8" s="1"/>
  <c r="K367" i="8"/>
  <c r="K368" i="8" s="1"/>
  <c r="K63" i="5"/>
  <c r="S99" i="21"/>
  <c r="T54" i="8"/>
  <c r="T100" i="8"/>
  <c r="S6" i="21"/>
  <c r="M93" i="22"/>
  <c r="P52" i="19" s="1"/>
  <c r="M92" i="22"/>
  <c r="P51" i="19" s="1"/>
  <c r="I130" i="22"/>
  <c r="I131" i="22" s="1"/>
  <c r="F105" i="22"/>
  <c r="D10" i="19"/>
  <c r="F115" i="22"/>
  <c r="F99" i="22"/>
  <c r="F111" i="22"/>
  <c r="F95" i="22"/>
  <c r="F108" i="22"/>
  <c r="F109" i="22"/>
  <c r="F107" i="22"/>
  <c r="F116" i="22"/>
  <c r="F117" i="22"/>
  <c r="F106" i="22"/>
  <c r="F103" i="22"/>
  <c r="F110" i="22"/>
  <c r="F91" i="22"/>
  <c r="F100" i="22"/>
  <c r="F102" i="22"/>
  <c r="F93" i="22"/>
  <c r="F94" i="22"/>
  <c r="F97" i="22"/>
  <c r="F101" i="22"/>
  <c r="F104" i="22"/>
  <c r="F98" i="22"/>
  <c r="F113" i="22"/>
  <c r="F92" i="22"/>
  <c r="F96" i="22"/>
  <c r="F112" i="22"/>
  <c r="F114" i="22"/>
  <c r="L35" i="13"/>
  <c r="I45" i="19" s="1"/>
  <c r="L39" i="13"/>
  <c r="I49" i="19" s="1"/>
  <c r="L34" i="13"/>
  <c r="I44" i="19" s="1"/>
  <c r="L36" i="13"/>
  <c r="I46" i="19" s="1"/>
  <c r="L40" i="13"/>
  <c r="I50" i="19" s="1"/>
  <c r="L42" i="13"/>
  <c r="I52" i="19" s="1"/>
  <c r="L37" i="13"/>
  <c r="I47" i="19" s="1"/>
  <c r="L41" i="13"/>
  <c r="L38" i="13"/>
  <c r="I48" i="19" s="1"/>
  <c r="P30" i="13"/>
  <c r="E6" i="19" s="1"/>
  <c r="I98" i="13"/>
  <c r="I99" i="13" s="1"/>
  <c r="L98" i="13"/>
  <c r="L99" i="13" s="1"/>
  <c r="N64" i="27"/>
  <c r="N63" i="27"/>
  <c r="F51" i="19" s="1"/>
  <c r="N86" i="27"/>
  <c r="M288" i="21"/>
  <c r="M289" i="21" s="1"/>
  <c r="T217" i="8"/>
  <c r="T158" i="8"/>
  <c r="T84" i="8"/>
  <c r="K306" i="8"/>
  <c r="R306" i="8" s="1"/>
  <c r="R299" i="8" s="1"/>
  <c r="T299" i="8" s="1"/>
  <c r="T148" i="8"/>
  <c r="T168" i="8"/>
  <c r="T177" i="8"/>
  <c r="S77" i="21"/>
  <c r="S143" i="21"/>
  <c r="S38" i="21"/>
  <c r="S136" i="21"/>
  <c r="S112" i="21"/>
  <c r="S58" i="21"/>
  <c r="S116" i="21"/>
  <c r="S86" i="21"/>
  <c r="S53" i="21"/>
  <c r="S13" i="21"/>
  <c r="S49" i="21"/>
  <c r="S28" i="21"/>
  <c r="J236" i="21"/>
  <c r="S20" i="21"/>
  <c r="T6" i="8"/>
  <c r="T131" i="8"/>
  <c r="T153" i="8"/>
  <c r="T89" i="8"/>
  <c r="N547" i="8"/>
  <c r="N548" i="8" s="1"/>
  <c r="N421" i="8"/>
  <c r="E52" i="19" s="1"/>
  <c r="T70" i="8"/>
  <c r="T163" i="8"/>
  <c r="T211" i="8"/>
  <c r="T78" i="8"/>
  <c r="T204" i="8"/>
  <c r="K298" i="8"/>
  <c r="R298" i="8" s="1"/>
  <c r="R291" i="8" s="1"/>
  <c r="T291" i="8" s="1"/>
  <c r="T115" i="8"/>
  <c r="T190" i="8"/>
  <c r="T123" i="8"/>
  <c r="T197" i="8"/>
  <c r="T62" i="8"/>
  <c r="H76" i="5"/>
  <c r="H62" i="5"/>
  <c r="O30" i="13"/>
  <c r="K13" i="24"/>
  <c r="D14" i="19"/>
  <c r="F14" i="19" s="1"/>
  <c r="H67" i="5"/>
  <c r="H59" i="5"/>
  <c r="H68" i="5"/>
  <c r="H78" i="5"/>
  <c r="T223" i="8"/>
  <c r="O24" i="10"/>
  <c r="O25" i="10" s="1"/>
  <c r="N42" i="9"/>
  <c r="E5" i="19" s="1"/>
  <c r="T184" i="8"/>
  <c r="E16" i="14"/>
  <c r="B9" i="19" s="1"/>
  <c r="H75" i="5"/>
  <c r="H70" i="5"/>
  <c r="H64" i="5"/>
  <c r="H65" i="5"/>
  <c r="H63" i="5"/>
  <c r="H72" i="5"/>
  <c r="K326" i="8"/>
  <c r="K327" i="8" s="1"/>
  <c r="R327" i="8" s="1"/>
  <c r="R320" i="8" s="1"/>
  <c r="T320" i="8" s="1"/>
  <c r="K311" i="8"/>
  <c r="L26" i="26"/>
  <c r="K12" i="11"/>
  <c r="J17" i="18"/>
  <c r="L6" i="18"/>
  <c r="H23" i="23"/>
  <c r="H24" i="23" s="1"/>
  <c r="L20" i="23"/>
  <c r="Q48" i="19" s="1"/>
  <c r="L19" i="23"/>
  <c r="Q43" i="19" s="1"/>
  <c r="K16" i="23"/>
  <c r="D12" i="19"/>
  <c r="F12" i="19" s="1"/>
  <c r="L26" i="14"/>
  <c r="M25" i="19"/>
  <c r="M35" i="19" s="1"/>
  <c r="K316" i="8"/>
  <c r="K317" i="8" s="1"/>
  <c r="K189" i="8"/>
  <c r="Q104" i="21"/>
  <c r="S104" i="21" s="1"/>
  <c r="J255" i="21"/>
  <c r="K282" i="8"/>
  <c r="R282" i="8" s="1"/>
  <c r="K272" i="8"/>
  <c r="K273" i="8" s="1"/>
  <c r="R273" i="8" s="1"/>
  <c r="R268" i="8" s="1"/>
  <c r="T268" i="8" s="1"/>
  <c r="G53" i="18"/>
  <c r="G54" i="18" s="1"/>
  <c r="K25" i="18"/>
  <c r="O49" i="19" s="1"/>
  <c r="K26" i="18"/>
  <c r="O51" i="19" s="1"/>
  <c r="K22" i="18"/>
  <c r="O44" i="19" s="1"/>
  <c r="K23" i="18"/>
  <c r="K24" i="18"/>
  <c r="O48" i="19" s="1"/>
  <c r="H47" i="5"/>
  <c r="C4" i="19"/>
  <c r="H74" i="5"/>
  <c r="H69" i="5"/>
  <c r="H60" i="5"/>
  <c r="K258" i="8"/>
  <c r="K259" i="8" s="1"/>
  <c r="H71" i="5"/>
  <c r="H61" i="5"/>
  <c r="K263" i="8"/>
  <c r="H66" i="5"/>
  <c r="H58" i="5"/>
  <c r="J269" i="21"/>
  <c r="J270" i="21"/>
  <c r="J275" i="21"/>
  <c r="J191" i="21"/>
  <c r="J198" i="21"/>
  <c r="K21" i="23"/>
  <c r="K22" i="23" s="1"/>
  <c r="Q25" i="19"/>
  <c r="Q35" i="19" s="1"/>
  <c r="L24" i="10"/>
  <c r="L25" i="10" s="1"/>
  <c r="P23" i="10"/>
  <c r="P22" i="10"/>
  <c r="L49" i="19" s="1"/>
  <c r="P21" i="10"/>
  <c r="L48" i="19" s="1"/>
  <c r="P20" i="10"/>
  <c r="L46" i="19" s="1"/>
  <c r="P19" i="10"/>
  <c r="L45" i="19" s="1"/>
  <c r="P18" i="10"/>
  <c r="L44" i="19" s="1"/>
  <c r="L18" i="26"/>
  <c r="D11" i="19"/>
  <c r="F11" i="19" s="1"/>
  <c r="S33" i="19"/>
  <c r="K22" i="26"/>
  <c r="S32" i="19" s="1"/>
  <c r="K21" i="26"/>
  <c r="F57" i="26"/>
  <c r="O15" i="10"/>
  <c r="R14" i="10"/>
  <c r="D8" i="19"/>
  <c r="F8" i="19" s="1"/>
  <c r="G90" i="9"/>
  <c r="G91" i="9" s="1"/>
  <c r="M54" i="9"/>
  <c r="H33" i="19" s="1"/>
  <c r="M52" i="9"/>
  <c r="H31" i="19" s="1"/>
  <c r="M50" i="9"/>
  <c r="H29" i="19" s="1"/>
  <c r="M48" i="9"/>
  <c r="M53" i="9"/>
  <c r="H32" i="19" s="1"/>
  <c r="M51" i="9"/>
  <c r="H30" i="19" s="1"/>
  <c r="M49" i="9"/>
  <c r="H28" i="19" s="1"/>
  <c r="M42" i="9"/>
  <c r="K24" i="5"/>
  <c r="O24" i="5"/>
  <c r="P24" i="5" s="1"/>
  <c r="P38" i="5" s="1"/>
  <c r="H73" i="5"/>
  <c r="K238" i="8"/>
  <c r="J273" i="21"/>
  <c r="J274" i="21"/>
  <c r="R289" i="8"/>
  <c r="K290" i="8"/>
  <c r="R290" i="8" s="1"/>
  <c r="J187" i="21"/>
  <c r="J190" i="21"/>
  <c r="I31" i="14"/>
  <c r="I32" i="14" s="1"/>
  <c r="M25" i="14"/>
  <c r="M47" i="19" s="1"/>
  <c r="M24" i="14"/>
  <c r="M23" i="14"/>
  <c r="M22" i="14"/>
  <c r="M21" i="14"/>
  <c r="M43" i="19" s="1"/>
  <c r="K64" i="5"/>
  <c r="G33" i="19" s="1"/>
  <c r="K60" i="5"/>
  <c r="G29" i="19" s="1"/>
  <c r="K61" i="5"/>
  <c r="G30" i="19" s="1"/>
  <c r="K62" i="5"/>
  <c r="G31" i="19" s="1"/>
  <c r="K58" i="5"/>
  <c r="E80" i="5"/>
  <c r="E81" i="5" s="1"/>
  <c r="G32" i="19"/>
  <c r="K59" i="5"/>
  <c r="G28" i="19" s="1"/>
  <c r="L17" i="14"/>
  <c r="D9" i="19"/>
  <c r="K50" i="5"/>
  <c r="K47" i="5"/>
  <c r="N46" i="5"/>
  <c r="J214" i="21"/>
  <c r="J219" i="21"/>
  <c r="J235" i="21"/>
  <c r="J252" i="21"/>
  <c r="J216" i="21"/>
  <c r="J186" i="21"/>
  <c r="J229" i="21"/>
  <c r="M90" i="22"/>
  <c r="P49" i="19" s="1"/>
  <c r="M159" i="21"/>
  <c r="D41" i="19" s="1"/>
  <c r="C41" i="19" s="1"/>
  <c r="M160" i="21"/>
  <c r="M165" i="21"/>
  <c r="D48" i="19" s="1"/>
  <c r="M161" i="21"/>
  <c r="D44" i="19" s="1"/>
  <c r="C2" i="19"/>
  <c r="M167" i="21"/>
  <c r="D50" i="19" s="1"/>
  <c r="M163" i="21"/>
  <c r="D46" i="19" s="1"/>
  <c r="M166" i="21"/>
  <c r="D49" i="19" s="1"/>
  <c r="M162" i="21"/>
  <c r="D45" i="19" s="1"/>
  <c r="M164" i="21"/>
  <c r="D47" i="19" s="1"/>
  <c r="M91" i="22"/>
  <c r="P50" i="19" s="1"/>
  <c r="N420" i="8"/>
  <c r="E51" i="19" s="1"/>
  <c r="N415" i="8"/>
  <c r="N416" i="8"/>
  <c r="N417" i="8"/>
  <c r="N419" i="8"/>
  <c r="E50" i="19" s="1"/>
  <c r="N411" i="8"/>
  <c r="AM92" i="29" s="1"/>
  <c r="N412" i="8"/>
  <c r="N414" i="8"/>
  <c r="N418" i="8"/>
  <c r="N413" i="8"/>
  <c r="E4" i="19" l="1"/>
  <c r="N9" i="29"/>
  <c r="N11" i="29"/>
  <c r="N3" i="29"/>
  <c r="S50" i="29"/>
  <c r="N6" i="29"/>
  <c r="N13" i="29"/>
  <c r="N8" i="29"/>
  <c r="S8" i="29" s="1"/>
  <c r="N12" i="29"/>
  <c r="N14" i="29"/>
  <c r="S14" i="29" s="1"/>
  <c r="N7" i="29"/>
  <c r="R311" i="8"/>
  <c r="Q311" i="8"/>
  <c r="Q307" i="8" s="1"/>
  <c r="R259" i="8"/>
  <c r="R253" i="8" s="1"/>
  <c r="Q259" i="8"/>
  <c r="Q253" i="8" s="1"/>
  <c r="S51" i="29"/>
  <c r="S25" i="29"/>
  <c r="S22" i="29"/>
  <c r="R27" i="27"/>
  <c r="Q25" i="27"/>
  <c r="Q22" i="27" s="1"/>
  <c r="Q58" i="27" s="1"/>
  <c r="K27" i="27"/>
  <c r="R37" i="27"/>
  <c r="R34" i="27" s="1"/>
  <c r="K38" i="27"/>
  <c r="R38" i="27" s="1"/>
  <c r="K32" i="27"/>
  <c r="K33" i="27" s="1"/>
  <c r="F36" i="15"/>
  <c r="S86" i="29"/>
  <c r="S90" i="29"/>
  <c r="L87" i="22"/>
  <c r="N87" i="27"/>
  <c r="L27" i="14"/>
  <c r="S55" i="29"/>
  <c r="S57" i="29"/>
  <c r="S54" i="29"/>
  <c r="S49" i="29"/>
  <c r="S17" i="29"/>
  <c r="S20" i="29"/>
  <c r="X48" i="29"/>
  <c r="Y48" i="29" s="1"/>
  <c r="Z48" i="29" s="1"/>
  <c r="AA48" i="29" s="1"/>
  <c r="AB48" i="29" s="1"/>
  <c r="AC48" i="29" s="1"/>
  <c r="AD48" i="29" s="1"/>
  <c r="AE48" i="29" s="1"/>
  <c r="AF48" i="29" s="1"/>
  <c r="AG48" i="29" s="1"/>
  <c r="S37" i="29"/>
  <c r="S58" i="29"/>
  <c r="X34" i="29"/>
  <c r="Y34" i="29" s="1"/>
  <c r="Z34" i="29" s="1"/>
  <c r="AA34" i="29" s="1"/>
  <c r="AB34" i="29" s="1"/>
  <c r="AC34" i="29" s="1"/>
  <c r="AD34" i="29" s="1"/>
  <c r="AE34" i="29" s="1"/>
  <c r="AF34" i="29" s="1"/>
  <c r="AG34" i="29" s="1"/>
  <c r="X54" i="29"/>
  <c r="Y54" i="29" s="1"/>
  <c r="Z54" i="29" s="1"/>
  <c r="AA54" i="29" s="1"/>
  <c r="AB54" i="29" s="1"/>
  <c r="AC54" i="29" s="1"/>
  <c r="AD54" i="29" s="1"/>
  <c r="AE54" i="29" s="1"/>
  <c r="AF54" i="29" s="1"/>
  <c r="AG54" i="29" s="1"/>
  <c r="S39" i="29"/>
  <c r="S26" i="29"/>
  <c r="S44" i="29"/>
  <c r="X50" i="29"/>
  <c r="Y50" i="29" s="1"/>
  <c r="Z50" i="29" s="1"/>
  <c r="AA50" i="29" s="1"/>
  <c r="AB50" i="29" s="1"/>
  <c r="AC50" i="29" s="1"/>
  <c r="AD50" i="29" s="1"/>
  <c r="AE50" i="29" s="1"/>
  <c r="AF50" i="29" s="1"/>
  <c r="AG50" i="29" s="1"/>
  <c r="X80" i="29"/>
  <c r="Y80" i="29" s="1"/>
  <c r="Z80" i="29" s="1"/>
  <c r="AA80" i="29" s="1"/>
  <c r="AB80" i="29" s="1"/>
  <c r="AC80" i="29" s="1"/>
  <c r="AD80" i="29" s="1"/>
  <c r="AE80" i="29" s="1"/>
  <c r="AF80" i="29" s="1"/>
  <c r="AG80" i="29" s="1"/>
  <c r="T80" i="29" s="1"/>
  <c r="S45" i="29"/>
  <c r="X41" i="29"/>
  <c r="Y41" i="29" s="1"/>
  <c r="S60" i="29"/>
  <c r="S63" i="29"/>
  <c r="X67" i="29"/>
  <c r="Y67" i="29" s="1"/>
  <c r="X35" i="29"/>
  <c r="Y35" i="29" s="1"/>
  <c r="X14" i="29"/>
  <c r="Y14" i="29" s="1"/>
  <c r="Z14" i="29" s="1"/>
  <c r="AA14" i="29" s="1"/>
  <c r="AB14" i="29" s="1"/>
  <c r="AC14" i="29" s="1"/>
  <c r="AD14" i="29" s="1"/>
  <c r="AE14" i="29" s="1"/>
  <c r="AF14" i="29" s="1"/>
  <c r="AG14" i="29" s="1"/>
  <c r="S59" i="29"/>
  <c r="X31" i="29"/>
  <c r="Y31" i="29" s="1"/>
  <c r="S65" i="29"/>
  <c r="S68" i="29"/>
  <c r="S29" i="29"/>
  <c r="S87" i="29"/>
  <c r="S30" i="29"/>
  <c r="X16" i="29"/>
  <c r="Y16" i="29" s="1"/>
  <c r="Z16" i="29" s="1"/>
  <c r="AA16" i="29" s="1"/>
  <c r="AB16" i="29" s="1"/>
  <c r="AC16" i="29" s="1"/>
  <c r="AD16" i="29" s="1"/>
  <c r="AE16" i="29" s="1"/>
  <c r="AF16" i="29" s="1"/>
  <c r="AG16" i="29" s="1"/>
  <c r="S18" i="29"/>
  <c r="S89" i="29"/>
  <c r="Z41" i="29"/>
  <c r="AA41" i="29" s="1"/>
  <c r="AB41" i="29" s="1"/>
  <c r="AC41" i="29" s="1"/>
  <c r="AD41" i="29" s="1"/>
  <c r="AE41" i="29" s="1"/>
  <c r="AF41" i="29" s="1"/>
  <c r="AG41" i="29" s="1"/>
  <c r="S82" i="29"/>
  <c r="S72" i="29"/>
  <c r="S83" i="29"/>
  <c r="X64" i="29"/>
  <c r="Y64" i="29" s="1"/>
  <c r="Z64" i="29" s="1"/>
  <c r="AA64" i="29" s="1"/>
  <c r="AB64" i="29" s="1"/>
  <c r="AC64" i="29" s="1"/>
  <c r="AD64" i="29" s="1"/>
  <c r="AE64" i="29" s="1"/>
  <c r="AF64" i="29" s="1"/>
  <c r="AG64" i="29" s="1"/>
  <c r="X79" i="29"/>
  <c r="Y79" i="29" s="1"/>
  <c r="Z79" i="29" s="1"/>
  <c r="AA79" i="29" s="1"/>
  <c r="AB79" i="29" s="1"/>
  <c r="AC79" i="29" s="1"/>
  <c r="AD79" i="29" s="1"/>
  <c r="AE79" i="29" s="1"/>
  <c r="AF79" i="29" s="1"/>
  <c r="AG79" i="29" s="1"/>
  <c r="X21" i="29"/>
  <c r="Y21" i="29" s="1"/>
  <c r="Z21" i="29" s="1"/>
  <c r="AA21" i="29" s="1"/>
  <c r="AB21" i="29" s="1"/>
  <c r="AC21" i="29" s="1"/>
  <c r="AD21" i="29" s="1"/>
  <c r="AE21" i="29" s="1"/>
  <c r="AF21" i="29" s="1"/>
  <c r="AG21" i="29" s="1"/>
  <c r="S81" i="29"/>
  <c r="S79" i="29"/>
  <c r="S66" i="29"/>
  <c r="S67" i="29"/>
  <c r="X90" i="29"/>
  <c r="Y90" i="29" s="1"/>
  <c r="Z90" i="29" s="1"/>
  <c r="AA90" i="29" s="1"/>
  <c r="AB90" i="29" s="1"/>
  <c r="AC90" i="29" s="1"/>
  <c r="AD90" i="29" s="1"/>
  <c r="AE90" i="29" s="1"/>
  <c r="AF90" i="29" s="1"/>
  <c r="AG90" i="29" s="1"/>
  <c r="AH90" i="29" s="1"/>
  <c r="Z35" i="29"/>
  <c r="AA35" i="29" s="1"/>
  <c r="AB35" i="29" s="1"/>
  <c r="AC35" i="29" s="1"/>
  <c r="AD35" i="29" s="1"/>
  <c r="AE35" i="29" s="1"/>
  <c r="AF35" i="29" s="1"/>
  <c r="AG35" i="29" s="1"/>
  <c r="X32" i="29"/>
  <c r="Y32" i="29" s="1"/>
  <c r="Z32" i="29" s="1"/>
  <c r="AA32" i="29" s="1"/>
  <c r="AB32" i="29" s="1"/>
  <c r="AC32" i="29" s="1"/>
  <c r="AD32" i="29" s="1"/>
  <c r="AE32" i="29" s="1"/>
  <c r="AF32" i="29" s="1"/>
  <c r="AG32" i="29" s="1"/>
  <c r="S24" i="29"/>
  <c r="Z67" i="29"/>
  <c r="AA67" i="29" s="1"/>
  <c r="AB67" i="29" s="1"/>
  <c r="AC67" i="29" s="1"/>
  <c r="AD67" i="29" s="1"/>
  <c r="AE67" i="29" s="1"/>
  <c r="AF67" i="29" s="1"/>
  <c r="AG67" i="29" s="1"/>
  <c r="X77" i="29"/>
  <c r="Y77" i="29" s="1"/>
  <c r="Z77" i="29" s="1"/>
  <c r="AA77" i="29" s="1"/>
  <c r="AB77" i="29" s="1"/>
  <c r="AC77" i="29" s="1"/>
  <c r="AD77" i="29" s="1"/>
  <c r="AE77" i="29" s="1"/>
  <c r="AF77" i="29" s="1"/>
  <c r="AG77" i="29" s="1"/>
  <c r="X87" i="29"/>
  <c r="Y87" i="29" s="1"/>
  <c r="Z87" i="29" s="1"/>
  <c r="AA87" i="29" s="1"/>
  <c r="AB87" i="29" s="1"/>
  <c r="AC87" i="29" s="1"/>
  <c r="AD87" i="29" s="1"/>
  <c r="AE87" i="29" s="1"/>
  <c r="AF87" i="29" s="1"/>
  <c r="AG87" i="29" s="1"/>
  <c r="X60" i="29"/>
  <c r="Y60" i="29" s="1"/>
  <c r="Z60" i="29" s="1"/>
  <c r="AA60" i="29" s="1"/>
  <c r="AB60" i="29" s="1"/>
  <c r="AC60" i="29" s="1"/>
  <c r="AD60" i="29" s="1"/>
  <c r="AE60" i="29" s="1"/>
  <c r="AF60" i="29" s="1"/>
  <c r="AG60" i="29" s="1"/>
  <c r="X70" i="29"/>
  <c r="Y70" i="29" s="1"/>
  <c r="Z70" i="29" s="1"/>
  <c r="AA70" i="29" s="1"/>
  <c r="AB70" i="29" s="1"/>
  <c r="AC70" i="29" s="1"/>
  <c r="AD70" i="29" s="1"/>
  <c r="AE70" i="29" s="1"/>
  <c r="AF70" i="29" s="1"/>
  <c r="AG70" i="29" s="1"/>
  <c r="S70" i="29"/>
  <c r="S40" i="29"/>
  <c r="S61" i="29"/>
  <c r="S42" i="29"/>
  <c r="Z31" i="29"/>
  <c r="AA31" i="29" s="1"/>
  <c r="AB31" i="29" s="1"/>
  <c r="AC31" i="29" s="1"/>
  <c r="AD31" i="29" s="1"/>
  <c r="AE31" i="29" s="1"/>
  <c r="AF31" i="29" s="1"/>
  <c r="AG31" i="29" s="1"/>
  <c r="X55" i="29"/>
  <c r="Y55" i="29" s="1"/>
  <c r="Z55" i="29" s="1"/>
  <c r="AA55" i="29" s="1"/>
  <c r="AB55" i="29" s="1"/>
  <c r="AC55" i="29" s="1"/>
  <c r="AD55" i="29" s="1"/>
  <c r="AE55" i="29" s="1"/>
  <c r="AF55" i="29" s="1"/>
  <c r="AG55" i="29" s="1"/>
  <c r="X19" i="29"/>
  <c r="Y19" i="29" s="1"/>
  <c r="Z19" i="29" s="1"/>
  <c r="AA19" i="29" s="1"/>
  <c r="AB19" i="29" s="1"/>
  <c r="AC19" i="29" s="1"/>
  <c r="AD19" i="29" s="1"/>
  <c r="AE19" i="29" s="1"/>
  <c r="AF19" i="29" s="1"/>
  <c r="AG19" i="29" s="1"/>
  <c r="X65" i="29"/>
  <c r="Y65" i="29" s="1"/>
  <c r="Z65" i="29" s="1"/>
  <c r="AA65" i="29" s="1"/>
  <c r="AB65" i="29" s="1"/>
  <c r="AC65" i="29" s="1"/>
  <c r="AD65" i="29" s="1"/>
  <c r="AE65" i="29" s="1"/>
  <c r="AF65" i="29" s="1"/>
  <c r="AG65" i="29" s="1"/>
  <c r="S56" i="29"/>
  <c r="S46" i="29"/>
  <c r="S71" i="29"/>
  <c r="BG91" i="29"/>
  <c r="X61" i="29"/>
  <c r="Y61" i="29" s="1"/>
  <c r="Z61" i="29" s="1"/>
  <c r="AA61" i="29" s="1"/>
  <c r="AB61" i="29" s="1"/>
  <c r="AC61" i="29" s="1"/>
  <c r="AD61" i="29" s="1"/>
  <c r="AE61" i="29" s="1"/>
  <c r="AF61" i="29" s="1"/>
  <c r="AG61" i="29" s="1"/>
  <c r="X46" i="29"/>
  <c r="Y46" i="29" s="1"/>
  <c r="Z46" i="29" s="1"/>
  <c r="AA46" i="29" s="1"/>
  <c r="AB46" i="29" s="1"/>
  <c r="AC46" i="29" s="1"/>
  <c r="AD46" i="29" s="1"/>
  <c r="AE46" i="29" s="1"/>
  <c r="AF46" i="29" s="1"/>
  <c r="AG46" i="29" s="1"/>
  <c r="X20" i="29"/>
  <c r="Y20" i="29" s="1"/>
  <c r="Z20" i="29" s="1"/>
  <c r="AA20" i="29" s="1"/>
  <c r="AB20" i="29" s="1"/>
  <c r="AC20" i="29" s="1"/>
  <c r="AD20" i="29" s="1"/>
  <c r="AE20" i="29" s="1"/>
  <c r="AF20" i="29" s="1"/>
  <c r="AG20" i="29" s="1"/>
  <c r="X17" i="29"/>
  <c r="Y17" i="29" s="1"/>
  <c r="Z17" i="29" s="1"/>
  <c r="AA17" i="29" s="1"/>
  <c r="AB17" i="29" s="1"/>
  <c r="AC17" i="29" s="1"/>
  <c r="AD17" i="29" s="1"/>
  <c r="AE17" i="29" s="1"/>
  <c r="AF17" i="29" s="1"/>
  <c r="AG17" i="29" s="1"/>
  <c r="X81" i="29"/>
  <c r="Y81" i="29" s="1"/>
  <c r="Z81" i="29" s="1"/>
  <c r="AA81" i="29" s="1"/>
  <c r="AB81" i="29" s="1"/>
  <c r="AC81" i="29" s="1"/>
  <c r="AD81" i="29" s="1"/>
  <c r="AE81" i="29" s="1"/>
  <c r="AF81" i="29" s="1"/>
  <c r="AG81" i="29" s="1"/>
  <c r="X8" i="29"/>
  <c r="Y8" i="29" s="1"/>
  <c r="Z8" i="29" s="1"/>
  <c r="AA8" i="29" s="1"/>
  <c r="AB8" i="29" s="1"/>
  <c r="AC8" i="29" s="1"/>
  <c r="AD8" i="29" s="1"/>
  <c r="AE8" i="29" s="1"/>
  <c r="AF8" i="29" s="1"/>
  <c r="AG8" i="29" s="1"/>
  <c r="X33" i="29"/>
  <c r="Y33" i="29" s="1"/>
  <c r="Z33" i="29" s="1"/>
  <c r="AA33" i="29" s="1"/>
  <c r="AB33" i="29" s="1"/>
  <c r="AC33" i="29" s="1"/>
  <c r="AD33" i="29" s="1"/>
  <c r="AE33" i="29" s="1"/>
  <c r="AF33" i="29" s="1"/>
  <c r="AG33" i="29" s="1"/>
  <c r="X63" i="29"/>
  <c r="Y63" i="29" s="1"/>
  <c r="Z63" i="29" s="1"/>
  <c r="AA63" i="29" s="1"/>
  <c r="AB63" i="29" s="1"/>
  <c r="AC63" i="29" s="1"/>
  <c r="AD63" i="29" s="1"/>
  <c r="AE63" i="29" s="1"/>
  <c r="AF63" i="29" s="1"/>
  <c r="AG63" i="29" s="1"/>
  <c r="X38" i="29"/>
  <c r="Y38" i="29" s="1"/>
  <c r="Z38" i="29" s="1"/>
  <c r="AA38" i="29" s="1"/>
  <c r="AB38" i="29" s="1"/>
  <c r="AC38" i="29" s="1"/>
  <c r="AD38" i="29" s="1"/>
  <c r="AE38" i="29" s="1"/>
  <c r="AF38" i="29" s="1"/>
  <c r="AG38" i="29" s="1"/>
  <c r="T38" i="29" s="1"/>
  <c r="X23" i="29"/>
  <c r="Y23" i="29" s="1"/>
  <c r="Z23" i="29" s="1"/>
  <c r="AA23" i="29" s="1"/>
  <c r="AB23" i="29" s="1"/>
  <c r="AC23" i="29" s="1"/>
  <c r="AD23" i="29" s="1"/>
  <c r="AE23" i="29" s="1"/>
  <c r="AF23" i="29" s="1"/>
  <c r="AG23" i="29" s="1"/>
  <c r="X89" i="29"/>
  <c r="Y89" i="29" s="1"/>
  <c r="Z89" i="29" s="1"/>
  <c r="AA89" i="29" s="1"/>
  <c r="AB89" i="29" s="1"/>
  <c r="AC89" i="29" s="1"/>
  <c r="AD89" i="29" s="1"/>
  <c r="AE89" i="29" s="1"/>
  <c r="AF89" i="29" s="1"/>
  <c r="AG89" i="29" s="1"/>
  <c r="X82" i="29"/>
  <c r="Y82" i="29" s="1"/>
  <c r="Z82" i="29" s="1"/>
  <c r="AA82" i="29" s="1"/>
  <c r="AB82" i="29" s="1"/>
  <c r="AC82" i="29" s="1"/>
  <c r="AD82" i="29" s="1"/>
  <c r="AE82" i="29" s="1"/>
  <c r="AF82" i="29" s="1"/>
  <c r="AG82" i="29" s="1"/>
  <c r="Z52" i="29"/>
  <c r="AA52" i="29" s="1"/>
  <c r="AB52" i="29" s="1"/>
  <c r="AC52" i="29" s="1"/>
  <c r="AD52" i="29" s="1"/>
  <c r="AE52" i="29" s="1"/>
  <c r="AF52" i="29" s="1"/>
  <c r="AG52" i="29" s="1"/>
  <c r="X84" i="29"/>
  <c r="Y84" i="29" s="1"/>
  <c r="Z84" i="29" s="1"/>
  <c r="AA84" i="29" s="1"/>
  <c r="AB84" i="29" s="1"/>
  <c r="AC84" i="29" s="1"/>
  <c r="AD84" i="29" s="1"/>
  <c r="AE84" i="29" s="1"/>
  <c r="AF84" i="29" s="1"/>
  <c r="AG84" i="29" s="1"/>
  <c r="X22" i="29"/>
  <c r="Y22" i="29" s="1"/>
  <c r="Z22" i="29" s="1"/>
  <c r="AA22" i="29" s="1"/>
  <c r="AB22" i="29" s="1"/>
  <c r="AC22" i="29" s="1"/>
  <c r="AD22" i="29" s="1"/>
  <c r="AE22" i="29" s="1"/>
  <c r="AF22" i="29" s="1"/>
  <c r="AG22" i="29" s="1"/>
  <c r="S36" i="29"/>
  <c r="S28" i="29"/>
  <c r="X11" i="29"/>
  <c r="Y11" i="29" s="1"/>
  <c r="Z11" i="29" s="1"/>
  <c r="AA11" i="29" s="1"/>
  <c r="AB11" i="29" s="1"/>
  <c r="AC11" i="29" s="1"/>
  <c r="AD11" i="29" s="1"/>
  <c r="AE11" i="29" s="1"/>
  <c r="AF11" i="29" s="1"/>
  <c r="AG11" i="29" s="1"/>
  <c r="X43" i="29"/>
  <c r="Y43" i="29" s="1"/>
  <c r="Z43" i="29" s="1"/>
  <c r="AA43" i="29" s="1"/>
  <c r="AB43" i="29" s="1"/>
  <c r="AC43" i="29" s="1"/>
  <c r="AD43" i="29" s="1"/>
  <c r="AE43" i="29" s="1"/>
  <c r="AF43" i="29" s="1"/>
  <c r="AG43" i="29" s="1"/>
  <c r="X59" i="29"/>
  <c r="Y59" i="29" s="1"/>
  <c r="Z59" i="29" s="1"/>
  <c r="AA59" i="29" s="1"/>
  <c r="AB59" i="29" s="1"/>
  <c r="AC59" i="29" s="1"/>
  <c r="AD59" i="29" s="1"/>
  <c r="AE59" i="29" s="1"/>
  <c r="AF59" i="29" s="1"/>
  <c r="AG59" i="29" s="1"/>
  <c r="X42" i="29"/>
  <c r="Y42" i="29" s="1"/>
  <c r="Z42" i="29" s="1"/>
  <c r="AA42" i="29" s="1"/>
  <c r="AB42" i="29" s="1"/>
  <c r="AC42" i="29" s="1"/>
  <c r="AD42" i="29" s="1"/>
  <c r="AE42" i="29" s="1"/>
  <c r="AF42" i="29" s="1"/>
  <c r="AG42" i="29" s="1"/>
  <c r="X74" i="29"/>
  <c r="Y74" i="29" s="1"/>
  <c r="Z74" i="29" s="1"/>
  <c r="AA74" i="29" s="1"/>
  <c r="AB74" i="29" s="1"/>
  <c r="AC74" i="29" s="1"/>
  <c r="AD74" i="29" s="1"/>
  <c r="AE74" i="29" s="1"/>
  <c r="AF74" i="29" s="1"/>
  <c r="AG74" i="29" s="1"/>
  <c r="CC92" i="29"/>
  <c r="X30" i="29"/>
  <c r="Y30" i="29" s="1"/>
  <c r="Z30" i="29" s="1"/>
  <c r="AA30" i="29" s="1"/>
  <c r="AB30" i="29" s="1"/>
  <c r="AC30" i="29" s="1"/>
  <c r="AD30" i="29" s="1"/>
  <c r="AE30" i="29" s="1"/>
  <c r="AF30" i="29" s="1"/>
  <c r="AG30" i="29" s="1"/>
  <c r="X4" i="29"/>
  <c r="Y4" i="29" s="1"/>
  <c r="Z4" i="29" s="1"/>
  <c r="AA4" i="29" s="1"/>
  <c r="AB4" i="29" s="1"/>
  <c r="AC4" i="29" s="1"/>
  <c r="AD4" i="29" s="1"/>
  <c r="AE4" i="29" s="1"/>
  <c r="AF4" i="29" s="1"/>
  <c r="AG4" i="29" s="1"/>
  <c r="X68" i="29"/>
  <c r="Y68" i="29" s="1"/>
  <c r="Z68" i="29" s="1"/>
  <c r="AA68" i="29" s="1"/>
  <c r="AB68" i="29" s="1"/>
  <c r="AC68" i="29" s="1"/>
  <c r="AD68" i="29" s="1"/>
  <c r="AE68" i="29" s="1"/>
  <c r="AF68" i="29" s="1"/>
  <c r="AG68" i="29" s="1"/>
  <c r="X45" i="29"/>
  <c r="Y45" i="29" s="1"/>
  <c r="Z45" i="29" s="1"/>
  <c r="AA45" i="29" s="1"/>
  <c r="AB45" i="29" s="1"/>
  <c r="AC45" i="29" s="1"/>
  <c r="AD45" i="29" s="1"/>
  <c r="AT92" i="29"/>
  <c r="BO92" i="29"/>
  <c r="CD92" i="29"/>
  <c r="X18" i="29"/>
  <c r="Y18" i="29" s="1"/>
  <c r="Z18" i="29" s="1"/>
  <c r="AA18" i="29" s="1"/>
  <c r="AB18" i="29" s="1"/>
  <c r="AC18" i="29" s="1"/>
  <c r="AD18" i="29" s="1"/>
  <c r="AE18" i="29" s="1"/>
  <c r="AF18" i="29" s="1"/>
  <c r="AG18" i="29" s="1"/>
  <c r="AI92" i="29"/>
  <c r="X51" i="29"/>
  <c r="Y51" i="29" s="1"/>
  <c r="Z51" i="29" s="1"/>
  <c r="AA51" i="29" s="1"/>
  <c r="AB51" i="29" s="1"/>
  <c r="AC51" i="29" s="1"/>
  <c r="AD51" i="29" s="1"/>
  <c r="AE51" i="29" s="1"/>
  <c r="AF51" i="29" s="1"/>
  <c r="AG51" i="29" s="1"/>
  <c r="X24" i="29"/>
  <c r="Y24" i="29" s="1"/>
  <c r="Z24" i="29" s="1"/>
  <c r="AA24" i="29" s="1"/>
  <c r="AB24" i="29" s="1"/>
  <c r="AC24" i="29" s="1"/>
  <c r="AD24" i="29" s="1"/>
  <c r="AE24" i="29" s="1"/>
  <c r="AF24" i="29" s="1"/>
  <c r="AG24" i="29" s="1"/>
  <c r="X37" i="29"/>
  <c r="Y37" i="29" s="1"/>
  <c r="Z37" i="29" s="1"/>
  <c r="AA37" i="29" s="1"/>
  <c r="AB37" i="29" s="1"/>
  <c r="AC37" i="29" s="1"/>
  <c r="AD37" i="29" s="1"/>
  <c r="AE37" i="29" s="1"/>
  <c r="AF37" i="29" s="1"/>
  <c r="AG37" i="29" s="1"/>
  <c r="X78" i="29"/>
  <c r="Y78" i="29" s="1"/>
  <c r="Z78" i="29" s="1"/>
  <c r="AA78" i="29" s="1"/>
  <c r="AB78" i="29" s="1"/>
  <c r="AC78" i="29" s="1"/>
  <c r="AD78" i="29" s="1"/>
  <c r="AE78" i="29" s="1"/>
  <c r="AF78" i="29" s="1"/>
  <c r="AG78" i="29" s="1"/>
  <c r="BU92" i="29"/>
  <c r="BS92" i="29"/>
  <c r="X53" i="29"/>
  <c r="Y53" i="29" s="1"/>
  <c r="Z53" i="29" s="1"/>
  <c r="AA53" i="29" s="1"/>
  <c r="AB53" i="29" s="1"/>
  <c r="AC53" i="29" s="1"/>
  <c r="AD53" i="29" s="1"/>
  <c r="AE53" i="29" s="1"/>
  <c r="AF53" i="29" s="1"/>
  <c r="AG53" i="29" s="1"/>
  <c r="X86" i="29"/>
  <c r="Y86" i="29" s="1"/>
  <c r="Z86" i="29" s="1"/>
  <c r="AA86" i="29" s="1"/>
  <c r="AB86" i="29" s="1"/>
  <c r="AC86" i="29" s="1"/>
  <c r="AD86" i="29" s="1"/>
  <c r="AE86" i="29" s="1"/>
  <c r="AF86" i="29" s="1"/>
  <c r="AG86" i="29" s="1"/>
  <c r="X7" i="29"/>
  <c r="Y7" i="29" s="1"/>
  <c r="Z7" i="29" s="1"/>
  <c r="AA7" i="29" s="1"/>
  <c r="AB7" i="29" s="1"/>
  <c r="AC7" i="29" s="1"/>
  <c r="AD7" i="29" s="1"/>
  <c r="AE7" i="29" s="1"/>
  <c r="AF7" i="29" s="1"/>
  <c r="AG7" i="29" s="1"/>
  <c r="X71" i="29"/>
  <c r="Y71" i="29" s="1"/>
  <c r="Z71" i="29" s="1"/>
  <c r="AA71" i="29" s="1"/>
  <c r="AB71" i="29" s="1"/>
  <c r="AC71" i="29" s="1"/>
  <c r="AD71" i="29" s="1"/>
  <c r="AE71" i="29" s="1"/>
  <c r="AF71" i="29" s="1"/>
  <c r="AG71" i="29" s="1"/>
  <c r="X44" i="29"/>
  <c r="Y44" i="29" s="1"/>
  <c r="Z44" i="29" s="1"/>
  <c r="AA44" i="29" s="1"/>
  <c r="AB44" i="29" s="1"/>
  <c r="AC44" i="29" s="1"/>
  <c r="AD44" i="29" s="1"/>
  <c r="AE44" i="29" s="1"/>
  <c r="AF44" i="29" s="1"/>
  <c r="AG44" i="29" s="1"/>
  <c r="X26" i="29"/>
  <c r="Y26" i="29" s="1"/>
  <c r="Z26" i="29" s="1"/>
  <c r="AA26" i="29" s="1"/>
  <c r="AB26" i="29" s="1"/>
  <c r="AC26" i="29" s="1"/>
  <c r="AD26" i="29" s="1"/>
  <c r="AE26" i="29" s="1"/>
  <c r="AF26" i="29" s="1"/>
  <c r="AG26" i="29" s="1"/>
  <c r="X73" i="29"/>
  <c r="Y73" i="29" s="1"/>
  <c r="Z73" i="29" s="1"/>
  <c r="AA73" i="29" s="1"/>
  <c r="AB73" i="29" s="1"/>
  <c r="AC73" i="29" s="1"/>
  <c r="AD73" i="29" s="1"/>
  <c r="AE73" i="29" s="1"/>
  <c r="AF73" i="29" s="1"/>
  <c r="AG73" i="29" s="1"/>
  <c r="CM92" i="29"/>
  <c r="AR92" i="29"/>
  <c r="BW91" i="29"/>
  <c r="S3" i="29"/>
  <c r="S43" i="29"/>
  <c r="S7" i="29"/>
  <c r="BX91" i="29"/>
  <c r="BR91" i="29"/>
  <c r="BK91" i="29"/>
  <c r="S21" i="29"/>
  <c r="BN91" i="29"/>
  <c r="CP91" i="29"/>
  <c r="CF91" i="29"/>
  <c r="AK92" i="29"/>
  <c r="X15" i="29"/>
  <c r="Y15" i="29" s="1"/>
  <c r="Z15" i="29" s="1"/>
  <c r="AA15" i="29" s="1"/>
  <c r="AB15" i="29" s="1"/>
  <c r="AC15" i="29" s="1"/>
  <c r="AD15" i="29" s="1"/>
  <c r="AE15" i="29" s="1"/>
  <c r="AF15" i="29" s="1"/>
  <c r="AG15" i="29" s="1"/>
  <c r="X27" i="29"/>
  <c r="Y27" i="29" s="1"/>
  <c r="Z27" i="29" s="1"/>
  <c r="AA27" i="29" s="1"/>
  <c r="AB27" i="29" s="1"/>
  <c r="AC27" i="29" s="1"/>
  <c r="AD27" i="29" s="1"/>
  <c r="AE27" i="29" s="1"/>
  <c r="AF27" i="29" s="1"/>
  <c r="AG27" i="29" s="1"/>
  <c r="CB92" i="29"/>
  <c r="BT91" i="29"/>
  <c r="U3" i="29"/>
  <c r="U91" i="29" s="1"/>
  <c r="AJ91" i="29"/>
  <c r="AJ92" i="29" s="1"/>
  <c r="X40" i="29"/>
  <c r="Y40" i="29" s="1"/>
  <c r="Z40" i="29" s="1"/>
  <c r="AA40" i="29" s="1"/>
  <c r="AB40" i="29" s="1"/>
  <c r="AC40" i="29" s="1"/>
  <c r="AD40" i="29" s="1"/>
  <c r="AE40" i="29" s="1"/>
  <c r="AF40" i="29" s="1"/>
  <c r="AG40" i="29" s="1"/>
  <c r="X25" i="29"/>
  <c r="Y25" i="29" s="1"/>
  <c r="Z25" i="29" s="1"/>
  <c r="AA25" i="29" s="1"/>
  <c r="AB25" i="29" s="1"/>
  <c r="AC25" i="29" s="1"/>
  <c r="AD25" i="29" s="1"/>
  <c r="AE25" i="29" s="1"/>
  <c r="AF25" i="29" s="1"/>
  <c r="AG25" i="29" s="1"/>
  <c r="T25" i="29" s="1"/>
  <c r="X47" i="29"/>
  <c r="X5" i="29"/>
  <c r="Y5" i="29" s="1"/>
  <c r="Z5" i="29" s="1"/>
  <c r="AA5" i="29" s="1"/>
  <c r="AB5" i="29" s="1"/>
  <c r="AC5" i="29" s="1"/>
  <c r="AD5" i="29" s="1"/>
  <c r="AE5" i="29" s="1"/>
  <c r="AF5" i="29" s="1"/>
  <c r="AG5" i="29" s="1"/>
  <c r="X69" i="29"/>
  <c r="Y69" i="29" s="1"/>
  <c r="Z69" i="29" s="1"/>
  <c r="AA69" i="29" s="1"/>
  <c r="AB69" i="29" s="1"/>
  <c r="AC69" i="29" s="1"/>
  <c r="AD69" i="29" s="1"/>
  <c r="AE69" i="29" s="1"/>
  <c r="AF69" i="29" s="1"/>
  <c r="AG69" i="29" s="1"/>
  <c r="X6" i="29"/>
  <c r="Y6" i="29" s="1"/>
  <c r="Z6" i="29" s="1"/>
  <c r="AA6" i="29" s="1"/>
  <c r="AB6" i="29" s="1"/>
  <c r="AC6" i="29" s="1"/>
  <c r="AD6" i="29" s="1"/>
  <c r="AE6" i="29" s="1"/>
  <c r="AF6" i="29" s="1"/>
  <c r="AG6" i="29" s="1"/>
  <c r="X49" i="29"/>
  <c r="Y49" i="29" s="1"/>
  <c r="Z49" i="29" s="1"/>
  <c r="AA49" i="29" s="1"/>
  <c r="AB49" i="29" s="1"/>
  <c r="AC49" i="29" s="1"/>
  <c r="AD49" i="29" s="1"/>
  <c r="AE49" i="29" s="1"/>
  <c r="AF49" i="29" s="1"/>
  <c r="AG49" i="29" s="1"/>
  <c r="AY92" i="29"/>
  <c r="Z75" i="29"/>
  <c r="AA75" i="29" s="1"/>
  <c r="AB75" i="29" s="1"/>
  <c r="AC75" i="29" s="1"/>
  <c r="AD75" i="29" s="1"/>
  <c r="AE75" i="29" s="1"/>
  <c r="AF75" i="29" s="1"/>
  <c r="AG75" i="29" s="1"/>
  <c r="BC91" i="29"/>
  <c r="CI91" i="29"/>
  <c r="S9" i="29"/>
  <c r="S13" i="29"/>
  <c r="S10" i="29"/>
  <c r="BD91" i="29"/>
  <c r="K21" i="27"/>
  <c r="R21" i="27" s="1"/>
  <c r="R20" i="27"/>
  <c r="O15" i="28"/>
  <c r="S23" i="29"/>
  <c r="S15" i="29"/>
  <c r="R354" i="8"/>
  <c r="T354" i="8" s="1"/>
  <c r="AW92" i="29"/>
  <c r="V3" i="29"/>
  <c r="W3" i="29" s="1"/>
  <c r="X3" i="29" s="1"/>
  <c r="Y3" i="29" s="1"/>
  <c r="Z3" i="29" s="1"/>
  <c r="AA3" i="29" s="1"/>
  <c r="AB3" i="29" s="1"/>
  <c r="AC3" i="29" s="1"/>
  <c r="AD3" i="29" s="1"/>
  <c r="AE3" i="29" s="1"/>
  <c r="AF3" i="29" s="1"/>
  <c r="AG3" i="29" s="1"/>
  <c r="AL91" i="29"/>
  <c r="X58" i="29"/>
  <c r="Y58" i="29" s="1"/>
  <c r="Z58" i="29" s="1"/>
  <c r="AA58" i="29" s="1"/>
  <c r="AB58" i="29" s="1"/>
  <c r="AC58" i="29" s="1"/>
  <c r="AD58" i="29" s="1"/>
  <c r="AE58" i="29" s="1"/>
  <c r="AF58" i="29" s="1"/>
  <c r="AG58" i="29" s="1"/>
  <c r="BA92" i="29"/>
  <c r="X13" i="29"/>
  <c r="Y13" i="29" s="1"/>
  <c r="Z13" i="29" s="1"/>
  <c r="AA13" i="29" s="1"/>
  <c r="AB13" i="29" s="1"/>
  <c r="AC13" i="29" s="1"/>
  <c r="AD13" i="29" s="1"/>
  <c r="AE13" i="29" s="1"/>
  <c r="AF13" i="29" s="1"/>
  <c r="AG13" i="29" s="1"/>
  <c r="X36" i="29"/>
  <c r="Y36" i="29" s="1"/>
  <c r="Z36" i="29" s="1"/>
  <c r="AA36" i="29" s="1"/>
  <c r="AB36" i="29" s="1"/>
  <c r="AC36" i="29" s="1"/>
  <c r="AD36" i="29" s="1"/>
  <c r="AE36" i="29" s="1"/>
  <c r="AF36" i="29" s="1"/>
  <c r="AG36" i="29" s="1"/>
  <c r="CL92" i="29"/>
  <c r="X9" i="29"/>
  <c r="Y9" i="29" s="1"/>
  <c r="Z9" i="29" s="1"/>
  <c r="AA9" i="29" s="1"/>
  <c r="AB9" i="29" s="1"/>
  <c r="AC9" i="29" s="1"/>
  <c r="AD9" i="29" s="1"/>
  <c r="AE9" i="29" s="1"/>
  <c r="AF9" i="29" s="1"/>
  <c r="AG9" i="29" s="1"/>
  <c r="X83" i="29"/>
  <c r="Y83" i="29" s="1"/>
  <c r="Z83" i="29" s="1"/>
  <c r="AA83" i="29" s="1"/>
  <c r="AB83" i="29" s="1"/>
  <c r="AC83" i="29" s="1"/>
  <c r="AD83" i="29" s="1"/>
  <c r="AE83" i="29" s="1"/>
  <c r="AF83" i="29" s="1"/>
  <c r="AG83" i="29" s="1"/>
  <c r="X56" i="29"/>
  <c r="Y56" i="29" s="1"/>
  <c r="Z56" i="29" s="1"/>
  <c r="AA56" i="29" s="1"/>
  <c r="AB56" i="29" s="1"/>
  <c r="AC56" i="29" s="1"/>
  <c r="AD56" i="29" s="1"/>
  <c r="AE56" i="29" s="1"/>
  <c r="AF56" i="29" s="1"/>
  <c r="AG56" i="29" s="1"/>
  <c r="X29" i="29"/>
  <c r="Y29" i="29" s="1"/>
  <c r="Z29" i="29" s="1"/>
  <c r="AA29" i="29" s="1"/>
  <c r="AB29" i="29" s="1"/>
  <c r="AC29" i="29" s="1"/>
  <c r="AD29" i="29" s="1"/>
  <c r="AE29" i="29" s="1"/>
  <c r="AF29" i="29" s="1"/>
  <c r="AG29" i="29" s="1"/>
  <c r="AS91" i="29"/>
  <c r="X62" i="29"/>
  <c r="Y62" i="29" s="1"/>
  <c r="Z62" i="29" s="1"/>
  <c r="AA62" i="29" s="1"/>
  <c r="AB62" i="29" s="1"/>
  <c r="AC62" i="29" s="1"/>
  <c r="AD62" i="29" s="1"/>
  <c r="AE62" i="29" s="1"/>
  <c r="AF62" i="29" s="1"/>
  <c r="AG62" i="29" s="1"/>
  <c r="AQ92" i="29"/>
  <c r="X85" i="29"/>
  <c r="Y85" i="29" s="1"/>
  <c r="Z85" i="29" s="1"/>
  <c r="AA85" i="29" s="1"/>
  <c r="AB85" i="29" s="1"/>
  <c r="AC85" i="29" s="1"/>
  <c r="AD85" i="29" s="1"/>
  <c r="AE85" i="29" s="1"/>
  <c r="AF85" i="29" s="1"/>
  <c r="AG85" i="29" s="1"/>
  <c r="X10" i="29"/>
  <c r="Y10" i="29" s="1"/>
  <c r="Z10" i="29" s="1"/>
  <c r="AA10" i="29" s="1"/>
  <c r="AB10" i="29" s="1"/>
  <c r="AC10" i="29" s="1"/>
  <c r="AD10" i="29" s="1"/>
  <c r="AE10" i="29" s="1"/>
  <c r="AF10" i="29" s="1"/>
  <c r="AG10" i="29" s="1"/>
  <c r="X39" i="29"/>
  <c r="Y39" i="29" s="1"/>
  <c r="Z39" i="29" s="1"/>
  <c r="AA39" i="29" s="1"/>
  <c r="AB39" i="29" s="1"/>
  <c r="AC39" i="29" s="1"/>
  <c r="AD39" i="29" s="1"/>
  <c r="AE39" i="29" s="1"/>
  <c r="AF39" i="29" s="1"/>
  <c r="AG39" i="29" s="1"/>
  <c r="X12" i="29"/>
  <c r="Y12" i="29" s="1"/>
  <c r="Z12" i="29" s="1"/>
  <c r="AA12" i="29" s="1"/>
  <c r="AB12" i="29" s="1"/>
  <c r="AC12" i="29" s="1"/>
  <c r="AD12" i="29" s="1"/>
  <c r="AE12" i="29" s="1"/>
  <c r="AF12" i="29" s="1"/>
  <c r="AG12" i="29" s="1"/>
  <c r="X76" i="29"/>
  <c r="Y76" i="29" s="1"/>
  <c r="Z76" i="29" s="1"/>
  <c r="AA76" i="29" s="1"/>
  <c r="AB76" i="29" s="1"/>
  <c r="AC76" i="29" s="1"/>
  <c r="AD76" i="29" s="1"/>
  <c r="AE76" i="29" s="1"/>
  <c r="AF76" i="29" s="1"/>
  <c r="AG76" i="29" s="1"/>
  <c r="X57" i="29"/>
  <c r="Y57" i="29" s="1"/>
  <c r="Z57" i="29" s="1"/>
  <c r="AA57" i="29" s="1"/>
  <c r="AB57" i="29" s="1"/>
  <c r="AC57" i="29" s="1"/>
  <c r="AD57" i="29" s="1"/>
  <c r="AE57" i="29" s="1"/>
  <c r="AF57" i="29" s="1"/>
  <c r="AG57" i="29" s="1"/>
  <c r="Y47" i="29"/>
  <c r="Z47" i="29" s="1"/>
  <c r="AA47" i="29" s="1"/>
  <c r="AB47" i="29" s="1"/>
  <c r="AC47" i="29" s="1"/>
  <c r="AD47" i="29" s="1"/>
  <c r="AE47" i="29" s="1"/>
  <c r="AF47" i="29" s="1"/>
  <c r="AG47" i="29" s="1"/>
  <c r="BJ91" i="29"/>
  <c r="S6" i="29"/>
  <c r="S5" i="29"/>
  <c r="CJ91" i="29"/>
  <c r="CA92" i="29"/>
  <c r="CN92" i="29"/>
  <c r="X66" i="29"/>
  <c r="Y66" i="29" s="1"/>
  <c r="Z66" i="29" s="1"/>
  <c r="AA66" i="29" s="1"/>
  <c r="AB66" i="29" s="1"/>
  <c r="AC66" i="29" s="1"/>
  <c r="AD66" i="29" s="1"/>
  <c r="AE66" i="29" s="1"/>
  <c r="AF66" i="29" s="1"/>
  <c r="AG66" i="29" s="1"/>
  <c r="BH92" i="29"/>
  <c r="AX92" i="29"/>
  <c r="X28" i="29"/>
  <c r="Y28" i="29" s="1"/>
  <c r="Z28" i="29" s="1"/>
  <c r="AA28" i="29" s="1"/>
  <c r="AB28" i="29" s="1"/>
  <c r="AC28" i="29" s="1"/>
  <c r="AD28" i="29" s="1"/>
  <c r="AE28" i="29" s="1"/>
  <c r="AF28" i="29" s="1"/>
  <c r="AG28" i="29" s="1"/>
  <c r="X72" i="29"/>
  <c r="Y72" i="29" s="1"/>
  <c r="Z72" i="29" s="1"/>
  <c r="AA72" i="29" s="1"/>
  <c r="AB72" i="29" s="1"/>
  <c r="AC72" i="29" s="1"/>
  <c r="AD72" i="29" s="1"/>
  <c r="AE72" i="29" s="1"/>
  <c r="AF72" i="29" s="1"/>
  <c r="AG72" i="29" s="1"/>
  <c r="CG92" i="29"/>
  <c r="BF92" i="29"/>
  <c r="BQ91" i="29"/>
  <c r="S11" i="29"/>
  <c r="S12" i="29"/>
  <c r="S4" i="29"/>
  <c r="R14" i="28"/>
  <c r="AV92" i="29"/>
  <c r="BL92" i="29"/>
  <c r="AZ91" i="29"/>
  <c r="BY92" i="29"/>
  <c r="AE45" i="29"/>
  <c r="AF45" i="29" s="1"/>
  <c r="AG45" i="29" s="1"/>
  <c r="CK92" i="29"/>
  <c r="E49" i="19"/>
  <c r="CH92" i="29"/>
  <c r="E45" i="19"/>
  <c r="BB92" i="29"/>
  <c r="E48" i="19"/>
  <c r="BV92" i="29"/>
  <c r="E43" i="19"/>
  <c r="AP92" i="29"/>
  <c r="E47" i="19"/>
  <c r="BP92" i="29"/>
  <c r="E44" i="19"/>
  <c r="AU92" i="29"/>
  <c r="E46" i="19"/>
  <c r="BI92" i="29"/>
  <c r="D43" i="19"/>
  <c r="AO92" i="29"/>
  <c r="M46" i="19"/>
  <c r="BM92" i="29"/>
  <c r="M45" i="19"/>
  <c r="BE92" i="29"/>
  <c r="CZ91" i="29"/>
  <c r="DL91" i="29"/>
  <c r="CS91" i="29"/>
  <c r="CV91" i="29"/>
  <c r="DT91" i="29"/>
  <c r="DH91" i="29"/>
  <c r="DI92" i="29"/>
  <c r="DC92" i="29"/>
  <c r="P154" i="21"/>
  <c r="D2" i="19" s="1"/>
  <c r="R15" i="27"/>
  <c r="R25" i="27"/>
  <c r="R22" i="27" s="1"/>
  <c r="T22" i="27" s="1"/>
  <c r="O16" i="14"/>
  <c r="L36" i="19"/>
  <c r="DO92" i="29"/>
  <c r="S54" i="19"/>
  <c r="R32" i="27"/>
  <c r="K70" i="27"/>
  <c r="DN92" i="29"/>
  <c r="DQ92" i="29"/>
  <c r="I19" i="28"/>
  <c r="I20" i="28" s="1"/>
  <c r="CQ92" i="29"/>
  <c r="DM92" i="29"/>
  <c r="CT92" i="29"/>
  <c r="CW92" i="29"/>
  <c r="DE92" i="29"/>
  <c r="DP92" i="29"/>
  <c r="P53" i="19"/>
  <c r="O27" i="19"/>
  <c r="O45" i="19"/>
  <c r="O53" i="19" s="1"/>
  <c r="O26" i="19"/>
  <c r="J28" i="18"/>
  <c r="CU92" i="29"/>
  <c r="DD92" i="29"/>
  <c r="F52" i="19"/>
  <c r="C52" i="19" s="1"/>
  <c r="DJ92" i="29"/>
  <c r="CR92" i="29"/>
  <c r="DK92" i="29"/>
  <c r="N49" i="9"/>
  <c r="H46" i="19" s="1"/>
  <c r="N48" i="9"/>
  <c r="H45" i="19" s="1"/>
  <c r="N52" i="9"/>
  <c r="H49" i="19" s="1"/>
  <c r="N51" i="9"/>
  <c r="H48" i="19" s="1"/>
  <c r="N54" i="9"/>
  <c r="H51" i="19" s="1"/>
  <c r="N53" i="9"/>
  <c r="H50" i="19" s="1"/>
  <c r="J90" i="9"/>
  <c r="J91" i="9" s="1"/>
  <c r="N50" i="9"/>
  <c r="H47" i="19" s="1"/>
  <c r="R30" i="13"/>
  <c r="I51" i="19"/>
  <c r="I53" i="19" s="1"/>
  <c r="DA92" i="29"/>
  <c r="I35" i="19"/>
  <c r="F37" i="15"/>
  <c r="N34" i="19" s="1"/>
  <c r="F33" i="15"/>
  <c r="N30" i="19" s="1"/>
  <c r="F29" i="15"/>
  <c r="F34" i="15"/>
  <c r="N31" i="19" s="1"/>
  <c r="N33" i="19"/>
  <c r="F32" i="15"/>
  <c r="N29" i="19" s="1"/>
  <c r="F35" i="15"/>
  <c r="N32" i="19" s="1"/>
  <c r="F31" i="15"/>
  <c r="N28" i="19" s="1"/>
  <c r="F30" i="15"/>
  <c r="N27" i="19" s="1"/>
  <c r="F76" i="15"/>
  <c r="F77" i="15" s="1"/>
  <c r="N44" i="19"/>
  <c r="N53" i="19" s="1"/>
  <c r="I38" i="15"/>
  <c r="I39" i="15" s="1"/>
  <c r="CY92" i="29"/>
  <c r="CX92" i="29"/>
  <c r="D53" i="19"/>
  <c r="R367" i="8"/>
  <c r="N422" i="8"/>
  <c r="E42" i="19"/>
  <c r="C42" i="19" s="1"/>
  <c r="AN92" i="29" s="1"/>
  <c r="K28" i="18"/>
  <c r="K29" i="18" s="1"/>
  <c r="K25" i="26"/>
  <c r="K26" i="26" s="1"/>
  <c r="C16" i="19"/>
  <c r="J29" i="18"/>
  <c r="J268" i="21"/>
  <c r="J267" i="21"/>
  <c r="J261" i="21"/>
  <c r="J210" i="21"/>
  <c r="J203" i="21"/>
  <c r="J263" i="21"/>
  <c r="J258" i="21"/>
  <c r="J257" i="21"/>
  <c r="J215" i="21"/>
  <c r="J207" i="21"/>
  <c r="J259" i="21"/>
  <c r="J254" i="21"/>
  <c r="J253" i="21"/>
  <c r="J211" i="21"/>
  <c r="J239" i="21"/>
  <c r="J183" i="21"/>
  <c r="J262" i="21"/>
  <c r="J206" i="21"/>
  <c r="J199" i="21"/>
  <c r="J251" i="21"/>
  <c r="J246" i="21"/>
  <c r="J237" i="21"/>
  <c r="J224" i="21"/>
  <c r="J247" i="21"/>
  <c r="J242" i="21"/>
  <c r="J182" i="21"/>
  <c r="J248" i="21"/>
  <c r="J232" i="21"/>
  <c r="J243" i="21"/>
  <c r="J238" i="21"/>
  <c r="J240" i="21"/>
  <c r="J218" i="21"/>
  <c r="J272" i="21"/>
  <c r="J230" i="21"/>
  <c r="J174" i="21"/>
  <c r="J194" i="21"/>
  <c r="J231" i="21"/>
  <c r="J226" i="21"/>
  <c r="P42" i="9"/>
  <c r="J175" i="21"/>
  <c r="R340" i="8"/>
  <c r="T340" i="8" s="1"/>
  <c r="J227" i="21"/>
  <c r="J222" i="21"/>
  <c r="J264" i="21"/>
  <c r="J249" i="21"/>
  <c r="K84" i="27"/>
  <c r="J193" i="21"/>
  <c r="J202" i="21"/>
  <c r="J179" i="21"/>
  <c r="J223" i="21"/>
  <c r="J221" i="21"/>
  <c r="J195" i="21"/>
  <c r="J271" i="21"/>
  <c r="J250" i="21"/>
  <c r="J176" i="21"/>
  <c r="L63" i="5"/>
  <c r="G50" i="19" s="1"/>
  <c r="C50" i="19" s="1"/>
  <c r="J201" i="21"/>
  <c r="J279" i="21"/>
  <c r="J281" i="21"/>
  <c r="J285" i="21"/>
  <c r="J276" i="21"/>
  <c r="J280" i="21"/>
  <c r="J284" i="21"/>
  <c r="J277" i="21"/>
  <c r="J283" i="21"/>
  <c r="J287" i="21"/>
  <c r="J278" i="21"/>
  <c r="J282" i="21"/>
  <c r="J286" i="21"/>
  <c r="L93" i="22"/>
  <c r="P34" i="19" s="1"/>
  <c r="L92" i="22"/>
  <c r="P33" i="19" s="1"/>
  <c r="M94" i="22"/>
  <c r="M95" i="22" s="1"/>
  <c r="F130" i="22"/>
  <c r="F131" i="22" s="1"/>
  <c r="F10" i="19"/>
  <c r="L91" i="22"/>
  <c r="P32" i="19" s="1"/>
  <c r="L90" i="22"/>
  <c r="E16" i="19"/>
  <c r="L43" i="13"/>
  <c r="M43" i="13" s="1"/>
  <c r="I43" i="13"/>
  <c r="I44" i="13" s="1"/>
  <c r="T34" i="27"/>
  <c r="N65" i="27"/>
  <c r="N66" i="27" s="1"/>
  <c r="R16" i="27"/>
  <c r="K78" i="27"/>
  <c r="K71" i="27"/>
  <c r="K83" i="27"/>
  <c r="J208" i="21"/>
  <c r="J196" i="21"/>
  <c r="J181" i="21"/>
  <c r="J185" i="21"/>
  <c r="J204" i="21"/>
  <c r="J213" i="21"/>
  <c r="M170" i="21"/>
  <c r="J266" i="21"/>
  <c r="J265" i="21"/>
  <c r="J188" i="21"/>
  <c r="J177" i="21"/>
  <c r="J233" i="21"/>
  <c r="J244" i="21"/>
  <c r="J212" i="21"/>
  <c r="Q135" i="21"/>
  <c r="Q119" i="21" s="1"/>
  <c r="S119" i="21" s="1"/>
  <c r="J184" i="21"/>
  <c r="J200" i="21"/>
  <c r="J217" i="21"/>
  <c r="J256" i="21"/>
  <c r="J189" i="21"/>
  <c r="J205" i="21"/>
  <c r="J228" i="21"/>
  <c r="J241" i="21"/>
  <c r="J220" i="21"/>
  <c r="J234" i="21"/>
  <c r="J245" i="21"/>
  <c r="J225" i="21"/>
  <c r="J209" i="21"/>
  <c r="J192" i="21"/>
  <c r="J197" i="21"/>
  <c r="J180" i="21"/>
  <c r="J178" i="21"/>
  <c r="J260" i="21"/>
  <c r="R368" i="8"/>
  <c r="D6" i="19"/>
  <c r="F6" i="19" s="1"/>
  <c r="O31" i="13"/>
  <c r="R284" i="8"/>
  <c r="T284" i="8" s="1"/>
  <c r="Q36" i="19"/>
  <c r="K312" i="8"/>
  <c r="R312" i="8" s="1"/>
  <c r="R307" i="8" s="1"/>
  <c r="T307" i="8" s="1"/>
  <c r="M36" i="19"/>
  <c r="L21" i="23"/>
  <c r="L22" i="23" s="1"/>
  <c r="Q46" i="19" s="1"/>
  <c r="Q53" i="19" s="1"/>
  <c r="Q54" i="19" s="1"/>
  <c r="J18" i="18"/>
  <c r="L17" i="18"/>
  <c r="D15" i="19"/>
  <c r="F15" i="19" s="1"/>
  <c r="F9" i="19"/>
  <c r="B16" i="19"/>
  <c r="S31" i="19"/>
  <c r="S35" i="19" s="1"/>
  <c r="S55" i="19" s="1"/>
  <c r="K239" i="8"/>
  <c r="K65" i="5"/>
  <c r="K66" i="5" s="1"/>
  <c r="G27" i="19"/>
  <c r="G35" i="19" s="1"/>
  <c r="K38" i="5"/>
  <c r="N24" i="5"/>
  <c r="L44" i="13"/>
  <c r="P24" i="10"/>
  <c r="K266" i="8"/>
  <c r="Q266" i="8" s="1"/>
  <c r="Q260" i="8" s="1"/>
  <c r="K283" i="8"/>
  <c r="R283" i="8" s="1"/>
  <c r="R276" i="8" s="1"/>
  <c r="T276" i="8" s="1"/>
  <c r="M26" i="14"/>
  <c r="M27" i="14" s="1"/>
  <c r="M49" i="19" s="1"/>
  <c r="M53" i="19" s="1"/>
  <c r="M54" i="19" s="1"/>
  <c r="M43" i="9"/>
  <c r="D5" i="19"/>
  <c r="F5" i="19" s="1"/>
  <c r="M55" i="9"/>
  <c r="M56" i="9" s="1"/>
  <c r="H27" i="19"/>
  <c r="H35" i="19" s="1"/>
  <c r="O38" i="5"/>
  <c r="L64" i="5"/>
  <c r="G51" i="19" s="1"/>
  <c r="L62" i="5"/>
  <c r="G49" i="19" s="1"/>
  <c r="L61" i="5"/>
  <c r="G48" i="19" s="1"/>
  <c r="L60" i="5"/>
  <c r="G47" i="19" s="1"/>
  <c r="L59" i="5"/>
  <c r="G46" i="19" s="1"/>
  <c r="L58" i="5"/>
  <c r="G45" i="19" s="1"/>
  <c r="H80" i="5"/>
  <c r="H81" i="5" s="1"/>
  <c r="K318" i="8"/>
  <c r="R318" i="8" l="1"/>
  <c r="Q318" i="8"/>
  <c r="Q313" i="8" s="1"/>
  <c r="P25" i="10"/>
  <c r="L51" i="19" s="1"/>
  <c r="L53" i="19" s="1"/>
  <c r="Q24" i="10"/>
  <c r="I55" i="19"/>
  <c r="T253" i="8"/>
  <c r="R17" i="27"/>
  <c r="N26" i="14"/>
  <c r="M25" i="26"/>
  <c r="Q55" i="19"/>
  <c r="K58" i="27"/>
  <c r="AH8" i="29"/>
  <c r="M55" i="19"/>
  <c r="F38" i="15"/>
  <c r="J38" i="15" s="1"/>
  <c r="M171" i="21"/>
  <c r="C43" i="19"/>
  <c r="AS92" i="29" s="1"/>
  <c r="R11" i="27"/>
  <c r="T11" i="27" s="1"/>
  <c r="AH29" i="29"/>
  <c r="T4" i="29"/>
  <c r="T58" i="29"/>
  <c r="C45" i="19"/>
  <c r="BG92" i="29" s="1"/>
  <c r="AH43" i="29"/>
  <c r="T8" i="29"/>
  <c r="AH5" i="29"/>
  <c r="N423" i="8"/>
  <c r="AH14" i="29"/>
  <c r="T9" i="29"/>
  <c r="AH10" i="29"/>
  <c r="T43" i="29"/>
  <c r="T5" i="29"/>
  <c r="T14" i="29"/>
  <c r="AH18" i="29"/>
  <c r="AH72" i="29"/>
  <c r="T7" i="29"/>
  <c r="T13" i="29"/>
  <c r="AH83" i="29"/>
  <c r="T10" i="29"/>
  <c r="AH82" i="29"/>
  <c r="AH13" i="29"/>
  <c r="AH38" i="29"/>
  <c r="AH9" i="29"/>
  <c r="AH80" i="29"/>
  <c r="T51" i="29"/>
  <c r="AH85" i="29"/>
  <c r="T6" i="29"/>
  <c r="AH55" i="29"/>
  <c r="AH69" i="29"/>
  <c r="AH7" i="29"/>
  <c r="T12" i="29"/>
  <c r="AH53" i="29"/>
  <c r="AH87" i="29"/>
  <c r="AH74" i="29"/>
  <c r="AH76" i="29"/>
  <c r="AH86" i="29"/>
  <c r="AH11" i="29"/>
  <c r="T11" i="29"/>
  <c r="AH36" i="29"/>
  <c r="AH4" i="29"/>
  <c r="CJ92" i="29"/>
  <c r="BD92" i="29"/>
  <c r="CI92" i="29"/>
  <c r="BR92" i="29"/>
  <c r="BQ92" i="29"/>
  <c r="BC92" i="29"/>
  <c r="BX92" i="29"/>
  <c r="BW92" i="29"/>
  <c r="BJ92" i="29"/>
  <c r="AL92" i="29"/>
  <c r="V91" i="29"/>
  <c r="W91" i="29" s="1"/>
  <c r="X91" i="29" s="1"/>
  <c r="Y91" i="29" s="1"/>
  <c r="Z91" i="29" s="1"/>
  <c r="AA91" i="29" s="1"/>
  <c r="AB91" i="29" s="1"/>
  <c r="AC91" i="29" s="1"/>
  <c r="AD91" i="29" s="1"/>
  <c r="AE91" i="29" s="1"/>
  <c r="AF91" i="29" s="1"/>
  <c r="AG91" i="29" s="1"/>
  <c r="BK92" i="29"/>
  <c r="T18" i="29"/>
  <c r="T82" i="29"/>
  <c r="AH32" i="29"/>
  <c r="T32" i="29"/>
  <c r="T86" i="29"/>
  <c r="T53" i="29"/>
  <c r="AH25" i="29"/>
  <c r="AH6" i="29"/>
  <c r="T76" i="29"/>
  <c r="AH12" i="29"/>
  <c r="T55" i="29"/>
  <c r="I48" i="28"/>
  <c r="T69" i="29"/>
  <c r="AH51" i="29"/>
  <c r="T85" i="29"/>
  <c r="T74" i="29"/>
  <c r="AH58" i="29"/>
  <c r="AH3" i="29"/>
  <c r="T3" i="29"/>
  <c r="T36" i="29"/>
  <c r="AH63" i="29"/>
  <c r="T63" i="29"/>
  <c r="T87" i="29"/>
  <c r="C47" i="19"/>
  <c r="BT92" i="29" s="1"/>
  <c r="T83" i="29"/>
  <c r="T72" i="29"/>
  <c r="T90" i="29"/>
  <c r="T22" i="29"/>
  <c r="AH22" i="29"/>
  <c r="T35" i="29"/>
  <c r="AH35" i="29"/>
  <c r="T75" i="29"/>
  <c r="AH75" i="29"/>
  <c r="T21" i="29"/>
  <c r="AH21" i="29"/>
  <c r="T28" i="29"/>
  <c r="AH28" i="29"/>
  <c r="T89" i="29"/>
  <c r="AH89" i="29"/>
  <c r="T70" i="29"/>
  <c r="AH70" i="29"/>
  <c r="T73" i="29"/>
  <c r="AH73" i="29"/>
  <c r="T71" i="29"/>
  <c r="AH71" i="29"/>
  <c r="T41" i="29"/>
  <c r="AH41" i="29"/>
  <c r="T56" i="29"/>
  <c r="AH56" i="29"/>
  <c r="T42" i="29"/>
  <c r="AH42" i="29"/>
  <c r="T16" i="29"/>
  <c r="AH16" i="29"/>
  <c r="T20" i="29"/>
  <c r="AH20" i="29"/>
  <c r="T39" i="29"/>
  <c r="AH39" i="29"/>
  <c r="T49" i="29"/>
  <c r="AH49" i="29"/>
  <c r="T57" i="29"/>
  <c r="AH57" i="29"/>
  <c r="T78" i="29"/>
  <c r="AH78" i="29"/>
  <c r="T19" i="29"/>
  <c r="AH19" i="29"/>
  <c r="T81" i="29"/>
  <c r="AH81" i="29"/>
  <c r="T84" i="29"/>
  <c r="AH84" i="29"/>
  <c r="T40" i="29"/>
  <c r="AH40" i="29"/>
  <c r="T45" i="29"/>
  <c r="AH45" i="29"/>
  <c r="T67" i="29"/>
  <c r="AH67" i="29"/>
  <c r="T31" i="29"/>
  <c r="AH31" i="29"/>
  <c r="T60" i="29"/>
  <c r="AH60" i="29"/>
  <c r="T65" i="29"/>
  <c r="AH65" i="29"/>
  <c r="T34" i="29"/>
  <c r="AH34" i="29"/>
  <c r="T64" i="29"/>
  <c r="AH64" i="29"/>
  <c r="T68" i="29"/>
  <c r="AH68" i="29"/>
  <c r="T23" i="29"/>
  <c r="AH23" i="29"/>
  <c r="T52" i="29"/>
  <c r="AH52" i="29"/>
  <c r="T24" i="29"/>
  <c r="AH24" i="29"/>
  <c r="T44" i="29"/>
  <c r="AH44" i="29"/>
  <c r="T30" i="29"/>
  <c r="AH30" i="29"/>
  <c r="T77" i="29"/>
  <c r="AH77" i="29"/>
  <c r="T33" i="29"/>
  <c r="AH33" i="29"/>
  <c r="T50" i="29"/>
  <c r="AH50" i="29"/>
  <c r="T15" i="29"/>
  <c r="AH15" i="29"/>
  <c r="T54" i="29"/>
  <c r="AH54" i="29"/>
  <c r="T37" i="29"/>
  <c r="AH37" i="29"/>
  <c r="T79" i="29"/>
  <c r="AH79" i="29"/>
  <c r="T27" i="29"/>
  <c r="AH27" i="29"/>
  <c r="T59" i="29"/>
  <c r="AH59" i="29"/>
  <c r="T66" i="29"/>
  <c r="AH66" i="29"/>
  <c r="T61" i="29"/>
  <c r="AH61" i="29"/>
  <c r="T62" i="29"/>
  <c r="AH62" i="29"/>
  <c r="T46" i="29"/>
  <c r="AH46" i="29"/>
  <c r="T17" i="29"/>
  <c r="AH17" i="29"/>
  <c r="T26" i="29"/>
  <c r="AH26" i="29"/>
  <c r="T29" i="29"/>
  <c r="C48" i="19"/>
  <c r="CF92" i="29" s="1"/>
  <c r="O54" i="19"/>
  <c r="C51" i="19"/>
  <c r="DH92" i="29" s="1"/>
  <c r="C49" i="19"/>
  <c r="CP92" i="29" s="1"/>
  <c r="CZ92" i="29"/>
  <c r="G53" i="19"/>
  <c r="G55" i="19" s="1"/>
  <c r="K81" i="27"/>
  <c r="K69" i="27"/>
  <c r="K80" i="27"/>
  <c r="K76" i="27"/>
  <c r="K73" i="27"/>
  <c r="J169" i="21"/>
  <c r="D34" i="19" s="1"/>
  <c r="P54" i="19"/>
  <c r="CS92" i="29"/>
  <c r="C46" i="19"/>
  <c r="BN92" i="29" s="1"/>
  <c r="R33" i="27"/>
  <c r="R28" i="27" s="1"/>
  <c r="K74" i="27"/>
  <c r="K72" i="27"/>
  <c r="K77" i="27"/>
  <c r="K85" i="27"/>
  <c r="K75" i="27"/>
  <c r="K79" i="27"/>
  <c r="K82" i="27"/>
  <c r="CV92" i="29"/>
  <c r="O35" i="19"/>
  <c r="O36" i="19" s="1"/>
  <c r="C44" i="19"/>
  <c r="AZ92" i="29" s="1"/>
  <c r="DT92" i="29"/>
  <c r="F53" i="19"/>
  <c r="H53" i="19"/>
  <c r="N55" i="9"/>
  <c r="I54" i="19"/>
  <c r="N54" i="19"/>
  <c r="N26" i="19"/>
  <c r="N35" i="19" s="1"/>
  <c r="J288" i="21"/>
  <c r="J289" i="21" s="1"/>
  <c r="D54" i="19"/>
  <c r="R362" i="8"/>
  <c r="T362" i="8" s="1"/>
  <c r="E53" i="19"/>
  <c r="P31" i="19"/>
  <c r="P35" i="19" s="1"/>
  <c r="P55" i="19" s="1"/>
  <c r="L94" i="22"/>
  <c r="H36" i="19"/>
  <c r="I36" i="19"/>
  <c r="J160" i="21"/>
  <c r="D25" i="19" s="1"/>
  <c r="J159" i="21"/>
  <c r="D24" i="19" s="1"/>
  <c r="J161" i="21"/>
  <c r="D26" i="19" s="1"/>
  <c r="Q154" i="21"/>
  <c r="E2" i="19" s="1"/>
  <c r="F2" i="19" s="1"/>
  <c r="J166" i="21"/>
  <c r="D31" i="19" s="1"/>
  <c r="J163" i="21"/>
  <c r="D28" i="19" s="1"/>
  <c r="J167" i="21"/>
  <c r="D32" i="19" s="1"/>
  <c r="J165" i="21"/>
  <c r="D30" i="19" s="1"/>
  <c r="J168" i="21"/>
  <c r="D33" i="19" s="1"/>
  <c r="J158" i="21"/>
  <c r="D23" i="19" s="1"/>
  <c r="C23" i="19" s="1"/>
  <c r="J162" i="21"/>
  <c r="D27" i="19" s="1"/>
  <c r="J164" i="21"/>
  <c r="D29" i="19" s="1"/>
  <c r="S36" i="19"/>
  <c r="K49" i="5"/>
  <c r="K51" i="5" s="1"/>
  <c r="K54" i="5" s="1"/>
  <c r="K39" i="5"/>
  <c r="K48" i="5" s="1"/>
  <c r="N48" i="5" s="1"/>
  <c r="D4" i="19"/>
  <c r="K241" i="8"/>
  <c r="G36" i="19"/>
  <c r="L65" i="5"/>
  <c r="K319" i="8"/>
  <c r="K267" i="8"/>
  <c r="R267" i="8" s="1"/>
  <c r="R260" i="8" s="1"/>
  <c r="T260" i="8" s="1"/>
  <c r="N56" i="9" l="1"/>
  <c r="O55" i="9"/>
  <c r="L54" i="19"/>
  <c r="L55" i="19"/>
  <c r="H54" i="19"/>
  <c r="H55" i="19"/>
  <c r="O55" i="19"/>
  <c r="L66" i="5"/>
  <c r="M65" i="5"/>
  <c r="T17" i="27"/>
  <c r="R58" i="27"/>
  <c r="T58" i="27" s="1"/>
  <c r="N36" i="19"/>
  <c r="N55" i="19"/>
  <c r="F39" i="15"/>
  <c r="L95" i="22"/>
  <c r="N94" i="22"/>
  <c r="F54" i="19"/>
  <c r="E54" i="19"/>
  <c r="K64" i="27"/>
  <c r="F34" i="19" s="1"/>
  <c r="K63" i="27"/>
  <c r="F33" i="19" s="1"/>
  <c r="T28" i="27"/>
  <c r="K86" i="27"/>
  <c r="G54" i="19"/>
  <c r="C53" i="19"/>
  <c r="D35" i="19"/>
  <c r="D55" i="19" s="1"/>
  <c r="P155" i="21"/>
  <c r="S154" i="21"/>
  <c r="P36" i="19"/>
  <c r="J170" i="21"/>
  <c r="R319" i="8"/>
  <c r="R313" i="8" s="1"/>
  <c r="T313" i="8" s="1"/>
  <c r="K545" i="8"/>
  <c r="K451" i="8"/>
  <c r="D16" i="19"/>
  <c r="F16" i="19" s="1"/>
  <c r="F4" i="19"/>
  <c r="K242" i="8"/>
  <c r="K546" i="8" l="1"/>
  <c r="Q242" i="8"/>
  <c r="Q233" i="8" s="1"/>
  <c r="Q407" i="8" s="1"/>
  <c r="D3" i="19" s="1"/>
  <c r="J171" i="21"/>
  <c r="N170" i="21"/>
  <c r="Q59" i="27"/>
  <c r="F35" i="19"/>
  <c r="F55" i="19" s="1"/>
  <c r="K87" i="27"/>
  <c r="O86" i="27"/>
  <c r="K65" i="27"/>
  <c r="K66" i="27" s="1"/>
  <c r="D36" i="19"/>
  <c r="K541" i="8"/>
  <c r="K536" i="8"/>
  <c r="K517" i="8"/>
  <c r="K542" i="8"/>
  <c r="K544" i="8"/>
  <c r="K537" i="8"/>
  <c r="K543" i="8"/>
  <c r="K535" i="8"/>
  <c r="K538" i="8"/>
  <c r="K539" i="8"/>
  <c r="K540" i="8"/>
  <c r="K502" i="8"/>
  <c r="K454" i="8"/>
  <c r="K450" i="8"/>
  <c r="K495" i="8"/>
  <c r="K438" i="8"/>
  <c r="K434" i="8"/>
  <c r="K494" i="8"/>
  <c r="K435" i="8"/>
  <c r="K529" i="8"/>
  <c r="K530" i="8"/>
  <c r="K487" i="8"/>
  <c r="K533" i="8"/>
  <c r="K515" i="8"/>
  <c r="K531" i="8"/>
  <c r="K532" i="8"/>
  <c r="K489" i="8"/>
  <c r="K490" i="8"/>
  <c r="K445" i="8"/>
  <c r="K493" i="8"/>
  <c r="K458" i="8"/>
  <c r="K491" i="8"/>
  <c r="K492" i="8"/>
  <c r="K449" i="8"/>
  <c r="K446" i="8"/>
  <c r="K504" i="8"/>
  <c r="K464" i="8"/>
  <c r="K505" i="8"/>
  <c r="K506" i="8"/>
  <c r="K463" i="8"/>
  <c r="K509" i="8"/>
  <c r="K470" i="8"/>
  <c r="K433" i="8"/>
  <c r="K456" i="8"/>
  <c r="K497" i="8"/>
  <c r="K498" i="8"/>
  <c r="K455" i="8"/>
  <c r="K501" i="8"/>
  <c r="K496" i="8"/>
  <c r="K499" i="8"/>
  <c r="K500" i="8"/>
  <c r="K457" i="8"/>
  <c r="K447" i="8"/>
  <c r="K520" i="8"/>
  <c r="K528" i="8"/>
  <c r="K510" i="8"/>
  <c r="K459" i="8"/>
  <c r="K431" i="8"/>
  <c r="K462" i="8"/>
  <c r="K503" i="8"/>
  <c r="K436" i="8"/>
  <c r="K516" i="8"/>
  <c r="K473" i="8"/>
  <c r="K474" i="8"/>
  <c r="K439" i="8"/>
  <c r="K477" i="8"/>
  <c r="K512" i="8"/>
  <c r="K507" i="8"/>
  <c r="K508" i="8"/>
  <c r="K465" i="8"/>
  <c r="K441" i="8"/>
  <c r="K444" i="8"/>
  <c r="K469" i="8"/>
  <c r="K518" i="8"/>
  <c r="K467" i="8"/>
  <c r="K468" i="8"/>
  <c r="K432" i="8"/>
  <c r="K511" i="8"/>
  <c r="K472" i="8"/>
  <c r="K483" i="8"/>
  <c r="K478" i="8"/>
  <c r="K437" i="8"/>
  <c r="K513" i="8"/>
  <c r="K514" i="8"/>
  <c r="K471" i="8"/>
  <c r="J242" i="8"/>
  <c r="R242" i="8"/>
  <c r="R233" i="8" s="1"/>
  <c r="R407" i="8" s="1"/>
  <c r="K461" i="8"/>
  <c r="K466" i="8"/>
  <c r="K442" i="8"/>
  <c r="K453" i="8"/>
  <c r="K484" i="8"/>
  <c r="K452" i="8"/>
  <c r="K527" i="8"/>
  <c r="K488" i="8"/>
  <c r="K443" i="8"/>
  <c r="K526" i="8"/>
  <c r="K475" i="8"/>
  <c r="K476" i="8"/>
  <c r="K440" i="8"/>
  <c r="K519" i="8"/>
  <c r="K480" i="8"/>
  <c r="K534" i="8"/>
  <c r="K486" i="8"/>
  <c r="K430" i="8"/>
  <c r="K521" i="8"/>
  <c r="K522" i="8"/>
  <c r="K479" i="8"/>
  <c r="K525" i="8"/>
  <c r="K460" i="8"/>
  <c r="K523" i="8"/>
  <c r="K524" i="8"/>
  <c r="K481" i="8"/>
  <c r="K482" i="8"/>
  <c r="K448" i="8"/>
  <c r="K485" i="8"/>
  <c r="F36" i="19" l="1"/>
  <c r="E48" i="29"/>
  <c r="S48" i="29" s="1"/>
  <c r="E47" i="29"/>
  <c r="S47" i="29" s="1"/>
  <c r="K421" i="8"/>
  <c r="E34" i="19" s="1"/>
  <c r="C34" i="19" s="1"/>
  <c r="K547" i="8"/>
  <c r="K418" i="8"/>
  <c r="E31" i="19" s="1"/>
  <c r="C31" i="19" s="1"/>
  <c r="K413" i="8"/>
  <c r="E26" i="19" s="1"/>
  <c r="C26" i="19" s="1"/>
  <c r="K412" i="8"/>
  <c r="E25" i="19" s="1"/>
  <c r="C25" i="19" s="1"/>
  <c r="K414" i="8"/>
  <c r="E27" i="19" s="1"/>
  <c r="C27" i="19" s="1"/>
  <c r="K416" i="8"/>
  <c r="E29" i="19" s="1"/>
  <c r="C29" i="19" s="1"/>
  <c r="K415" i="8"/>
  <c r="E28" i="19" s="1"/>
  <c r="C28" i="19" s="1"/>
  <c r="K420" i="8"/>
  <c r="E33" i="19" s="1"/>
  <c r="C33" i="19" s="1"/>
  <c r="K419" i="8"/>
  <c r="E32" i="19" s="1"/>
  <c r="C32" i="19" s="1"/>
  <c r="K417" i="8"/>
  <c r="E30" i="19" s="1"/>
  <c r="C30" i="19" s="1"/>
  <c r="T233" i="8"/>
  <c r="T47" i="29" l="1"/>
  <c r="AH47" i="29"/>
  <c r="T48" i="29"/>
  <c r="AH48" i="29"/>
  <c r="K422" i="8"/>
  <c r="A32" i="19"/>
  <c r="K1" i="8"/>
  <c r="K548" i="8"/>
  <c r="E3" i="19"/>
  <c r="F3" i="19" s="1"/>
  <c r="T407" i="8"/>
  <c r="Q408" i="8"/>
  <c r="E24" i="19"/>
  <c r="K423" i="8" l="1"/>
  <c r="O422" i="8"/>
  <c r="E35" i="19"/>
  <c r="C24" i="19"/>
  <c r="C35" i="19" s="1"/>
  <c r="H551" i="8"/>
  <c r="DB92" i="29"/>
  <c r="L19" i="28"/>
  <c r="L20" i="28" l="1"/>
  <c r="M19" i="28"/>
  <c r="E36" i="19"/>
  <c r="E55" i="19"/>
  <c r="C55" i="19" s="1"/>
  <c r="L48" i="28"/>
</calcChain>
</file>

<file path=xl/comments1.xml><?xml version="1.0" encoding="utf-8"?>
<comments xmlns="http://schemas.openxmlformats.org/spreadsheetml/2006/main">
  <authors>
    <author>Nathalie BLANDINO</author>
  </authors>
  <commentList>
    <comment ref="A13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>
  <authors>
    <author>Nathalie BLANDINO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>
  <authors>
    <author>Nathalie BLANDINO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>
  <authors>
    <author>Sophie RIVIERE</author>
  </authors>
  <commentList>
    <comment ref="L7" authorId="0" shape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<sst xmlns="http://schemas.openxmlformats.org/spreadsheetml/2006/main" count="1971" uniqueCount="436">
  <si>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</si>
  <si>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</si>
  <si>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</si>
  <si>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</si>
  <si>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</si>
  <si>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</si>
  <si>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</si>
  <si>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LAURENCY</t>
  </si>
  <si>
    <t>LE CAP</t>
  </si>
  <si>
    <t>CHALOUPE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</si>
  <si>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</si>
  <si>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</si>
  <si>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</si>
  <si>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</si>
  <si>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</si>
  <si>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</si>
  <si>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</si>
  <si>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</si>
  <si>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</si>
  <si>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</si>
  <si>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</si>
  <si>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</si>
  <si>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</si>
  <si>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</si>
  <si>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</si>
  <si>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</si>
  <si>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</si>
  <si>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</si>
  <si>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</si>
  <si>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</si>
  <si>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>BARRAGE</t>
  </si>
  <si>
    <t>MANAPANY LES BAINS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</si>
  <si>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</si>
  <si>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</si>
  <si>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</si>
  <si>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</si>
  <si>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</si>
  <si>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</si>
  <si>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</si>
  <si>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</si>
  <si>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</si>
  <si>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</si>
  <si>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</si>
  <si>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</si>
  <si>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</si>
  <si>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</si>
  <si>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</si>
  <si>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</si>
  <si>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</si>
  <si>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</si>
  <si>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</si>
  <si>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</si>
  <si>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</si>
  <si>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</si>
  <si>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</si>
  <si>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</si>
  <si>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</si>
  <si>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</si>
  <si>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ETAT DES CREANCES : FEDER</t>
  </si>
  <si>
    <t>ETAT DES CREANCES : ADEME</t>
  </si>
  <si>
    <t>ETAT DES CREANCES : DIECCTE</t>
  </si>
  <si>
    <t>PEPINIERE</t>
  </si>
  <si>
    <t>ETAT DES CREANCES : REGION</t>
  </si>
  <si>
    <t>ETAT DES CREANCES : TCO</t>
  </si>
  <si>
    <t>ETAT DES CREANCES : CILGERE</t>
  </si>
  <si>
    <t>CONCESSION AMGT RHI CBLQ</t>
  </si>
  <si>
    <t>SCEAU DE SALOMON</t>
  </si>
  <si>
    <t>Solde fin GPA 09/2015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</si>
  <si>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</si>
  <si>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</si>
  <si>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</si>
  <si>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</si>
  <si>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</si>
  <si>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</si>
  <si>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</si>
  <si>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</si>
  <si>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</si>
  <si>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</si>
  <si>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</si>
  <si>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</si>
  <si>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</si>
  <si>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</si>
  <si>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</si>
  <si>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</si>
  <si>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</si>
  <si>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</si>
  <si>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</si>
  <si>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</si>
  <si>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</si>
  <si>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</si>
  <si>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</si>
  <si>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</si>
  <si>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</si>
  <si>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</si>
  <si>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</si>
  <si>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</si>
  <si>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</si>
  <si>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</si>
  <si>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</si>
  <si>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</si>
  <si>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</si>
  <si>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</si>
  <si>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</si>
  <si>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</si>
  <si>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</si>
  <si>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</si>
  <si>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</si>
  <si>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</si>
  <si>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</si>
  <si>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</si>
  <si>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</si>
  <si>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</si>
  <si>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</si>
  <si>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</si>
  <si>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</si>
  <si>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</si>
  <si>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ancien montant 127837,8</t>
  </si>
  <si>
    <t>LACAUSSADE 3</t>
  </si>
  <si>
    <t>RPA ST PHILIPPE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</si>
  <si>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</si>
  <si>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</si>
  <si>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</si>
  <si>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</si>
  <si>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</si>
  <si>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</si>
  <si>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</si>
  <si>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</si>
  <si>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</si>
  <si>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</si>
  <si>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</si>
  <si>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</si>
  <si>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</si>
  <si>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</si>
  <si>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</si>
  <si>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</si>
  <si>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</si>
  <si>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</si>
  <si>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</si>
  <si>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</si>
  <si>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</si>
  <si>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</si>
  <si>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</si>
  <si>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</si>
  <si>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</si>
  <si>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</si>
  <si>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</si>
  <si>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</si>
  <si>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</si>
  <si>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</si>
  <si>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</si>
  <si>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</si>
  <si>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</si>
  <si>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</si>
  <si>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</si>
  <si>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</si>
  <si>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</si>
  <si>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</si>
  <si>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</si>
  <si>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</si>
  <si>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</si>
  <si>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</si>
  <si>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</si>
  <si>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</si>
  <si>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</si>
  <si>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</si>
  <si>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</si>
  <si>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</si>
  <si>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</si>
  <si>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</si>
  <si>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</si>
  <si>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</si>
  <si>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</si>
  <si>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</si>
  <si>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</si>
  <si>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</si>
  <si>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</si>
  <si>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</si>
  <si>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</si>
  <si>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</si>
  <si>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</si>
  <si>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</si>
  <si>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</si>
  <si>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</si>
  <si>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</si>
  <si>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</si>
  <si>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</si>
  <si>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</si>
  <si>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</si>
  <si>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</si>
  <si>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</si>
  <si>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</si>
  <si>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</si>
  <si>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</si>
  <si>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</si>
  <si>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</si>
  <si>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</si>
  <si>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</si>
  <si>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</si>
  <si>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</si>
  <si>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</si>
  <si>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</si>
  <si>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</si>
  <si>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</si>
  <si>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</si>
  <si>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</si>
  <si>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</si>
  <si>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</si>
  <si>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</si>
  <si>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</si>
  <si>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</si>
  <si>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</si>
  <si>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</si>
  <si>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</si>
  <si>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</si>
  <si>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</si>
  <si>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</si>
  <si>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</si>
  <si>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</si>
  <si>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</si>
  <si>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</si>
  <si>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</si>
  <si>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</si>
  <si>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</si>
  <si>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</si>
  <si>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</si>
  <si>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</si>
  <si>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</si>
  <si>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</si>
  <si>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</si>
  <si>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</si>
  <si>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</si>
  <si>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</si>
  <si>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</si>
  <si>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</si>
  <si>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</si>
  <si>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</si>
  <si>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</si>
  <si>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>PALISSANDRE (30 LLS)</t>
  </si>
  <si>
    <t>N° 16-0719</t>
  </si>
  <si>
    <t>RPA DU PARC (40 LLTS)</t>
  </si>
  <si>
    <t>N° 16-0727</t>
  </si>
  <si>
    <t>AMATA</t>
  </si>
  <si>
    <t>LES PLATANES (28 LLTS)</t>
  </si>
  <si>
    <t>N° 16-0610</t>
  </si>
  <si>
    <t>TYPE SUBVENTION</t>
  </si>
  <si>
    <t>MOD</t>
  </si>
  <si>
    <t>Maîtrise de l'énergie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</si>
  <si>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</si>
  <si>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</si>
  <si>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</si>
  <si>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</si>
  <si>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</si>
  <si>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</si>
  <si>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</si>
  <si>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</si>
  <si>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</si>
  <si>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</si>
  <si>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</si>
  <si>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</si>
  <si>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</si>
  <si>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</si>
  <si>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</si>
  <si>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</si>
  <si>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</si>
  <si>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</si>
  <si>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</si>
  <si>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</si>
  <si>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</si>
  <si>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</si>
  <si>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</si>
  <si>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</si>
  <si>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</si>
  <si>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</si>
  <si>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</si>
  <si>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</si>
  <si>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</si>
  <si>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</si>
  <si>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</si>
  <si>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</si>
  <si>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</si>
  <si>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</si>
  <si>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</si>
  <si>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</si>
  <si>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</si>
  <si>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</si>
  <si>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</si>
  <si>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</si>
  <si>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</si>
  <si>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</si>
  <si>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</si>
  <si>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</si>
  <si>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</si>
  <si>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</si>
  <si>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</si>
  <si>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</si>
  <si>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</si>
  <si>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</si>
  <si>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</si>
  <si>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</si>
  <si>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</si>
  <si>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</si>
  <si>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</si>
  <si>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</si>
  <si>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</si>
  <si>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</si>
  <si>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</si>
  <si>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</si>
  <si>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</si>
  <si>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</si>
  <si>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</si>
  <si>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</si>
  <si>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</si>
  <si>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</si>
  <si>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</si>
  <si>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</si>
  <si>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</si>
  <si>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</si>
  <si>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</si>
  <si>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</si>
  <si>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</si>
  <si>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</si>
  <si>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</si>
  <si>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</si>
  <si>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</si>
  <si>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</si>
  <si>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</si>
  <si>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</si>
  <si>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</si>
  <si>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</si>
  <si>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</si>
  <si>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</si>
  <si>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</si>
  <si>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</si>
  <si>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</si>
  <si>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</si>
  <si>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</si>
  <si>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</si>
  <si>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</si>
  <si>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</si>
  <si>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</si>
  <si>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</si>
  <si>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</si>
  <si>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</si>
  <si>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</si>
  <si>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</si>
  <si>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</si>
  <si>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</si>
  <si>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</si>
  <si>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</si>
  <si>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</si>
  <si>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</si>
  <si>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</si>
  <si>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</si>
  <si>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</si>
  <si>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</si>
  <si>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</si>
  <si>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</si>
  <si>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</si>
  <si>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</si>
  <si>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</si>
  <si>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</si>
  <si>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</si>
  <si>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</si>
  <si>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</si>
  <si>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</si>
  <si>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</si>
  <si>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</si>
  <si>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</si>
  <si>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</si>
  <si>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</si>
  <si>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</si>
  <si>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</si>
  <si>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</si>
  <si>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</si>
  <si>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</si>
  <si>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</si>
  <si>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</si>
  <si>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</si>
  <si>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</si>
  <si>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</si>
  <si>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</si>
  <si>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</si>
  <si>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</si>
  <si>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</si>
  <si>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</si>
  <si>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</si>
  <si>
    <t>%</t>
  </si>
  <si>
    <t>AF PAYES</t>
  </si>
  <si>
    <t>x</t>
  </si>
  <si>
    <t>CH. GALET 1 &amp; 2/LA CHAPELLE / CASABIANCA/ORCHIDEES/CHOKA BLEU/LA CURE2</t>
  </si>
  <si>
    <t>TOTAL PERCU 2018</t>
  </si>
  <si>
    <t>TOTAL PERCU 2019</t>
  </si>
  <si>
    <t>TOTAL PERCU 2017</t>
  </si>
  <si>
    <t>101 MARCHES (10 LLS)</t>
  </si>
  <si>
    <t>INAUGURATION</t>
  </si>
  <si>
    <t>TOTAL PERCU 2016</t>
  </si>
  <si>
    <t>TOTAL PERCU 2015</t>
  </si>
  <si>
    <t>VEFA ROSIERS</t>
  </si>
  <si>
    <t>OFFICE DE L'EAU</t>
  </si>
  <si>
    <t>TOTAL PERCU 2014</t>
  </si>
  <si>
    <t>TOTAL PERCU 2010</t>
  </si>
  <si>
    <t>TOTAL PERCU 2011</t>
  </si>
  <si>
    <t>TOTAL PERCU 2012</t>
  </si>
  <si>
    <t>TOTAL PERCU 2013</t>
  </si>
  <si>
    <t>TOTAL PERCU 2009</t>
  </si>
  <si>
    <t>TOTAL PERCU 2007</t>
  </si>
  <si>
    <t>TOTAL PERCU 2006</t>
  </si>
  <si>
    <t>CUMUL A FIN 2006</t>
  </si>
  <si>
    <t>CUMUL A FIN 2007</t>
  </si>
  <si>
    <t>CUMUL A FIN 2009</t>
  </si>
  <si>
    <t>CUMUL A FIN 2010</t>
  </si>
  <si>
    <t>CUMUL A FIN 2011</t>
  </si>
  <si>
    <t>CUMUL A FIN 2012</t>
  </si>
  <si>
    <t>CUMUL A FIN 2013</t>
  </si>
  <si>
    <t>CUMUL A FIN 2014</t>
  </si>
  <si>
    <t>CUMUL A FIN 2015</t>
  </si>
  <si>
    <t>CUMUL A FIN 2016</t>
  </si>
  <si>
    <t>CUMUL A FIN 2017</t>
  </si>
  <si>
    <t>CUMUL A FIN 2018</t>
  </si>
  <si>
    <t>VEFA MIAMI (60 PLS)</t>
  </si>
  <si>
    <t>N° 2019DD97400035</t>
  </si>
  <si>
    <t>CUMUL PERCU</t>
  </si>
  <si>
    <t>Erreur DEAl 157 369,33 €</t>
  </si>
  <si>
    <t>VEFA ROLAND GARROS (24 PLS)</t>
  </si>
  <si>
    <t>N° 2019DD97400052</t>
  </si>
  <si>
    <t>en attente PV de réception</t>
  </si>
  <si>
    <t>CHALOUPE/PAILLE EN QUEUE</t>
  </si>
  <si>
    <t xml:space="preserve">        </t>
  </si>
  <si>
    <t>RELANCER A MON RETOUR DE CONGES</t>
  </si>
  <si>
    <t>TERRE DES CHENES (LOTISSEMENT)</t>
  </si>
  <si>
    <t>Pas signé d'EDF</t>
  </si>
  <si>
    <t>N° CONVENTION</t>
  </si>
  <si>
    <t>DATE</t>
  </si>
  <si>
    <t>MONTANT</t>
  </si>
  <si>
    <t>VEFA ROLAND GARROS (34 LLS)</t>
  </si>
  <si>
    <t>N° 2019DD97400059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</si>
</sst>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_€"/>
    <numFmt numFmtId="165" formatCode="[$-40C]mmm\-yy;@"/>
    <numFmt numFmtId="166" formatCode="#,##0.0000"/>
    <numFmt numFmtId="167" formatCode="dd/mm/yy;@"/>
    <numFmt numFmtId="168" formatCode="#,##0.00_ ;\-#,##0.00\ "/>
  </numFmts>
  <fonts count="27" x14ac:knownFonts="1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43" fontId="26" fillId="0" borderId="0" applyFont="0" applyFill="0" applyBorder="0" applyAlignment="0" applyProtection="0"/>
  </cellStyleXfs>
  <cellXfs count="110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43" fontId="1" fillId="0" borderId="6" xfId="0" applyNumberFormat="1" applyFont="1" applyFill="1" applyBorder="1"/>
    <xf numFmtId="43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43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43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43" fontId="1" fillId="0" borderId="8" xfId="0" applyNumberFormat="1" applyFont="1" applyFill="1" applyBorder="1"/>
    <xf numFmtId="14" fontId="2" fillId="6" borderId="4" xfId="0" applyNumberFormat="1" applyFont="1" applyFill="1" applyBorder="1"/>
    <xf numFmtId="43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43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43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43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43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43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43" fontId="3" fillId="0" borderId="8" xfId="0" applyNumberFormat="1" applyFont="1" applyFill="1" applyBorder="1"/>
    <xf numFmtId="43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3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43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43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43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43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43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43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4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43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43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43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43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43" fontId="1" fillId="8" borderId="8" xfId="0" applyNumberFormat="1" applyFont="1" applyFill="1" applyBorder="1"/>
    <xf numFmtId="4" fontId="1" fillId="8" borderId="8" xfId="0" applyNumberFormat="1" applyFont="1" applyFill="1" applyBorder="1"/>
    <xf numFmtId="43" fontId="1" fillId="7" borderId="6" xfId="0" applyNumberFormat="1" applyFont="1" applyFill="1" applyBorder="1" applyAlignment="1">
      <alignment wrapText="1"/>
    </xf>
    <xf numFmtId="43" fontId="1" fillId="0" borderId="1" xfId="0" applyNumberFormat="1" applyFont="1" applyFill="1" applyBorder="1"/>
    <xf numFmtId="17" fontId="14" fillId="0" borderId="0" xfId="0" applyNumberFormat="1" applyFont="1"/>
    <xf numFmtId="164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4" fontId="14" fillId="9" borderId="0" xfId="0" applyNumberFormat="1" applyFont="1" applyFill="1"/>
    <xf numFmtId="164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43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43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43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43" fontId="2" fillId="8" borderId="6" xfId="0" applyNumberFormat="1" applyFont="1" applyFill="1" applyBorder="1"/>
    <xf numFmtId="43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4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43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43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4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4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43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5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5" fontId="1" fillId="0" borderId="0" xfId="0" applyNumberFormat="1" applyFont="1"/>
    <xf numFmtId="0" fontId="0" fillId="0" borderId="0" xfId="0" applyBorder="1"/>
    <xf numFmtId="165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43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43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43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43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43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43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6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43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3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43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43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43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43" fontId="2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4" fontId="14" fillId="0" borderId="20" xfId="0" applyNumberFormat="1" applyFont="1" applyBorder="1"/>
    <xf numFmtId="164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4" fontId="14" fillId="0" borderId="26" xfId="0" applyNumberFormat="1" applyFont="1" applyBorder="1"/>
    <xf numFmtId="164" fontId="14" fillId="0" borderId="27" xfId="0" applyNumberFormat="1" applyFont="1" applyBorder="1"/>
    <xf numFmtId="164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4" fontId="14" fillId="0" borderId="30" xfId="0" applyNumberFormat="1" applyFont="1" applyBorder="1"/>
    <xf numFmtId="10" fontId="1" fillId="0" borderId="8" xfId="1" applyNumberFormat="1" applyFont="1" applyFill="1" applyBorder="1"/>
    <xf numFmtId="43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0" fontId="4" fillId="0" borderId="0" xfId="0" applyFont="1"/>
    <xf numFmtId="164" fontId="15" fillId="9" borderId="22" xfId="0" applyNumberFormat="1" applyFont="1" applyFill="1" applyBorder="1"/>
    <xf numFmtId="164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7" fontId="1" fillId="0" borderId="0" xfId="0" applyNumberFormat="1" applyFont="1"/>
    <xf numFmtId="167" fontId="2" fillId="2" borderId="11" xfId="0" applyNumberFormat="1" applyFont="1" applyFill="1" applyBorder="1" applyAlignment="1">
      <alignment horizontal="center" vertical="top"/>
    </xf>
    <xf numFmtId="167" fontId="1" fillId="0" borderId="6" xfId="0" applyNumberFormat="1" applyFont="1" applyFill="1" applyBorder="1"/>
    <xf numFmtId="167" fontId="1" fillId="6" borderId="4" xfId="0" applyNumberFormat="1" applyFont="1" applyFill="1" applyBorder="1"/>
    <xf numFmtId="167" fontId="1" fillId="12" borderId="6" xfId="0" applyNumberFormat="1" applyFont="1" applyFill="1" applyBorder="1"/>
    <xf numFmtId="167" fontId="2" fillId="0" borderId="2" xfId="0" applyNumberFormat="1" applyFont="1" applyBorder="1"/>
    <xf numFmtId="167" fontId="1" fillId="0" borderId="14" xfId="0" applyNumberFormat="1" applyFont="1" applyBorder="1"/>
    <xf numFmtId="167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7" fontId="1" fillId="8" borderId="2" xfId="0" applyNumberFormat="1" applyFont="1" applyFill="1" applyBorder="1" applyAlignment="1">
      <alignment horizontal="center" vertical="center"/>
    </xf>
    <xf numFmtId="43" fontId="1" fillId="8" borderId="2" xfId="0" applyNumberFormat="1" applyFont="1" applyFill="1" applyBorder="1"/>
    <xf numFmtId="43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43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3" fontId="1" fillId="0" borderId="2" xfId="0" applyNumberFormat="1" applyFont="1" applyFill="1" applyBorder="1"/>
    <xf numFmtId="43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7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7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43" fontId="1" fillId="12" borderId="1" xfId="0" applyNumberFormat="1" applyFont="1" applyFill="1" applyBorder="1"/>
    <xf numFmtId="43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43" fontId="2" fillId="6" borderId="2" xfId="0" applyNumberFormat="1" applyFont="1" applyFill="1" applyBorder="1"/>
    <xf numFmtId="43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7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43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7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43" fontId="1" fillId="0" borderId="15" xfId="0" applyNumberFormat="1" applyFont="1" applyFill="1" applyBorder="1"/>
    <xf numFmtId="43" fontId="1" fillId="6" borderId="12" xfId="0" applyNumberFormat="1" applyFont="1" applyFill="1" applyBorder="1"/>
    <xf numFmtId="43" fontId="1" fillId="0" borderId="13" xfId="0" applyNumberFormat="1" applyFont="1" applyFill="1" applyBorder="1"/>
    <xf numFmtId="10" fontId="1" fillId="0" borderId="5" xfId="1" applyNumberFormat="1" applyFont="1" applyFill="1" applyBorder="1"/>
    <xf numFmtId="4" fontId="2" fillId="3" borderId="0" xfId="0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7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43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4" fontId="15" fillId="9" borderId="28" xfId="0" applyNumberFormat="1" applyFont="1" applyFill="1" applyBorder="1"/>
    <xf numFmtId="164" fontId="16" fillId="0" borderId="0" xfId="0" applyNumberFormat="1" applyFont="1" applyFill="1"/>
    <xf numFmtId="0" fontId="1" fillId="0" borderId="31" xfId="0" applyFont="1" applyBorder="1"/>
    <xf numFmtId="164" fontId="14" fillId="0" borderId="32" xfId="0" applyNumberFormat="1" applyFont="1" applyBorder="1"/>
    <xf numFmtId="164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2" fillId="2" borderId="8" xfId="0" applyFont="1" applyFill="1" applyBorder="1" applyAlignment="1">
      <alignment horizontal="center" vertical="top" wrapText="1"/>
    </xf>
    <xf numFmtId="0" fontId="6" fillId="0" borderId="2" xfId="0" applyFont="1" applyBorder="1"/>
    <xf numFmtId="0" fontId="5" fillId="13" borderId="2" xfId="0" applyFont="1" applyFill="1" applyBorder="1" applyAlignment="1">
      <alignment horizontal="center"/>
    </xf>
    <xf numFmtId="43" fontId="0" fillId="13" borderId="2" xfId="2" applyFont="1" applyFill="1" applyBorder="1"/>
    <xf numFmtId="0" fontId="2" fillId="2" borderId="1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11" xfId="0" applyFont="1" applyFill="1" applyBorder="1" applyAlignment="1">
      <alignment vertical="top" wrapText="1"/>
    </xf>
    <xf numFmtId="0" fontId="14" fillId="4" borderId="2" xfId="0" applyFont="1" applyFill="1" applyBorder="1" applyAlignment="1">
      <alignment horizontal="center" vertical="center"/>
    </xf>
    <xf numFmtId="14" fontId="14" fillId="4" borderId="2" xfId="0" applyNumberFormat="1" applyFont="1" applyFill="1" applyBorder="1"/>
    <xf numFmtId="0" fontId="16" fillId="4" borderId="0" xfId="0" applyFont="1" applyFill="1"/>
    <xf numFmtId="0" fontId="15" fillId="4" borderId="2" xfId="0" applyFont="1" applyFill="1" applyBorder="1" applyAlignment="1">
      <alignment horizontal="left" vertical="center"/>
    </xf>
    <xf numFmtId="0" fontId="15" fillId="4" borderId="2" xfId="0" applyFont="1" applyFill="1" applyBorder="1" applyAlignment="1"/>
    <xf numFmtId="4" fontId="17" fillId="4" borderId="2" xfId="0" applyNumberFormat="1" applyFont="1" applyFill="1" applyBorder="1"/>
    <xf numFmtId="0" fontId="14" fillId="4" borderId="2" xfId="0" applyFont="1" applyFill="1" applyBorder="1" applyAlignment="1">
      <alignment vertical="center"/>
    </xf>
    <xf numFmtId="14" fontId="14" fillId="4" borderId="2" xfId="0" applyNumberFormat="1" applyFont="1" applyFill="1" applyBorder="1" applyAlignment="1">
      <alignment vertical="center"/>
    </xf>
    <xf numFmtId="4" fontId="14" fillId="4" borderId="2" xfId="0" applyNumberFormat="1" applyFont="1" applyFill="1" applyBorder="1" applyAlignment="1">
      <alignment vertical="center"/>
    </xf>
    <xf numFmtId="0" fontId="14" fillId="4" borderId="2" xfId="0" applyFont="1" applyFill="1" applyBorder="1"/>
    <xf numFmtId="4" fontId="14" fillId="4" borderId="2" xfId="1" applyNumberFormat="1" applyFont="1" applyFill="1" applyBorder="1"/>
    <xf numFmtId="0" fontId="14" fillId="4" borderId="2" xfId="0" applyFont="1" applyFill="1" applyBorder="1" applyAlignment="1">
      <alignment vertical="center" wrapText="1"/>
    </xf>
    <xf numFmtId="0" fontId="14" fillId="4" borderId="2" xfId="0" applyFont="1" applyFill="1" applyBorder="1" applyAlignment="1"/>
    <xf numFmtId="14" fontId="14" fillId="4" borderId="2" xfId="0" applyNumberFormat="1" applyFont="1" applyFill="1" applyBorder="1" applyAlignment="1"/>
    <xf numFmtId="4" fontId="14" fillId="4" borderId="2" xfId="0" applyNumberFormat="1" applyFont="1" applyFill="1" applyBorder="1"/>
    <xf numFmtId="0" fontId="20" fillId="10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164" fontId="17" fillId="10" borderId="0" xfId="0" applyNumberFormat="1" applyFont="1" applyFill="1" applyAlignment="1">
      <alignment horizontal="center"/>
    </xf>
    <xf numFmtId="4" fontId="17" fillId="10" borderId="0" xfId="0" applyNumberFormat="1" applyFont="1" applyFill="1" applyAlignment="1">
      <alignment horizontal="center"/>
    </xf>
    <xf numFmtId="164" fontId="16" fillId="2" borderId="0" xfId="0" applyNumberFormat="1" applyFont="1" applyFill="1"/>
    <xf numFmtId="0" fontId="2" fillId="0" borderId="0" xfId="0" applyFont="1" applyAlignment="1">
      <alignment horizontal="center"/>
    </xf>
    <xf numFmtId="0" fontId="2" fillId="2" borderId="8" xfId="0" applyFont="1" applyFill="1" applyBorder="1" applyAlignment="1">
      <alignment horizontal="center" vertical="top" wrapText="1"/>
    </xf>
    <xf numFmtId="0" fontId="0" fillId="8" borderId="5" xfId="0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14" fontId="1" fillId="8" borderId="0" xfId="0" applyNumberFormat="1" applyFont="1" applyFill="1" applyBorder="1"/>
    <xf numFmtId="14" fontId="1" fillId="8" borderId="7" xfId="0" applyNumberFormat="1" applyFont="1" applyFill="1" applyBorder="1"/>
    <xf numFmtId="14" fontId="3" fillId="8" borderId="0" xfId="0" applyNumberFormat="1" applyFont="1" applyFill="1" applyBorder="1"/>
    <xf numFmtId="14" fontId="2" fillId="8" borderId="14" xfId="0" applyNumberFormat="1" applyFont="1" applyFill="1" applyBorder="1"/>
    <xf numFmtId="14" fontId="4" fillId="8" borderId="0" xfId="0" applyNumberFormat="1" applyFont="1" applyFill="1" applyBorder="1" applyAlignment="1">
      <alignment horizontal="center"/>
    </xf>
    <xf numFmtId="14" fontId="2" fillId="8" borderId="0" xfId="0" applyNumberFormat="1" applyFont="1" applyFill="1" applyBorder="1"/>
    <xf numFmtId="14" fontId="4" fillId="8" borderId="0" xfId="0" applyNumberFormat="1" applyFont="1" applyFill="1" applyBorder="1"/>
    <xf numFmtId="4" fontId="1" fillId="8" borderId="15" xfId="0" applyNumberFormat="1" applyFont="1" applyFill="1" applyBorder="1"/>
    <xf numFmtId="14" fontId="2" fillId="6" borderId="10" xfId="0" applyNumberFormat="1" applyFont="1" applyFill="1" applyBorder="1"/>
    <xf numFmtId="4" fontId="1" fillId="0" borderId="15" xfId="0" applyNumberFormat="1" applyFont="1" applyFill="1" applyBorder="1"/>
    <xf numFmtId="14" fontId="2" fillId="6" borderId="0" xfId="0" applyNumberFormat="1" applyFont="1" applyFill="1" applyBorder="1"/>
    <xf numFmtId="14" fontId="2" fillId="6" borderId="12" xfId="0" applyNumberFormat="1" applyFont="1" applyFill="1" applyBorder="1"/>
    <xf numFmtId="14" fontId="1" fillId="0" borderId="13" xfId="0" applyNumberFormat="1" applyFont="1" applyFill="1" applyBorder="1"/>
    <xf numFmtId="14" fontId="1" fillId="6" borderId="12" xfId="0" applyNumberFormat="1" applyFont="1" applyFill="1" applyBorder="1"/>
    <xf numFmtId="14" fontId="1" fillId="0" borderId="15" xfId="0" applyNumberFormat="1" applyFont="1" applyFill="1" applyBorder="1"/>
    <xf numFmtId="9" fontId="1" fillId="0" borderId="8" xfId="1" applyNumberFormat="1" applyFont="1" applyFill="1" applyBorder="1"/>
    <xf numFmtId="0" fontId="3" fillId="8" borderId="1" xfId="0" applyFont="1" applyFill="1" applyBorder="1"/>
    <xf numFmtId="0" fontId="2" fillId="2" borderId="14" xfId="0" applyFont="1" applyFill="1" applyBorder="1" applyAlignment="1">
      <alignment vertical="top" wrapText="1"/>
    </xf>
    <xf numFmtId="4" fontId="2" fillId="8" borderId="12" xfId="0" applyNumberFormat="1" applyFont="1" applyFill="1" applyBorder="1"/>
    <xf numFmtId="10" fontId="1" fillId="0" borderId="0" xfId="1" applyNumberFormat="1" applyFont="1" applyFill="1" applyBorder="1"/>
    <xf numFmtId="9" fontId="1" fillId="8" borderId="1" xfId="1" applyFont="1" applyFill="1" applyBorder="1"/>
    <xf numFmtId="9" fontId="1" fillId="8" borderId="5" xfId="1" applyFont="1" applyFill="1" applyBorder="1"/>
    <xf numFmtId="10" fontId="1" fillId="8" borderId="1" xfId="1" applyNumberFormat="1" applyFont="1" applyFill="1" applyBorder="1"/>
    <xf numFmtId="9" fontId="1" fillId="8" borderId="1" xfId="1" applyNumberFormat="1" applyFont="1" applyFill="1" applyBorder="1"/>
    <xf numFmtId="10" fontId="1" fillId="4" borderId="1" xfId="1" applyNumberFormat="1" applyFont="1" applyFill="1" applyBorder="1"/>
    <xf numFmtId="9" fontId="1" fillId="4" borderId="1" xfId="1" applyFont="1" applyFill="1" applyBorder="1"/>
    <xf numFmtId="9" fontId="1" fillId="4" borderId="5" xfId="1" applyFont="1" applyFill="1" applyBorder="1"/>
    <xf numFmtId="0" fontId="2" fillId="8" borderId="0" xfId="0" applyFont="1" applyFill="1"/>
    <xf numFmtId="43" fontId="0" fillId="0" borderId="0" xfId="0" applyNumberFormat="1"/>
    <xf numFmtId="43" fontId="5" fillId="0" borderId="0" xfId="0" applyNumberFormat="1" applyFont="1"/>
    <xf numFmtId="0" fontId="1" fillId="0" borderId="35" xfId="0" applyFont="1" applyBorder="1"/>
    <xf numFmtId="0" fontId="1" fillId="0" borderId="1" xfId="0" applyFont="1" applyBorder="1" applyAlignment="1"/>
    <xf numFmtId="0" fontId="1" fillId="7" borderId="5" xfId="0" applyFont="1" applyFill="1" applyBorder="1" applyAlignment="1"/>
    <xf numFmtId="0" fontId="2" fillId="7" borderId="1" xfId="0" applyFont="1" applyFill="1" applyBorder="1" applyAlignment="1">
      <alignment vertical="center" wrapText="1"/>
    </xf>
    <xf numFmtId="0" fontId="2" fillId="7" borderId="0" xfId="0" applyFont="1" applyFill="1" applyBorder="1" applyAlignment="1">
      <alignment vertical="center"/>
    </xf>
    <xf numFmtId="14" fontId="2" fillId="7" borderId="1" xfId="0" applyNumberFormat="1" applyFont="1" applyFill="1" applyBorder="1" applyAlignment="1">
      <alignment vertical="center"/>
    </xf>
    <xf numFmtId="14" fontId="2" fillId="7" borderId="1" xfId="0" applyNumberFormat="1" applyFont="1" applyFill="1" applyBorder="1" applyAlignment="1">
      <alignment horizontal="center" vertical="center"/>
    </xf>
    <xf numFmtId="4" fontId="2" fillId="7" borderId="1" xfId="0" applyNumberFormat="1" applyFont="1" applyFill="1" applyBorder="1" applyAlignment="1">
      <alignment vertical="center"/>
    </xf>
    <xf numFmtId="0" fontId="2" fillId="7" borderId="15" xfId="0" applyFont="1" applyFill="1" applyBorder="1" applyAlignment="1">
      <alignment horizontal="center" vertical="center"/>
    </xf>
    <xf numFmtId="4" fontId="2" fillId="7" borderId="0" xfId="0" applyNumberFormat="1" applyFont="1" applyFill="1" applyBorder="1" applyAlignment="1">
      <alignment vertical="center"/>
    </xf>
    <xf numFmtId="4" fontId="2" fillId="7" borderId="6" xfId="0" applyNumberFormat="1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1" fillId="7" borderId="1" xfId="0" applyFont="1" applyFill="1" applyBorder="1" applyAlignment="1"/>
    <xf numFmtId="0" fontId="1" fillId="0" borderId="1" xfId="0" applyFont="1" applyFill="1" applyBorder="1" applyAlignment="1"/>
    <xf numFmtId="4" fontId="2" fillId="6" borderId="14" xfId="1" applyNumberFormat="1" applyFont="1" applyFill="1" applyBorder="1"/>
    <xf numFmtId="9" fontId="1" fillId="0" borderId="0" xfId="1" applyFont="1" applyFill="1" applyBorder="1"/>
    <xf numFmtId="9" fontId="1" fillId="0" borderId="7" xfId="1" applyFont="1" applyFill="1" applyBorder="1"/>
    <xf numFmtId="4" fontId="2" fillId="6" borderId="0" xfId="1" applyNumberFormat="1" applyFont="1" applyFill="1" applyBorder="1"/>
    <xf numFmtId="0" fontId="1" fillId="8" borderId="1" xfId="0" applyFont="1" applyFill="1" applyBorder="1" applyAlignment="1">
      <alignment vertical="center"/>
    </xf>
    <xf numFmtId="0" fontId="1" fillId="0" borderId="1" xfId="0" applyFont="1" applyBorder="1"/>
    <xf numFmtId="0" fontId="1" fillId="0" borderId="5" xfId="0" applyFont="1" applyBorder="1"/>
    <xf numFmtId="0" fontId="1" fillId="8" borderId="5" xfId="0" applyFont="1" applyFill="1" applyBorder="1"/>
    <xf numFmtId="4" fontId="2" fillId="6" borderId="12" xfId="0" applyNumberFormat="1" applyFont="1" applyFill="1" applyBorder="1"/>
    <xf numFmtId="0" fontId="1" fillId="0" borderId="1" xfId="0" applyFont="1" applyFill="1" applyBorder="1" applyAlignment="1">
      <alignment vertical="center"/>
    </xf>
    <xf numFmtId="10" fontId="1" fillId="0" borderId="1" xfId="1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10" fontId="1" fillId="0" borderId="1" xfId="0" applyNumberFormat="1" applyFont="1" applyFill="1" applyBorder="1" applyAlignment="1">
      <alignment vertical="center"/>
    </xf>
    <xf numFmtId="10" fontId="1" fillId="0" borderId="5" xfId="0" applyNumberFormat="1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43" fontId="0" fillId="0" borderId="0" xfId="0" applyNumberFormat="1" applyFill="1"/>
    <xf numFmtId="0" fontId="1" fillId="8" borderId="1" xfId="0" applyNumberFormat="1" applyFont="1" applyFill="1" applyBorder="1" applyAlignment="1">
      <alignment vertical="center"/>
    </xf>
    <xf numFmtId="0" fontId="1" fillId="8" borderId="5" xfId="0" applyNumberFormat="1" applyFont="1" applyFill="1" applyBorder="1" applyAlignment="1">
      <alignment vertical="center"/>
    </xf>
    <xf numFmtId="4" fontId="1" fillId="3" borderId="0" xfId="0" applyNumberFormat="1" applyFont="1" applyFill="1" applyBorder="1" applyAlignment="1">
      <alignment vertical="center"/>
    </xf>
    <xf numFmtId="0" fontId="2" fillId="2" borderId="8" xfId="0" applyFont="1" applyFill="1" applyBorder="1" applyAlignment="1">
      <alignment horizontal="center" vertical="top" wrapText="1"/>
    </xf>
    <xf numFmtId="43" fontId="0" fillId="11" borderId="1" xfId="2" applyFont="1" applyFill="1" applyBorder="1"/>
    <xf numFmtId="43" fontId="6" fillId="11" borderId="1" xfId="2" applyFont="1" applyFill="1" applyBorder="1"/>
    <xf numFmtId="0" fontId="2" fillId="4" borderId="1" xfId="0" applyFont="1" applyFill="1" applyBorder="1" applyAlignment="1"/>
    <xf numFmtId="43" fontId="2" fillId="6" borderId="4" xfId="2" applyFont="1" applyFill="1" applyBorder="1"/>
    <xf numFmtId="0" fontId="5" fillId="8" borderId="0" xfId="0" applyFont="1" applyFill="1"/>
    <xf numFmtId="0" fontId="5" fillId="8" borderId="2" xfId="0" applyFont="1" applyFill="1" applyBorder="1" applyAlignment="1">
      <alignment horizontal="center"/>
    </xf>
    <xf numFmtId="0" fontId="5" fillId="8" borderId="3" xfId="0" applyFont="1" applyFill="1" applyBorder="1"/>
    <xf numFmtId="43" fontId="5" fillId="8" borderId="0" xfId="0" applyNumberFormat="1" applyFont="1" applyFill="1"/>
    <xf numFmtId="43" fontId="5" fillId="8" borderId="2" xfId="0" applyNumberFormat="1" applyFont="1" applyFill="1" applyBorder="1"/>
    <xf numFmtId="43" fontId="0" fillId="14" borderId="1" xfId="2" applyFont="1" applyFill="1" applyBorder="1"/>
    <xf numFmtId="43" fontId="6" fillId="14" borderId="1" xfId="2" applyFont="1" applyFill="1" applyBorder="1"/>
    <xf numFmtId="0" fontId="5" fillId="15" borderId="0" xfId="0" applyFont="1" applyFill="1"/>
    <xf numFmtId="0" fontId="5" fillId="4" borderId="0" xfId="0" applyFont="1" applyFill="1"/>
    <xf numFmtId="43" fontId="0" fillId="14" borderId="5" xfId="2" applyFont="1" applyFill="1" applyBorder="1"/>
    <xf numFmtId="43" fontId="6" fillId="14" borderId="5" xfId="2" applyFont="1" applyFill="1" applyBorder="1"/>
    <xf numFmtId="43" fontId="5" fillId="14" borderId="1" xfId="2" applyFont="1" applyFill="1" applyBorder="1"/>
    <xf numFmtId="43" fontId="5" fillId="14" borderId="5" xfId="2" applyFont="1" applyFill="1" applyBorder="1"/>
    <xf numFmtId="0" fontId="5" fillId="8" borderId="0" xfId="0" applyFont="1" applyFill="1" applyAlignment="1">
      <alignment horizontal="center"/>
    </xf>
    <xf numFmtId="43" fontId="5" fillId="8" borderId="0" xfId="0" applyNumberFormat="1" applyFont="1" applyFill="1" applyBorder="1"/>
    <xf numFmtId="43" fontId="5" fillId="8" borderId="7" xfId="0" applyNumberFormat="1" applyFont="1" applyFill="1" applyBorder="1"/>
    <xf numFmtId="43" fontId="5" fillId="8" borderId="1" xfId="0" applyNumberFormat="1" applyFont="1" applyFill="1" applyBorder="1"/>
    <xf numFmtId="43" fontId="5" fillId="8" borderId="5" xfId="0" applyNumberFormat="1" applyFont="1" applyFill="1" applyBorder="1"/>
    <xf numFmtId="0" fontId="5" fillId="4" borderId="2" xfId="0" applyFont="1" applyFill="1" applyBorder="1" applyAlignment="1">
      <alignment horizontal="center"/>
    </xf>
    <xf numFmtId="43" fontId="6" fillId="0" borderId="0" xfId="0" applyNumberFormat="1" applyFont="1"/>
    <xf numFmtId="0" fontId="14" fillId="0" borderId="25" xfId="0" applyFont="1" applyBorder="1"/>
    <xf numFmtId="43" fontId="5" fillId="8" borderId="6" xfId="0" applyNumberFormat="1" applyFont="1" applyFill="1" applyBorder="1"/>
    <xf numFmtId="43" fontId="5" fillId="8" borderId="8" xfId="0" applyNumberFormat="1" applyFont="1" applyFill="1" applyBorder="1"/>
    <xf numFmtId="0" fontId="5" fillId="16" borderId="2" xfId="0" applyFont="1" applyFill="1" applyBorder="1"/>
    <xf numFmtId="0" fontId="5" fillId="16" borderId="2" xfId="0" applyFont="1" applyFill="1" applyBorder="1" applyAlignment="1">
      <alignment horizontal="center"/>
    </xf>
    <xf numFmtId="43" fontId="0" fillId="16" borderId="1" xfId="2" applyFont="1" applyFill="1" applyBorder="1"/>
    <xf numFmtId="43" fontId="0" fillId="16" borderId="5" xfId="2" applyFont="1" applyFill="1" applyBorder="1"/>
    <xf numFmtId="0" fontId="5" fillId="5" borderId="2" xfId="0" applyFont="1" applyFill="1" applyBorder="1" applyAlignment="1">
      <alignment horizontal="center"/>
    </xf>
    <xf numFmtId="43" fontId="0" fillId="5" borderId="1" xfId="2" applyFont="1" applyFill="1" applyBorder="1"/>
    <xf numFmtId="43" fontId="0" fillId="5" borderId="5" xfId="2" applyFont="1" applyFill="1" applyBorder="1"/>
    <xf numFmtId="0" fontId="5" fillId="5" borderId="0" xfId="0" applyFont="1" applyFill="1" applyAlignment="1">
      <alignment horizontal="center"/>
    </xf>
    <xf numFmtId="3" fontId="5" fillId="4" borderId="2" xfId="0" applyNumberFormat="1" applyFont="1" applyFill="1" applyBorder="1"/>
    <xf numFmtId="9" fontId="0" fillId="16" borderId="1" xfId="1" applyFont="1" applyFill="1" applyBorder="1" applyAlignment="1">
      <alignment horizontal="center"/>
    </xf>
    <xf numFmtId="3" fontId="5" fillId="4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5" xfId="0" applyFont="1" applyFill="1" applyBorder="1" applyAlignment="1">
      <alignment horizontal="left" vertical="center"/>
    </xf>
    <xf numFmtId="0" fontId="14" fillId="4" borderId="2" xfId="0" applyFont="1" applyFill="1" applyBorder="1" applyAlignment="1">
      <alignment horizontal="left" vertical="center"/>
    </xf>
    <xf numFmtId="168" fontId="1" fillId="0" borderId="0" xfId="2" applyNumberFormat="1" applyFont="1" applyAlignment="1">
      <alignment horizontal="left"/>
    </xf>
    <xf numFmtId="0" fontId="4" fillId="3" borderId="6" xfId="0" applyNumberFormat="1" applyFont="1" applyFill="1" applyBorder="1" applyAlignment="1">
      <alignment vertical="center"/>
    </xf>
    <xf numFmtId="43" fontId="1" fillId="3" borderId="6" xfId="0" applyNumberFormat="1" applyFont="1" applyFill="1" applyBorder="1"/>
    <xf numFmtId="14" fontId="4" fillId="6" borderId="4" xfId="0" applyNumberFormat="1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vertical="center"/>
    </xf>
    <xf numFmtId="0" fontId="2" fillId="0" borderId="2" xfId="0" applyFont="1" applyFill="1" applyBorder="1" applyAlignment="1">
      <alignment horizontal="left" vertical="center"/>
    </xf>
    <xf numFmtId="14" fontId="1" fillId="0" borderId="2" xfId="0" applyNumberFormat="1" applyFont="1" applyFill="1" applyBorder="1" applyAlignment="1">
      <alignment horizontal="center"/>
    </xf>
    <xf numFmtId="4" fontId="1" fillId="3" borderId="2" xfId="0" applyNumberFormat="1" applyFont="1" applyFill="1" applyBorder="1" applyAlignment="1">
      <alignment horizontal="center"/>
    </xf>
    <xf numFmtId="0" fontId="1" fillId="0" borderId="13" xfId="0" applyFont="1" applyFill="1" applyBorder="1" applyAlignment="1">
      <alignment horizontal="left" vertical="center"/>
    </xf>
    <xf numFmtId="0" fontId="2" fillId="0" borderId="9" xfId="0" applyFont="1" applyBorder="1" applyAlignment="1"/>
    <xf numFmtId="0" fontId="2" fillId="0" borderId="11" xfId="0" applyFont="1" applyBorder="1" applyAlignment="1"/>
    <xf numFmtId="4" fontId="4" fillId="3" borderId="0" xfId="0" applyNumberFormat="1" applyFont="1" applyFill="1" applyAlignment="1">
      <alignment horizontal="left" vertical="top"/>
    </xf>
    <xf numFmtId="0" fontId="2" fillId="3" borderId="0" xfId="0" applyFont="1" applyFill="1" applyAlignment="1">
      <alignment horizontal="center" vertical="top"/>
    </xf>
    <xf numFmtId="0" fontId="1" fillId="0" borderId="6" xfId="0" applyFont="1" applyFill="1" applyBorder="1" applyAlignment="1">
      <alignment horizontal="left" vertical="center"/>
    </xf>
    <xf numFmtId="14" fontId="1" fillId="0" borderId="6" xfId="0" applyNumberFormat="1" applyFont="1" applyFill="1" applyBorder="1" applyAlignment="1">
      <alignment horizontal="right" vertical="center"/>
    </xf>
    <xf numFmtId="14" fontId="4" fillId="6" borderId="3" xfId="0" applyNumberFormat="1" applyFont="1" applyFill="1" applyBorder="1" applyAlignment="1">
      <alignment vertical="center"/>
    </xf>
    <xf numFmtId="0" fontId="5" fillId="0" borderId="0" xfId="0" applyFont="1" applyAlignment="1">
      <alignment horizontal="center"/>
    </xf>
    <xf numFmtId="0" fontId="17" fillId="4" borderId="2" xfId="0" applyFont="1" applyFill="1" applyBorder="1" applyAlignment="1">
      <alignment horizontal="center"/>
    </xf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43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5" fillId="8" borderId="13" xfId="0" applyFont="1" applyFill="1" applyBorder="1" applyAlignment="1">
      <alignment horizontal="center"/>
    </xf>
    <xf numFmtId="0" fontId="5" fillId="8" borderId="7" xfId="0" applyFont="1" applyFill="1" applyBorder="1" applyAlignment="1">
      <alignment horizontal="center"/>
    </xf>
    <xf numFmtId="0" fontId="5" fillId="8" borderId="8" xfId="0" applyFont="1" applyFill="1" applyBorder="1" applyAlignment="1">
      <alignment horizontal="center"/>
    </xf>
    <xf numFmtId="0" fontId="5" fillId="8" borderId="9" xfId="0" applyFont="1" applyFill="1" applyBorder="1" applyAlignment="1">
      <alignment horizontal="center"/>
    </xf>
    <xf numFmtId="0" fontId="5" fillId="8" borderId="10" xfId="0" applyFont="1" applyFill="1" applyBorder="1" applyAlignment="1">
      <alignment horizontal="center"/>
    </xf>
    <xf numFmtId="0" fontId="5" fillId="8" borderId="11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4" fontId="1" fillId="0" borderId="15" xfId="0" applyNumberFormat="1" applyFont="1" applyBorder="1" applyAlignment="1">
      <alignment horizontal="left" vertical="top" wrapText="1"/>
    </xf>
    <xf numFmtId="0" fontId="0" fillId="0" borderId="0" xfId="0" applyAlignment="1">
      <alignment vertical="top" wrapText="1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1" fillId="0" borderId="15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</cellXfs>
  <cellStyles count="3">
    <cellStyle name="Milliers" xfId="2" builtinId="3"/>
    <cellStyle name="Normal" xfId="0" builtinId="0"/>
    <cellStyle name="Pourcentage" xfId="1" builtinId="5"/>
  </cellStyles>
  <dxfs count="10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0000"/>
      <color rgb="FF1CA847"/>
      <color rgb="FFFF8994"/>
      <color rgb="FF89F0F5"/>
      <color rgb="FFFF66CC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DEAL'!$K$410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DEAL'!$J$411:$J$421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DEAL'!$K$411:$K$421</c:f>
              <c:numCache>
                <c:formatCode>#\ ##0.00\ _€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DEAL'!$L$410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DEAL'!$J$411:$J$421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DEAL'!$L$411:$L$421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DEAL'!$M$410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'LBU DEAL'!$J$411:$J$421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DEAL'!$M$411:$M$421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DEAL'!$N$410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'LBU DEAL'!$J$411:$J$421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DEAL'!$N$411:$N$421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3620444.11</c:v>
                </c:pt>
                <c:pt idx="9">
                  <c:v>4229192.16</c:v>
                </c:pt>
                <c:pt idx="10">
                  <c:v>1369555.2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7549952"/>
        <c:axId val="161834688"/>
      </c:barChart>
      <c:catAx>
        <c:axId val="127549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834688"/>
        <c:crosses val="autoZero"/>
        <c:auto val="1"/>
        <c:lblAlgn val="ctr"/>
        <c:lblOffset val="100"/>
        <c:noMultiLvlLbl val="0"/>
      </c:catAx>
      <c:valAx>
        <c:axId val="161834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549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'FRAFU DEAL'!$J$157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'FRAFU DEAL'!$I$158:$I$169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DEAL'!$J$158:$J$169</c:f>
              <c:numCache>
                <c:formatCode>#\ 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360352.48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DEAL'!$M$157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'FRAFU DEAL'!$I$158:$I$169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DEAL'!$M$158:$M$169</c:f>
              <c:numCache>
                <c:formatCode>#\ 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7553024"/>
        <c:axId val="161837568"/>
      </c:barChart>
      <c:catAx>
        <c:axId val="127553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837568"/>
        <c:crosses val="autoZero"/>
        <c:auto val="1"/>
        <c:lblAlgn val="ctr"/>
        <c:lblOffset val="100"/>
        <c:noMultiLvlLbl val="0"/>
      </c:catAx>
      <c:valAx>
        <c:axId val="16183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553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DEAL'!$J$487:$J$498</c:f>
              <c:numCache>
                <c:formatCode>mmm\-yy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'LBU DEAL'!$K$487:$K$498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121216"/>
        <c:axId val="161839872"/>
      </c:barChart>
      <c:dateAx>
        <c:axId val="16212121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839872"/>
        <c:crosses val="autoZero"/>
        <c:auto val="1"/>
        <c:lblOffset val="100"/>
        <c:baseTimeUnit val="months"/>
      </c:dateAx>
      <c:valAx>
        <c:axId val="16183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21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DEAL'!$J$475:$J$486</c:f>
              <c:numCache>
                <c:formatCode>mmm\-yy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'LBU DEAL'!$K$475:$K$486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122240"/>
        <c:axId val="162169408"/>
      </c:barChart>
      <c:dateAx>
        <c:axId val="16212224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69408"/>
        <c:crosses val="autoZero"/>
        <c:auto val="1"/>
        <c:lblOffset val="100"/>
        <c:baseTimeUnit val="months"/>
      </c:dateAx>
      <c:valAx>
        <c:axId val="162169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22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DEAL'!$J$499:$J$510</c:f>
              <c:numCache>
                <c:formatCode>mmm\-yy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'LBU DEAL'!$K$499:$K$510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122752"/>
        <c:axId val="162171136"/>
      </c:barChart>
      <c:dateAx>
        <c:axId val="16212275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71136"/>
        <c:crosses val="autoZero"/>
        <c:auto val="1"/>
        <c:lblOffset val="100"/>
        <c:baseTimeUnit val="months"/>
      </c:dateAx>
      <c:valAx>
        <c:axId val="162171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22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DEAL'!$J$463:$J$474</c:f>
              <c:numCache>
                <c:formatCode>mmm\-yy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'LBU DEAL'!$K$463:$K$474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123264"/>
        <c:axId val="162172864"/>
      </c:barChart>
      <c:dateAx>
        <c:axId val="162123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72864"/>
        <c:crosses val="autoZero"/>
        <c:auto val="1"/>
        <c:lblOffset val="100"/>
        <c:baseTimeUnit val="months"/>
      </c:dateAx>
      <c:valAx>
        <c:axId val="16217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23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DEAL'!$J$451:$J$462</c:f>
              <c:numCache>
                <c:formatCode>mmm\-yy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'LBU DEAL'!$K$451:$K$462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614720"/>
        <c:axId val="162174592"/>
      </c:barChart>
      <c:dateAx>
        <c:axId val="16361472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74592"/>
        <c:crosses val="autoZero"/>
        <c:auto val="1"/>
        <c:lblOffset val="100"/>
        <c:baseTimeUnit val="months"/>
      </c:dateAx>
      <c:valAx>
        <c:axId val="162174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14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DEAL'!$K$410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DEAL'!$J$411:$J$421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DEAL'!$K$411:$K$421</c:f>
              <c:numCache>
                <c:formatCode>#\ ##0.00\ _€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DEAL'!$N$410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DEAL'!$J$411:$J$421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DEAL'!$N$411:$N$421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3620444.11</c:v>
                </c:pt>
                <c:pt idx="9">
                  <c:v>4229192.16</c:v>
                </c:pt>
                <c:pt idx="10">
                  <c:v>1369555.2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615232"/>
        <c:axId val="162176320"/>
      </c:barChart>
      <c:catAx>
        <c:axId val="163615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76320"/>
        <c:crosses val="autoZero"/>
        <c:auto val="1"/>
        <c:lblAlgn val="ctr"/>
        <c:lblOffset val="100"/>
        <c:noMultiLvlLbl val="0"/>
      </c:catAx>
      <c:valAx>
        <c:axId val="162176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15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DEAL'!$J$511:$J$522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'LBU DEAL'!$K$511:$K$522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615744"/>
        <c:axId val="163669696"/>
      </c:barChart>
      <c:dateAx>
        <c:axId val="16361574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69696"/>
        <c:crosses val="autoZero"/>
        <c:auto val="1"/>
        <c:lblOffset val="100"/>
        <c:baseTimeUnit val="months"/>
      </c:dateAx>
      <c:valAx>
        <c:axId val="16366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15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DEAL'!$J$523:$J$534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'LBU DEAL'!$K$523:$K$534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120192"/>
        <c:axId val="163672000"/>
      </c:barChart>
      <c:dateAx>
        <c:axId val="16212019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72000"/>
        <c:crosses val="autoZero"/>
        <c:auto val="1"/>
        <c:lblOffset val="100"/>
        <c:baseTimeUnit val="months"/>
      </c:dateAx>
      <c:valAx>
        <c:axId val="163672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120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#,##0.00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#,##0.00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4094464"/>
        <c:axId val="163674304"/>
      </c:barChart>
      <c:catAx>
        <c:axId val="164094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74304"/>
        <c:crosses val="autoZero"/>
        <c:auto val="1"/>
        <c:lblAlgn val="ctr"/>
        <c:lblOffset val="100"/>
        <c:noMultiLvlLbl val="0"/>
      </c:catAx>
      <c:valAx>
        <c:axId val="16367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94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DEAL'!$K$410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DEAL'!$J$411:$J$419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DEAL'!$K$411:$K$419</c:f>
              <c:numCache>
                <c:formatCode>#\ ##0.00\ _€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DEAL'!$N$410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DEAL'!$J$411:$J$419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DEAL'!$N$411:$N$419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3620444.11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617280"/>
        <c:axId val="164488320"/>
      </c:barChart>
      <c:catAx>
        <c:axId val="163617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488320"/>
        <c:crosses val="autoZero"/>
        <c:auto val="1"/>
        <c:lblAlgn val="ctr"/>
        <c:lblOffset val="100"/>
        <c:noMultiLvlLbl val="0"/>
      </c:catAx>
      <c:valAx>
        <c:axId val="164488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17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DEAL'!$K$410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DEAL'!$J$411:$J$419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DEAL'!$K$411:$K$419</c:f>
              <c:numCache>
                <c:formatCode>#\ ##0.00\ _€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DEAL'!$N$410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DEAL'!$J$411:$J$419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DEAL'!$N$411:$N$419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3620444.11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815808"/>
        <c:axId val="164490624"/>
      </c:barChart>
      <c:catAx>
        <c:axId val="165815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490624"/>
        <c:crosses val="autoZero"/>
        <c:auto val="1"/>
        <c:lblAlgn val="ctr"/>
        <c:lblOffset val="100"/>
        <c:noMultiLvlLbl val="0"/>
      </c:catAx>
      <c:valAx>
        <c:axId val="164490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815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REHAB'!$K$62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REHAB'!$I$63:$I$64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REHAB'!$K$63:$K$64</c:f>
              <c:numCache>
                <c:formatCode>#\ ##0.00\ _€</c:formatCode>
                <c:ptCount val="2"/>
                <c:pt idx="0">
                  <c:v>244390</c:v>
                </c:pt>
                <c:pt idx="1">
                  <c:v>525915.17299999995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REHAB'!$N$62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REHAB'!$I$63:$I$64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REHAB'!$N$63:$N$64</c:f>
              <c:numCache>
                <c:formatCode>#\ ##0.00\ _€</c:formatCode>
                <c:ptCount val="2"/>
                <c:pt idx="0">
                  <c:v>244390</c:v>
                </c:pt>
                <c:pt idx="1">
                  <c:v>107938.4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816320"/>
        <c:axId val="164492928"/>
      </c:barChart>
      <c:catAx>
        <c:axId val="165816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492928"/>
        <c:crosses val="autoZero"/>
        <c:auto val="1"/>
        <c:lblAlgn val="ctr"/>
        <c:lblOffset val="100"/>
        <c:noMultiLvlLbl val="0"/>
      </c:catAx>
      <c:valAx>
        <c:axId val="164492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816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CAF!$M$47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CAF!$L$48:$L$54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CAF!$N$47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CAF!$L$48:$L$54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CAF!$N$48:$N$54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817856"/>
        <c:axId val="165920768"/>
      </c:barChart>
      <c:catAx>
        <c:axId val="165817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920768"/>
        <c:crosses val="autoZero"/>
        <c:auto val="1"/>
        <c:lblAlgn val="ctr"/>
        <c:lblOffset val="100"/>
        <c:noMultiLvlLbl val="0"/>
      </c:catAx>
      <c:valAx>
        <c:axId val="165920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817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REGION!$I$33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REGION!$H$34:$H$42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REGION!$I$34:$I$42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470742.25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REGION!$L$33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REGION!$H$34:$H$42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REGION!$L$34:$L$42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306961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6024704"/>
        <c:axId val="165923072"/>
      </c:barChart>
      <c:catAx>
        <c:axId val="166024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923072"/>
        <c:crosses val="autoZero"/>
        <c:auto val="1"/>
        <c:lblAlgn val="ctr"/>
        <c:lblOffset val="100"/>
        <c:noMultiLvlLbl val="0"/>
      </c:catAx>
      <c:valAx>
        <c:axId val="16592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024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REGION!$I$33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REGION!$H$34:$H$40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REGION!$I$34:$I$40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REGION!$L$33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REGION!$H$34:$H$40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REGION!$L$34:$L$40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4777984"/>
        <c:axId val="165926528"/>
      </c:barChart>
      <c:catAx>
        <c:axId val="164777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926528"/>
        <c:crosses val="autoZero"/>
        <c:auto val="1"/>
        <c:lblAlgn val="ctr"/>
        <c:lblOffset val="100"/>
        <c:noMultiLvlLbl val="0"/>
      </c:catAx>
      <c:valAx>
        <c:axId val="165926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777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4.xml"/><Relationship Id="rId2" Type="http://schemas.openxmlformats.org/officeDocument/2006/relationships/chart" Target="../charts/chart13.xml"/><Relationship Id="rId1" Type="http://schemas.openxmlformats.org/officeDocument/2006/relationships/chart" Target="../charts/chart1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154</xdr:row>
      <xdr:rowOff>146397</xdr:rowOff>
    </xdr:from>
    <xdr:to>
      <xdr:col>6</xdr:col>
      <xdr:colOff>896470</xdr:colOff>
      <xdr:row>170</xdr:row>
      <xdr:rowOff>134472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96493</xdr:colOff>
      <xdr:row>485</xdr:row>
      <xdr:rowOff>129988</xdr:rowOff>
    </xdr:from>
    <xdr:to>
      <xdr:col>17</xdr:col>
      <xdr:colOff>440871</xdr:colOff>
      <xdr:row>498</xdr:row>
      <xdr:rowOff>46264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473</xdr:row>
      <xdr:rowOff>130628</xdr:rowOff>
    </xdr:from>
    <xdr:to>
      <xdr:col>6</xdr:col>
      <xdr:colOff>1061357</xdr:colOff>
      <xdr:row>485</xdr:row>
      <xdr:rowOff>117021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498</xdr:row>
      <xdr:rowOff>43542</xdr:rowOff>
    </xdr:from>
    <xdr:to>
      <xdr:col>6</xdr:col>
      <xdr:colOff>1028700</xdr:colOff>
      <xdr:row>510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104774</xdr:colOff>
      <xdr:row>461</xdr:row>
      <xdr:rowOff>129269</xdr:rowOff>
    </xdr:from>
    <xdr:to>
      <xdr:col>17</xdr:col>
      <xdr:colOff>363311</xdr:colOff>
      <xdr:row>474</xdr:row>
      <xdr:rowOff>14968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449</xdr:row>
      <xdr:rowOff>119742</xdr:rowOff>
    </xdr:from>
    <xdr:to>
      <xdr:col>6</xdr:col>
      <xdr:colOff>1015093</xdr:colOff>
      <xdr:row>462</xdr:row>
      <xdr:rowOff>89805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408</xdr:row>
      <xdr:rowOff>106136</xdr:rowOff>
    </xdr:from>
    <xdr:to>
      <xdr:col>7</xdr:col>
      <xdr:colOff>466725</xdr:colOff>
      <xdr:row>426</xdr:row>
      <xdr:rowOff>148318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238125</xdr:colOff>
      <xdr:row>509</xdr:row>
      <xdr:rowOff>95251</xdr:rowOff>
    </xdr:from>
    <xdr:to>
      <xdr:col>17</xdr:col>
      <xdr:colOff>0</xdr:colOff>
      <xdr:row>522</xdr:row>
      <xdr:rowOff>19051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521</xdr:row>
      <xdr:rowOff>57150</xdr:rowOff>
    </xdr:from>
    <xdr:to>
      <xdr:col>6</xdr:col>
      <xdr:colOff>981075</xdr:colOff>
      <xdr:row>533</xdr:row>
      <xdr:rowOff>133350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585107</xdr:colOff>
      <xdr:row>59</xdr:row>
      <xdr:rowOff>96611</xdr:rowOff>
    </xdr:from>
    <xdr:to>
      <xdr:col>24</xdr:col>
      <xdr:colOff>95250</xdr:colOff>
      <xdr:row>60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585107</xdr:colOff>
      <xdr:row>59</xdr:row>
      <xdr:rowOff>96611</xdr:rowOff>
    </xdr:from>
    <xdr:to>
      <xdr:col>24</xdr:col>
      <xdr:colOff>95250</xdr:colOff>
      <xdr:row>60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61</xdr:row>
      <xdr:rowOff>31215</xdr:rowOff>
    </xdr:from>
    <xdr:to>
      <xdr:col>6</xdr:col>
      <xdr:colOff>86043</xdr:colOff>
      <xdr:row>77</xdr:row>
      <xdr:rowOff>32897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251731</xdr:colOff>
      <xdr:row>55</xdr:row>
      <xdr:rowOff>104774</xdr:rowOff>
    </xdr:from>
    <xdr:to>
      <xdr:col>15</xdr:col>
      <xdr:colOff>687160</xdr:colOff>
      <xdr:row>74</xdr:row>
      <xdr:rowOff>4081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565898</xdr:colOff>
      <xdr:row>15</xdr:row>
      <xdr:rowOff>0</xdr:rowOff>
    </xdr:from>
    <xdr:to>
      <xdr:col>17</xdr:col>
      <xdr:colOff>308162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66CC"/>
  </sheetPr>
  <dimension ref="A1:S55"/>
  <sheetViews>
    <sheetView topLeftCell="A4" zoomScale="70" zoomScaleNormal="70" workbookViewId="0">
      <selection activeCell="E24" sqref="E24"/>
    </sheetView>
  </sheetViews>
  <sheetFormatPr baseColWidth="10" defaultRowHeight="12.75" x14ac:dyDescent="0.2"/>
  <cols>
    <col min="1" max="1" width="16.42578125" customWidth="1"/>
    <col min="2" max="2" width="15.140625" customWidth="1"/>
    <col min="3" max="3" width="27.28515625" customWidth="1"/>
    <col min="4" max="4" width="18.42578125" customWidth="1"/>
    <col min="5" max="5" width="16.42578125" customWidth="1"/>
    <col min="6" max="6" width="17.85546875" customWidth="1"/>
    <col min="7" max="7" width="14.140625" customWidth="1"/>
    <col min="8" max="8" width="16.140625" customWidth="1"/>
    <col min="9" max="9" width="14.5703125" bestFit="1" customWidth="1"/>
    <col min="10" max="10" width="15.7109375" customWidth="1"/>
    <col min="11" max="11" width="17.7109375" customWidth="1"/>
    <col min="12" max="12" width="14.5703125" bestFit="1" customWidth="1"/>
    <col min="13" max="14" width="15.5703125" customWidth="1"/>
    <col min="15" max="15" width="16.5703125" customWidth="1"/>
    <col min="16" max="16" width="14.85546875" customWidth="1"/>
    <col min="17" max="17" width="15.140625" customWidth="1"/>
    <col min="18" max="18" width="14.28515625" bestFit="1" customWidth="1"/>
    <col min="19" max="19" width="14.42578125" customWidth="1"/>
  </cols>
  <sheetData>
    <row r="1" spans="1:7" ht="27.75" customHeight="1" x14ac:dyDescent="0.2">
      <c r="B1" s="491" t="s">
        <v>77</v>
      </c>
      <c r="C1" s="491" t="s">
        <v>78</v>
      </c>
      <c r="D1" s="491" t="s">
        <v>96</v>
      </c>
      <c r="E1" s="491" t="s">
        <v>17</v>
      </c>
    </row>
    <row r="2" spans="1:7" ht="21.75" customHeight="1" x14ac:dyDescent="0.2">
      <c r="A2" s="492" t="s">
        <v>94</v>
      </c>
      <c r="B2" s="92">
        <f>'FRAFU DEAL'!H154</f>
        <v>26941524.539999999</v>
      </c>
      <c r="C2" s="92">
        <f>'FRAFU DEAL'!M154</f>
        <v>18793761.34</v>
      </c>
      <c r="D2" s="92">
        <f>'FRAFU DEAL'!P154</f>
        <v>712517.91999999993</v>
      </c>
      <c r="E2" s="92">
        <f>'FRAFU DEAL'!Q154</f>
        <v>7397110.4580000006</v>
      </c>
      <c r="F2" s="195">
        <f t="shared" ref="F2:F15" si="0">B2-(C2+D2+E2)</f>
        <v>38134.822000000626</v>
      </c>
      <c r="G2" s="437" t="s">
        <v>267</v>
      </c>
    </row>
    <row r="3" spans="1:7" ht="21.75" customHeight="1" x14ac:dyDescent="0.2">
      <c r="A3" s="184" t="s">
        <v>93</v>
      </c>
      <c r="B3" s="94">
        <f>'LBU DEAL'!I407</f>
        <v>38901471</v>
      </c>
      <c r="C3" s="94">
        <f>'LBU DEAL'!N407</f>
        <v>26251558.5</v>
      </c>
      <c r="D3" s="94">
        <f>'LBU DEAL'!Q407</f>
        <v>547917</v>
      </c>
      <c r="E3" s="94">
        <f>'LBU DEAL'!R407</f>
        <v>12101990.5</v>
      </c>
      <c r="F3" s="195">
        <f t="shared" si="0"/>
        <v>5</v>
      </c>
    </row>
    <row r="4" spans="1:7" ht="21.75" customHeight="1" x14ac:dyDescent="0.2">
      <c r="A4" s="93" t="s">
        <v>70</v>
      </c>
      <c r="B4" s="94">
        <f>'ST LEU'!D38+'ST LEU'!D40</f>
        <v>4270508.2799999993</v>
      </c>
      <c r="C4" s="94">
        <f>'ST LEU'!H38+'ST LEU'!H46</f>
        <v>3896551.0100000002</v>
      </c>
      <c r="D4" s="94">
        <f>'ST LEU'!K38+'ST LEU'!K46</f>
        <v>551506.14</v>
      </c>
      <c r="E4" s="94">
        <f>'ST LEU'!L38+'ST LEU'!L46</f>
        <v>0</v>
      </c>
      <c r="F4" s="195">
        <f t="shared" si="0"/>
        <v>-177548.87000000104</v>
      </c>
      <c r="G4" s="437" t="s">
        <v>268</v>
      </c>
    </row>
    <row r="5" spans="1:7" ht="21.75" customHeight="1" x14ac:dyDescent="0.2">
      <c r="A5" s="93" t="s">
        <v>72</v>
      </c>
      <c r="B5" s="94">
        <f>CAF!E42</f>
        <v>1370000</v>
      </c>
      <c r="C5" s="94">
        <f>CAF!J42</f>
        <v>1210000</v>
      </c>
      <c r="D5" s="94">
        <f>CAF!M42</f>
        <v>0</v>
      </c>
      <c r="E5" s="94">
        <f>CAF!N42</f>
        <v>160000</v>
      </c>
      <c r="F5" s="195">
        <f t="shared" si="0"/>
        <v>0</v>
      </c>
    </row>
    <row r="6" spans="1:7" ht="21.75" customHeight="1" x14ac:dyDescent="0.2">
      <c r="A6" s="93" t="s">
        <v>75</v>
      </c>
      <c r="B6" s="94">
        <f>REGION!G30</f>
        <v>3624014.38</v>
      </c>
      <c r="C6" s="94">
        <f>REGION!L30</f>
        <v>3007885.08</v>
      </c>
      <c r="D6" s="94">
        <f>REGION!O30</f>
        <v>182175.44999999995</v>
      </c>
      <c r="E6" s="94">
        <f>REGION!P30</f>
        <v>470742.25</v>
      </c>
      <c r="F6" s="195">
        <f t="shared" si="0"/>
        <v>-36788.400000000373</v>
      </c>
      <c r="G6" s="437" t="s">
        <v>269</v>
      </c>
    </row>
    <row r="7" spans="1:7" ht="21.75" customHeight="1" x14ac:dyDescent="0.2">
      <c r="A7" s="93" t="s">
        <v>74</v>
      </c>
      <c r="B7" s="94">
        <f>DIECCTE!D6</f>
        <v>66848.639999999999</v>
      </c>
      <c r="C7" s="94">
        <f>DIECCTE!H11</f>
        <v>57101.89</v>
      </c>
      <c r="D7" s="94">
        <f>DIECCTE!K11</f>
        <v>0</v>
      </c>
      <c r="E7" s="94">
        <f>DIECCTE!L11</f>
        <v>0</v>
      </c>
      <c r="F7" s="195">
        <f t="shared" si="0"/>
        <v>9746.75</v>
      </c>
    </row>
    <row r="8" spans="1:7" ht="21.75" customHeight="1" x14ac:dyDescent="0.2">
      <c r="A8" s="93" t="s">
        <v>73</v>
      </c>
      <c r="B8" s="94">
        <f>FEDER!G14</f>
        <v>1492522.4</v>
      </c>
      <c r="C8" s="94">
        <f>FEDER!L14</f>
        <v>1492522.4</v>
      </c>
      <c r="D8" s="94">
        <f>FEDER!O14</f>
        <v>0</v>
      </c>
      <c r="E8" s="94">
        <f>FEDER!P14</f>
        <v>0</v>
      </c>
      <c r="F8" s="195">
        <f t="shared" si="0"/>
        <v>0</v>
      </c>
    </row>
    <row r="9" spans="1:7" ht="21.75" customHeight="1" x14ac:dyDescent="0.2">
      <c r="A9" s="93" t="s">
        <v>76</v>
      </c>
      <c r="B9" s="94">
        <f>TCO!E16</f>
        <v>450599.74326910631</v>
      </c>
      <c r="C9" s="94">
        <f>TCO!I16</f>
        <v>359788.59</v>
      </c>
      <c r="D9" s="94">
        <f>TCO!L16</f>
        <v>90808.98</v>
      </c>
      <c r="E9" s="94">
        <f>TCO!M16</f>
        <v>0</v>
      </c>
      <c r="F9" s="195">
        <f t="shared" si="0"/>
        <v>2.1732691063079983</v>
      </c>
    </row>
    <row r="10" spans="1:7" ht="21.75" customHeight="1" x14ac:dyDescent="0.2">
      <c r="A10" s="184" t="s">
        <v>263</v>
      </c>
      <c r="B10" s="94">
        <f>+EDF!E86</f>
        <v>2240868.7307500001</v>
      </c>
      <c r="C10" s="94">
        <f>+EDF!I86</f>
        <v>1169395.7500000002</v>
      </c>
      <c r="D10" s="94">
        <f>+EDF!L86</f>
        <v>164877.8866</v>
      </c>
      <c r="E10" s="94">
        <f>+EDF!M86</f>
        <v>702705.05170000019</v>
      </c>
      <c r="F10" s="195">
        <f t="shared" si="0"/>
        <v>203890.0424499996</v>
      </c>
    </row>
    <row r="11" spans="1:7" ht="21.75" customHeight="1" x14ac:dyDescent="0.2">
      <c r="A11" s="93" t="s">
        <v>191</v>
      </c>
      <c r="B11" s="94">
        <f>'ST JOSEPH'!D17</f>
        <v>510715.38</v>
      </c>
      <c r="C11" s="94">
        <f>'ST JOSEPH'!I17</f>
        <v>364604.28</v>
      </c>
      <c r="D11" s="94">
        <f>'ST JOSEPH'!L17</f>
        <v>0</v>
      </c>
      <c r="E11" s="94">
        <f>'ST JOSEPH'!M17</f>
        <v>146111.1</v>
      </c>
      <c r="F11" s="195">
        <f t="shared" si="0"/>
        <v>0</v>
      </c>
    </row>
    <row r="12" spans="1:7" ht="21.75" customHeight="1" x14ac:dyDescent="0.2">
      <c r="A12" s="184" t="s">
        <v>264</v>
      </c>
      <c r="B12" s="94">
        <f>+'OFFICE DE L''EAU'!D15</f>
        <v>225067.56</v>
      </c>
      <c r="C12" s="94">
        <f>+'OFFICE DE L''EAU'!H15</f>
        <v>225067.56</v>
      </c>
      <c r="D12" s="94">
        <f>+'OFFICE DE L''EAU'!K15</f>
        <v>0</v>
      </c>
      <c r="E12" s="94">
        <f>+'OFFICE DE L''EAU'!L15</f>
        <v>0</v>
      </c>
      <c r="F12" s="195">
        <f t="shared" si="0"/>
        <v>0</v>
      </c>
    </row>
    <row r="13" spans="1:7" ht="21.75" customHeight="1" x14ac:dyDescent="0.2">
      <c r="A13" s="184" t="s">
        <v>261</v>
      </c>
      <c r="B13" s="94">
        <f>+ADEME!E10</f>
        <v>0</v>
      </c>
      <c r="C13" s="94">
        <f>+ADEME!I10</f>
        <v>25600</v>
      </c>
      <c r="D13" s="94">
        <f>+ADEME!L10</f>
        <v>0</v>
      </c>
      <c r="E13" s="94">
        <f>+ADEME!M10</f>
        <v>0</v>
      </c>
      <c r="F13" s="195">
        <f t="shared" si="0"/>
        <v>-25600</v>
      </c>
    </row>
    <row r="14" spans="1:7" ht="21.75" customHeight="1" x14ac:dyDescent="0.2">
      <c r="A14" s="184" t="s">
        <v>265</v>
      </c>
      <c r="B14" s="94">
        <f>+'ETANG-SALE'!D12</f>
        <v>1085000</v>
      </c>
      <c r="C14" s="94">
        <f>+'ETANG-SALE'!H12</f>
        <v>1627500</v>
      </c>
      <c r="D14" s="94">
        <f>+'ETANG-SALE'!K12</f>
        <v>1085000</v>
      </c>
      <c r="E14" s="94">
        <f>+'ETANG-SALE'!L12</f>
        <v>0</v>
      </c>
      <c r="F14" s="195">
        <f t="shared" si="0"/>
        <v>-1627500</v>
      </c>
    </row>
    <row r="15" spans="1:7" ht="21.75" customHeight="1" x14ac:dyDescent="0.2">
      <c r="A15" s="93" t="s">
        <v>71</v>
      </c>
      <c r="B15" s="94">
        <f>'PETITE ILE'!C17</f>
        <v>1924239.64</v>
      </c>
      <c r="C15" s="94">
        <f>'PETITE ILE'!G17</f>
        <v>1872435.32</v>
      </c>
      <c r="D15" s="94">
        <f>'PETITE ILE'!J17</f>
        <v>0</v>
      </c>
      <c r="E15" s="94">
        <f>'PETITE ILE'!K17</f>
        <v>46021.32</v>
      </c>
      <c r="F15" s="195">
        <f t="shared" si="0"/>
        <v>5782.9999999997672</v>
      </c>
    </row>
    <row r="16" spans="1:7" x14ac:dyDescent="0.2">
      <c r="A16" s="95" t="s">
        <v>79</v>
      </c>
      <c r="B16" s="96">
        <f>SUM(B4:B15)</f>
        <v>17260384.754019108</v>
      </c>
      <c r="C16" s="96">
        <f>SUM(C4:C15)</f>
        <v>15308451.879999999</v>
      </c>
      <c r="D16" s="96">
        <f>SUM(D4:D15)</f>
        <v>2074368.4565999999</v>
      </c>
      <c r="E16" s="96">
        <f>SUM(E4:E15)</f>
        <v>1525579.7217000003</v>
      </c>
      <c r="F16" s="185">
        <f>B16-(C16+D16+E16)</f>
        <v>-1648015.304280892</v>
      </c>
    </row>
    <row r="18" spans="1:19" x14ac:dyDescent="0.2">
      <c r="E18" s="185">
        <v>26105888.269999996</v>
      </c>
      <c r="F18" t="s">
        <v>115</v>
      </c>
    </row>
    <row r="19" spans="1:19" x14ac:dyDescent="0.2">
      <c r="F19" s="229"/>
    </row>
    <row r="22" spans="1:19" ht="15.75" x14ac:dyDescent="0.25">
      <c r="B22" s="467" t="s">
        <v>193</v>
      </c>
      <c r="C22" s="467"/>
      <c r="D22" s="374" t="s">
        <v>94</v>
      </c>
      <c r="E22" s="374" t="s">
        <v>93</v>
      </c>
      <c r="F22" s="374" t="s">
        <v>377</v>
      </c>
      <c r="G22" s="374" t="s">
        <v>260</v>
      </c>
      <c r="H22" s="374" t="s">
        <v>72</v>
      </c>
      <c r="I22" s="374" t="s">
        <v>75</v>
      </c>
      <c r="J22" s="374" t="s">
        <v>376</v>
      </c>
      <c r="K22" s="374" t="s">
        <v>74</v>
      </c>
      <c r="L22" s="374" t="s">
        <v>73</v>
      </c>
      <c r="M22" s="374" t="s">
        <v>76</v>
      </c>
      <c r="N22" s="374" t="s">
        <v>261</v>
      </c>
      <c r="O22" s="374" t="s">
        <v>262</v>
      </c>
      <c r="P22" s="374" t="s">
        <v>263</v>
      </c>
      <c r="Q22" s="374" t="s">
        <v>264</v>
      </c>
      <c r="R22" s="374" t="s">
        <v>265</v>
      </c>
      <c r="S22" s="374" t="s">
        <v>266</v>
      </c>
    </row>
    <row r="23" spans="1:19" x14ac:dyDescent="0.2">
      <c r="B23" s="374">
        <v>2006</v>
      </c>
      <c r="C23" s="469">
        <f t="shared" ref="C23:C33" si="1">SUM(D23:S23)</f>
        <v>1558057.8</v>
      </c>
      <c r="D23" s="466">
        <f>'FRAFU DEAL'!J158</f>
        <v>1558057.8</v>
      </c>
      <c r="E23" s="466">
        <v>0</v>
      </c>
      <c r="F23" s="466">
        <v>0</v>
      </c>
      <c r="G23" s="466">
        <v>0</v>
      </c>
      <c r="H23" s="466">
        <v>0</v>
      </c>
      <c r="I23" s="466">
        <v>0</v>
      </c>
      <c r="J23" s="466">
        <v>0</v>
      </c>
      <c r="K23" s="466">
        <v>0</v>
      </c>
      <c r="L23" s="466">
        <v>0</v>
      </c>
      <c r="M23" s="466">
        <v>0</v>
      </c>
      <c r="N23" s="466">
        <v>0</v>
      </c>
      <c r="O23" s="466">
        <v>0</v>
      </c>
      <c r="P23" s="466">
        <v>0</v>
      </c>
      <c r="Q23" s="466">
        <v>0</v>
      </c>
      <c r="R23" s="466"/>
      <c r="S23" s="466"/>
    </row>
    <row r="24" spans="1:19" x14ac:dyDescent="0.2">
      <c r="B24" s="374">
        <v>2007</v>
      </c>
      <c r="C24" s="469" t="e">
        <f t="shared" si="1"/>
        <v>#VALUE!</v>
      </c>
      <c r="D24" s="466">
        <f>'FRAFU DEAL'!J159</f>
        <v>170100</v>
      </c>
      <c r="E24" s="466" t="e">
        <f>'LBU DEAL'!K411</f>
        <v>#VALUE!</v>
      </c>
      <c r="F24" s="466">
        <v>0</v>
      </c>
      <c r="G24" s="466">
        <v>0</v>
      </c>
      <c r="H24" s="466">
        <v>0</v>
      </c>
      <c r="I24" s="466">
        <v>0</v>
      </c>
      <c r="J24" s="466">
        <v>0</v>
      </c>
      <c r="K24" s="466">
        <v>0</v>
      </c>
      <c r="L24" s="466">
        <v>0</v>
      </c>
      <c r="M24" s="466">
        <v>0</v>
      </c>
      <c r="N24" s="466">
        <v>0</v>
      </c>
      <c r="O24" s="466">
        <v>0</v>
      </c>
      <c r="P24" s="466">
        <v>0</v>
      </c>
      <c r="Q24" s="466">
        <v>0</v>
      </c>
      <c r="R24" s="466"/>
      <c r="S24" s="466"/>
    </row>
    <row r="25" spans="1:19" x14ac:dyDescent="0.2">
      <c r="B25" s="374">
        <v>2010</v>
      </c>
      <c r="C25" s="469" t="e">
        <f t="shared" si="1"/>
        <v>#VALUE!</v>
      </c>
      <c r="D25" s="466">
        <f>'FRAFU DEAL'!J160</f>
        <v>63180</v>
      </c>
      <c r="E25" s="466" t="e">
        <f>'LBU DEAL'!K412</f>
        <v>#VALUE!</v>
      </c>
      <c r="F25" s="466">
        <v>0</v>
      </c>
      <c r="G25" s="466">
        <v>0</v>
      </c>
      <c r="H25" s="466">
        <v>0</v>
      </c>
      <c r="I25" s="466">
        <v>0</v>
      </c>
      <c r="J25" s="466">
        <v>0</v>
      </c>
      <c r="K25" s="466">
        <v>0</v>
      </c>
      <c r="L25" s="466">
        <v>0</v>
      </c>
      <c r="M25" s="466">
        <f>+TCO!L21</f>
        <v>68000</v>
      </c>
      <c r="N25" s="466">
        <v>0</v>
      </c>
      <c r="O25" s="466">
        <v>0</v>
      </c>
      <c r="P25" s="466">
        <v>0</v>
      </c>
      <c r="Q25" s="466">
        <f>+'OFFICE DE L''EAU'!K19</f>
        <v>70114.53</v>
      </c>
      <c r="R25" s="466"/>
      <c r="S25" s="466"/>
    </row>
    <row r="26" spans="1:19" x14ac:dyDescent="0.2">
      <c r="B26" s="374">
        <v>2011</v>
      </c>
      <c r="C26" s="469" t="e">
        <f t="shared" si="1"/>
        <v>#VALUE!</v>
      </c>
      <c r="D26" s="466">
        <f>'FRAFU DEAL'!J161</f>
        <v>1113274</v>
      </c>
      <c r="E26" s="466" t="e">
        <f>'LBU DEAL'!K413</f>
        <v>#VALUE!</v>
      </c>
      <c r="F26" s="466">
        <v>0</v>
      </c>
      <c r="G26" s="466">
        <v>0</v>
      </c>
      <c r="H26" s="466">
        <v>0</v>
      </c>
      <c r="I26" s="466">
        <f>REGION!I34</f>
        <v>735403.9</v>
      </c>
      <c r="J26" s="466">
        <v>0</v>
      </c>
      <c r="K26" s="466">
        <v>0</v>
      </c>
      <c r="L26" s="466">
        <f>+FEDER!O18</f>
        <v>124127.96</v>
      </c>
      <c r="M26" s="466">
        <v>0</v>
      </c>
      <c r="N26" s="466">
        <f>ADEME!F29</f>
        <v>12800</v>
      </c>
      <c r="O26" s="466">
        <f>+'PETITE ILE'!J22</f>
        <v>620000</v>
      </c>
      <c r="P26" s="466">
        <v>0</v>
      </c>
      <c r="Q26" s="466">
        <v>0</v>
      </c>
      <c r="R26" s="466"/>
      <c r="S26" s="466"/>
    </row>
    <row r="27" spans="1:19" x14ac:dyDescent="0.2">
      <c r="B27" s="374">
        <v>2012</v>
      </c>
      <c r="C27" s="469" t="e">
        <f t="shared" si="1"/>
        <v>#VALUE!</v>
      </c>
      <c r="D27" s="466">
        <f>'FRAFU DEAL'!J162</f>
        <v>1260319.3</v>
      </c>
      <c r="E27" s="466" t="e">
        <f>'LBU DEAL'!K414</f>
        <v>#VALUE!</v>
      </c>
      <c r="F27" s="466">
        <v>0</v>
      </c>
      <c r="G27" s="466">
        <f>'ST LEU'!K58</f>
        <v>369138.64</v>
      </c>
      <c r="H27" s="466">
        <f>CAF!M48</f>
        <v>28000</v>
      </c>
      <c r="I27" s="466">
        <f>REGION!I35</f>
        <v>0</v>
      </c>
      <c r="J27" s="466">
        <v>0</v>
      </c>
      <c r="K27" s="466">
        <v>0</v>
      </c>
      <c r="L27" s="466">
        <f>+FEDER!O19</f>
        <v>117869.62</v>
      </c>
      <c r="M27" s="466">
        <f>+TCO!L22</f>
        <v>204000</v>
      </c>
      <c r="N27" s="466">
        <f>ADEME!F30</f>
        <v>0</v>
      </c>
      <c r="O27" s="466">
        <f>+'PETITE ILE'!K23</f>
        <v>611901</v>
      </c>
      <c r="P27" s="466">
        <v>0</v>
      </c>
      <c r="Q27" s="466">
        <v>0</v>
      </c>
      <c r="R27" s="466"/>
      <c r="S27" s="466"/>
    </row>
    <row r="28" spans="1:19" x14ac:dyDescent="0.2">
      <c r="B28" s="374">
        <v>2013</v>
      </c>
      <c r="C28" s="469" t="e">
        <f t="shared" si="1"/>
        <v>#VALUE!</v>
      </c>
      <c r="D28" s="466">
        <f>'FRAFU DEAL'!J163</f>
        <v>2866858.28</v>
      </c>
      <c r="E28" s="466" t="e">
        <f>'LBU DEAL'!K415</f>
        <v>#VALUE!</v>
      </c>
      <c r="F28" s="466">
        <v>0</v>
      </c>
      <c r="G28" s="466">
        <f>'ST LEU'!K59</f>
        <v>328396.61000000004</v>
      </c>
      <c r="H28" s="466">
        <f>CAF!M49</f>
        <v>175000</v>
      </c>
      <c r="I28" s="466">
        <f>REGION!I36</f>
        <v>205000</v>
      </c>
      <c r="J28" s="466">
        <v>0</v>
      </c>
      <c r="K28" s="466">
        <v>0</v>
      </c>
      <c r="L28" s="466">
        <v>0</v>
      </c>
      <c r="M28" s="466">
        <f>+TCO!L23</f>
        <v>87788.59</v>
      </c>
      <c r="N28" s="466">
        <f>ADEME!F31</f>
        <v>0</v>
      </c>
      <c r="O28" s="466">
        <v>0</v>
      </c>
      <c r="P28" s="466">
        <v>0</v>
      </c>
      <c r="Q28" s="466">
        <v>0</v>
      </c>
      <c r="R28" s="466"/>
      <c r="S28" s="466"/>
    </row>
    <row r="29" spans="1:19" x14ac:dyDescent="0.2">
      <c r="B29" s="374">
        <v>2014</v>
      </c>
      <c r="C29" s="469" t="e">
        <f t="shared" si="1"/>
        <v>#VALUE!</v>
      </c>
      <c r="D29" s="466">
        <f>'FRAFU DEAL'!J164</f>
        <v>2269922.3799999994</v>
      </c>
      <c r="E29" s="466" t="e">
        <f>'LBU DEAL'!K416</f>
        <v>#VALUE!</v>
      </c>
      <c r="F29" s="466">
        <v>0</v>
      </c>
      <c r="G29" s="466">
        <f>'ST LEU'!K60</f>
        <v>3077009.68</v>
      </c>
      <c r="H29" s="466">
        <f>CAF!M50</f>
        <v>190000</v>
      </c>
      <c r="I29" s="466">
        <f>REGION!I37</f>
        <v>94683.18</v>
      </c>
      <c r="J29" s="466">
        <v>0</v>
      </c>
      <c r="K29" s="466">
        <v>0</v>
      </c>
      <c r="L29" s="466">
        <f>+FEDER!O20</f>
        <v>809277.2</v>
      </c>
      <c r="M29" s="466">
        <f>+TCO!L24</f>
        <v>20808.98</v>
      </c>
      <c r="N29" s="466">
        <f>ADEME!F32</f>
        <v>7680</v>
      </c>
      <c r="O29" s="466">
        <v>0</v>
      </c>
      <c r="P29" s="466">
        <v>0</v>
      </c>
      <c r="Q29" s="466">
        <v>0</v>
      </c>
      <c r="R29" s="466"/>
      <c r="S29" s="466"/>
    </row>
    <row r="30" spans="1:19" x14ac:dyDescent="0.2">
      <c r="B30" s="374">
        <v>2015</v>
      </c>
      <c r="C30" s="469" t="e">
        <f t="shared" si="1"/>
        <v>#VALUE!</v>
      </c>
      <c r="D30" s="466">
        <f>'FRAFU DEAL'!J165</f>
        <v>3264503.62</v>
      </c>
      <c r="E30" s="466" t="e">
        <f>'LBU DEAL'!K417</f>
        <v>#VALUE!</v>
      </c>
      <c r="F30" s="466">
        <v>0</v>
      </c>
      <c r="G30" s="466">
        <f>'ST LEU'!K61</f>
        <v>443115.66000000003</v>
      </c>
      <c r="H30" s="466">
        <f>CAF!M51</f>
        <v>269500</v>
      </c>
      <c r="I30" s="466">
        <f>REGION!I38</f>
        <v>544244.53</v>
      </c>
      <c r="J30" s="466">
        <v>0</v>
      </c>
      <c r="K30" s="466">
        <f>DIECCTE!E7</f>
        <v>66848.639999999999</v>
      </c>
      <c r="L30" s="466">
        <f>+FEDER!O21</f>
        <v>499678.77</v>
      </c>
      <c r="M30" s="466">
        <f>+TCO!L25</f>
        <v>70000</v>
      </c>
      <c r="N30" s="466">
        <f>ADEME!F33</f>
        <v>5120</v>
      </c>
      <c r="O30" s="466">
        <f>+'PETITE ILE'!J24</f>
        <v>594513</v>
      </c>
      <c r="P30" s="466">
        <v>0</v>
      </c>
      <c r="Q30" s="466">
        <f>+'OFFICE DE L''EAU'!K20</f>
        <v>154953.03</v>
      </c>
      <c r="R30" s="466">
        <f>+'ETANG-SALE'!E6</f>
        <v>1085000</v>
      </c>
      <c r="S30" s="466"/>
    </row>
    <row r="31" spans="1:19" x14ac:dyDescent="0.2">
      <c r="B31" s="374">
        <v>2016</v>
      </c>
      <c r="C31" s="469" t="e">
        <f t="shared" si="1"/>
        <v>#VALUE!</v>
      </c>
      <c r="D31" s="466">
        <f>'FRAFU DEAL'!J166</f>
        <v>3128172.4920000001</v>
      </c>
      <c r="E31" s="466" t="e">
        <f>'LBU DEAL'!K418</f>
        <v>#VALUE!</v>
      </c>
      <c r="F31" s="466">
        <v>0</v>
      </c>
      <c r="G31" s="466">
        <f>'ST LEU'!K62</f>
        <v>0</v>
      </c>
      <c r="H31" s="466">
        <f>CAF!M52</f>
        <v>135000</v>
      </c>
      <c r="I31" s="466">
        <f>REGION!I39</f>
        <v>205000</v>
      </c>
      <c r="J31" s="466">
        <v>0</v>
      </c>
      <c r="K31" s="466">
        <v>0</v>
      </c>
      <c r="L31" s="466">
        <f>+FEDER!O22</f>
        <v>0</v>
      </c>
      <c r="M31" s="466">
        <v>0</v>
      </c>
      <c r="N31" s="466">
        <f>ADEME!F34</f>
        <v>0</v>
      </c>
      <c r="O31" s="466">
        <f>+'PETITE ILE'!J25</f>
        <v>0</v>
      </c>
      <c r="P31" s="466">
        <f>+EDF!L90</f>
        <v>236124.36</v>
      </c>
      <c r="Q31" s="466">
        <v>0</v>
      </c>
      <c r="R31" s="466"/>
      <c r="S31" s="466">
        <f>+'ST JOSEPH'!K21</f>
        <v>109246.59</v>
      </c>
    </row>
    <row r="32" spans="1:19" x14ac:dyDescent="0.2">
      <c r="A32" s="543" t="e">
        <f>C32/C31</f>
        <v>#VALUE!</v>
      </c>
      <c r="B32" s="374">
        <v>2017</v>
      </c>
      <c r="C32" s="469" t="e">
        <f t="shared" si="1"/>
        <v>#VALUE!</v>
      </c>
      <c r="D32" s="466">
        <f>'FRAFU DEAL'!J167</f>
        <v>1630791.08</v>
      </c>
      <c r="E32" s="466" t="e">
        <f>'LBU DEAL'!K419</f>
        <v>#VALUE!</v>
      </c>
      <c r="F32" s="466">
        <v>0</v>
      </c>
      <c r="G32" s="466">
        <f>'ST LEU'!K63</f>
        <v>41383.379999999997</v>
      </c>
      <c r="H32" s="466">
        <f>CAF!M53</f>
        <v>288000</v>
      </c>
      <c r="I32" s="466">
        <f>REGION!I40</f>
        <v>0</v>
      </c>
      <c r="J32" s="466">
        <v>0</v>
      </c>
      <c r="K32" s="466">
        <v>0</v>
      </c>
      <c r="L32" s="466">
        <f>+FEDER!O23</f>
        <v>0</v>
      </c>
      <c r="M32" s="466">
        <v>0</v>
      </c>
      <c r="N32" s="466">
        <f>ADEME!F35</f>
        <v>7700</v>
      </c>
      <c r="O32" s="466">
        <v>0</v>
      </c>
      <c r="P32" s="466">
        <f>+EDF!L91</f>
        <v>495438.09499999997</v>
      </c>
      <c r="Q32" s="466">
        <v>0</v>
      </c>
      <c r="R32" s="466"/>
      <c r="S32" s="466">
        <f>+'ST JOSEPH'!K22</f>
        <v>146111.1</v>
      </c>
    </row>
    <row r="33" spans="1:19" x14ac:dyDescent="0.2">
      <c r="A33" s="543"/>
      <c r="B33" s="374">
        <v>2018</v>
      </c>
      <c r="C33" s="469" t="e">
        <f t="shared" si="1"/>
        <v>#VALUE!</v>
      </c>
      <c r="D33" s="466">
        <f>'FRAFU DEAL'!J168</f>
        <v>1325881.7780000002</v>
      </c>
      <c r="E33" s="466" t="e">
        <f>'LBU DEAL'!K420</f>
        <v>#VALUE!</v>
      </c>
      <c r="F33" s="466">
        <f>'LBU REHAB'!K63</f>
        <v>244390</v>
      </c>
      <c r="G33" s="466">
        <f>'ST LEU'!K64</f>
        <v>0</v>
      </c>
      <c r="H33" s="466">
        <f>CAF!M54</f>
        <v>124500</v>
      </c>
      <c r="I33" s="466">
        <f>REGION!I41</f>
        <v>941484.5</v>
      </c>
      <c r="J33" s="466">
        <f>RECTORAT!I7+RECTORAT!I11</f>
        <v>941484.5</v>
      </c>
      <c r="K33" s="466">
        <v>0</v>
      </c>
      <c r="L33" s="466">
        <v>0</v>
      </c>
      <c r="M33" s="466">
        <v>0</v>
      </c>
      <c r="N33" s="466">
        <f>ADEME!F36</f>
        <v>30380</v>
      </c>
      <c r="O33" s="466">
        <f>+'PETITE ILE'!J26</f>
        <v>46021.32</v>
      </c>
      <c r="P33" s="466">
        <f>+EDF!L92</f>
        <v>435832.05645000003</v>
      </c>
      <c r="Q33" s="466"/>
      <c r="R33" s="466">
        <f>'ETANG-SALE'!E8+'ETANG-SALE'!E10</f>
        <v>1085000</v>
      </c>
      <c r="S33" s="466">
        <f>+'ST JOSEPH'!K23</f>
        <v>109246.59</v>
      </c>
    </row>
    <row r="34" spans="1:19" x14ac:dyDescent="0.2">
      <c r="A34" s="543"/>
      <c r="B34" s="374">
        <v>2019</v>
      </c>
      <c r="C34" s="469" t="e">
        <f>SUM(D34:S34)</f>
        <v>#VALUE!</v>
      </c>
      <c r="D34" s="466">
        <f>'FRAFU DEAL'!J169</f>
        <v>360352.48</v>
      </c>
      <c r="E34" s="466" t="e">
        <f>'LBU DEAL'!K421</f>
        <v>#VALUE!</v>
      </c>
      <c r="F34" s="466">
        <f>'LBU REHAB'!K64</f>
        <v>525915.17299999995</v>
      </c>
      <c r="G34" s="466">
        <v>0</v>
      </c>
      <c r="H34" s="466">
        <v>0</v>
      </c>
      <c r="I34" s="466">
        <f>REGION!I42</f>
        <v>470742.25</v>
      </c>
      <c r="J34" s="466"/>
      <c r="K34" s="466">
        <v>0</v>
      </c>
      <c r="L34" s="466">
        <v>0</v>
      </c>
      <c r="M34" s="466">
        <v>0</v>
      </c>
      <c r="N34" s="466">
        <f>ADEME!F37</f>
        <v>1575</v>
      </c>
      <c r="O34" s="466">
        <f>'PETITE ILE'!J27</f>
        <v>0</v>
      </c>
      <c r="P34" s="466">
        <f>EDF!L93</f>
        <v>278099.08240000001</v>
      </c>
      <c r="Q34" s="466"/>
      <c r="R34" s="466"/>
      <c r="S34" s="466"/>
    </row>
    <row r="35" spans="1:19" x14ac:dyDescent="0.2">
      <c r="B35" s="373"/>
      <c r="C35" s="468" t="e">
        <f>SUM(C23:C34)</f>
        <v>#VALUE!</v>
      </c>
      <c r="D35" s="468">
        <f t="shared" ref="D35:M35" si="2">SUM(D23:D34)</f>
        <v>19011413.210000001</v>
      </c>
      <c r="E35" s="468" t="e">
        <f t="shared" si="2"/>
        <v>#VALUE!</v>
      </c>
      <c r="F35" s="468">
        <f t="shared" si="2"/>
        <v>770305.17299999995</v>
      </c>
      <c r="G35" s="468">
        <f t="shared" si="2"/>
        <v>4259043.97</v>
      </c>
      <c r="H35" s="468">
        <f t="shared" si="2"/>
        <v>1210000</v>
      </c>
      <c r="I35" s="468">
        <f t="shared" si="2"/>
        <v>3196558.3600000003</v>
      </c>
      <c r="J35" s="468">
        <f t="shared" si="2"/>
        <v>941484.5</v>
      </c>
      <c r="K35" s="468">
        <f t="shared" si="2"/>
        <v>66848.639999999999</v>
      </c>
      <c r="L35" s="468">
        <f t="shared" si="2"/>
        <v>1550953.55</v>
      </c>
      <c r="M35" s="468">
        <f t="shared" si="2"/>
        <v>450597.56999999995</v>
      </c>
      <c r="N35" s="468">
        <f>SUM(N23:N34)</f>
        <v>65255</v>
      </c>
      <c r="O35" s="468">
        <f t="shared" ref="O35:S35" si="3">SUM(O23:O34)</f>
        <v>1872435.32</v>
      </c>
      <c r="P35" s="468">
        <f t="shared" si="3"/>
        <v>1445493.5938500001</v>
      </c>
      <c r="Q35" s="468">
        <f t="shared" si="3"/>
        <v>225067.56</v>
      </c>
      <c r="R35" s="468">
        <f t="shared" si="3"/>
        <v>2170000</v>
      </c>
      <c r="S35" s="468">
        <f t="shared" si="3"/>
        <v>364604.28</v>
      </c>
    </row>
    <row r="36" spans="1:19" s="460" customFormat="1" x14ac:dyDescent="0.2">
      <c r="B36" s="458"/>
      <c r="C36" s="458"/>
      <c r="D36" s="459">
        <f>D35-'FRAFU DEAL'!J170</f>
        <v>0</v>
      </c>
      <c r="E36" s="459" t="e">
        <f>E35-'LBU DEAL'!K422</f>
        <v>#VALUE!</v>
      </c>
      <c r="F36" s="459">
        <f>F35-'LBU REHAB'!K65</f>
        <v>0</v>
      </c>
      <c r="G36" s="459">
        <f>G35-'ST LEU'!K65</f>
        <v>0</v>
      </c>
      <c r="H36" s="459">
        <f>H35-CAF!M55</f>
        <v>0</v>
      </c>
      <c r="I36" s="459">
        <f>I35-REGION!$I$43</f>
        <v>0</v>
      </c>
      <c r="J36" s="895"/>
      <c r="L36" s="185">
        <f>+L35-FEDER!O24</f>
        <v>0</v>
      </c>
      <c r="M36" s="185">
        <f>+M35-TCO!L26</f>
        <v>0</v>
      </c>
      <c r="N36" s="185">
        <f>+N35-ADEME!F26</f>
        <v>0</v>
      </c>
      <c r="O36" s="185">
        <f>+O35-'PETITE ILE'!J28</f>
        <v>0</v>
      </c>
      <c r="P36" s="185">
        <f>+P35-EDF!L94</f>
        <v>0</v>
      </c>
      <c r="Q36" s="185">
        <f>+Q35-'OFFICE DE L''EAU'!K21</f>
        <v>0</v>
      </c>
      <c r="R36" s="185">
        <f>+R35-'ETANG-SALE'!E12</f>
        <v>0</v>
      </c>
      <c r="S36" s="185">
        <f>+S35-'ST JOSEPH'!K25</f>
        <v>0</v>
      </c>
    </row>
    <row r="39" spans="1:19" ht="15.75" x14ac:dyDescent="0.25">
      <c r="B39" s="930" t="s">
        <v>387</v>
      </c>
      <c r="C39" s="930"/>
      <c r="D39" s="931" t="s">
        <v>94</v>
      </c>
      <c r="E39" s="931" t="s">
        <v>93</v>
      </c>
      <c r="F39" s="931" t="s">
        <v>377</v>
      </c>
      <c r="G39" s="931" t="s">
        <v>260</v>
      </c>
      <c r="H39" s="931" t="s">
        <v>72</v>
      </c>
      <c r="I39" s="931" t="s">
        <v>75</v>
      </c>
      <c r="J39" s="931" t="s">
        <v>376</v>
      </c>
      <c r="K39" s="931" t="s">
        <v>74</v>
      </c>
      <c r="L39" s="931" t="s">
        <v>73</v>
      </c>
      <c r="M39" s="931" t="s">
        <v>76</v>
      </c>
      <c r="N39" s="931" t="s">
        <v>261</v>
      </c>
      <c r="O39" s="931" t="s">
        <v>262</v>
      </c>
      <c r="P39" s="931" t="s">
        <v>263</v>
      </c>
      <c r="Q39" s="931" t="s">
        <v>264</v>
      </c>
      <c r="R39" s="931" t="s">
        <v>265</v>
      </c>
      <c r="S39" s="931" t="s">
        <v>266</v>
      </c>
    </row>
    <row r="40" spans="1:19" x14ac:dyDescent="0.2">
      <c r="B40" s="931">
        <v>2006</v>
      </c>
      <c r="C40" s="932">
        <f t="shared" ref="C40:C52" si="4">SUM(D40:S40)</f>
        <v>135000</v>
      </c>
      <c r="D40" s="934">
        <f>'FRAFU DEAL'!M158</f>
        <v>135000</v>
      </c>
      <c r="E40" s="934"/>
      <c r="F40" s="934"/>
      <c r="G40" s="934"/>
      <c r="H40" s="934"/>
      <c r="I40" s="934"/>
      <c r="J40" s="934"/>
      <c r="K40" s="934"/>
      <c r="L40" s="934"/>
      <c r="M40" s="934"/>
      <c r="N40" s="934"/>
      <c r="O40" s="934"/>
      <c r="P40" s="934"/>
      <c r="Q40" s="934"/>
      <c r="R40" s="934"/>
      <c r="S40" s="934"/>
    </row>
    <row r="41" spans="1:19" x14ac:dyDescent="0.2">
      <c r="B41" s="931">
        <v>2007</v>
      </c>
      <c r="C41" s="932">
        <f t="shared" si="4"/>
        <v>1593157.8</v>
      </c>
      <c r="D41" s="934">
        <f>'FRAFU DEAL'!M159</f>
        <v>1593157.8</v>
      </c>
      <c r="E41" s="934"/>
      <c r="F41" s="934"/>
      <c r="G41" s="934"/>
      <c r="H41" s="934"/>
      <c r="I41" s="934"/>
      <c r="J41" s="934"/>
      <c r="K41" s="934"/>
      <c r="L41" s="934"/>
      <c r="M41" s="934"/>
      <c r="N41" s="934"/>
      <c r="O41" s="934"/>
      <c r="P41" s="934"/>
      <c r="Q41" s="934"/>
      <c r="R41" s="934"/>
      <c r="S41" s="934"/>
    </row>
    <row r="42" spans="1:19" x14ac:dyDescent="0.2">
      <c r="B42" s="931">
        <v>2009</v>
      </c>
      <c r="C42" s="932">
        <f t="shared" si="4"/>
        <v>830071.5</v>
      </c>
      <c r="D42" s="934"/>
      <c r="E42" s="934">
        <f>'LBU DEAL'!N411</f>
        <v>830071.5</v>
      </c>
      <c r="F42" s="934"/>
      <c r="G42" s="934"/>
      <c r="H42" s="934"/>
      <c r="I42" s="934"/>
      <c r="J42" s="934"/>
      <c r="K42" s="934"/>
      <c r="L42" s="934"/>
      <c r="M42" s="934"/>
      <c r="N42" s="934"/>
      <c r="O42" s="934"/>
      <c r="P42" s="934"/>
      <c r="Q42" s="934"/>
      <c r="R42" s="934"/>
      <c r="S42" s="934"/>
    </row>
    <row r="43" spans="1:19" x14ac:dyDescent="0.2">
      <c r="B43" s="931">
        <v>2010</v>
      </c>
      <c r="C43" s="932">
        <f t="shared" si="4"/>
        <v>1272363.46</v>
      </c>
      <c r="D43" s="934">
        <f>'FRAFU DEAL'!M160</f>
        <v>63180</v>
      </c>
      <c r="E43" s="934">
        <f>'LBU DEAL'!N412</f>
        <v>1071068.93</v>
      </c>
      <c r="F43" s="934"/>
      <c r="G43" s="934"/>
      <c r="H43" s="934"/>
      <c r="I43" s="934"/>
      <c r="J43" s="934"/>
      <c r="K43" s="934"/>
      <c r="L43" s="934"/>
      <c r="M43" s="934">
        <f>TCO!M21</f>
        <v>68000</v>
      </c>
      <c r="N43" s="934"/>
      <c r="O43" s="934"/>
      <c r="P43" s="934"/>
      <c r="Q43" s="934">
        <f>'OFFICE DE L''EAU'!L19</f>
        <v>70114.53</v>
      </c>
      <c r="R43" s="934"/>
      <c r="S43" s="934"/>
    </row>
    <row r="44" spans="1:19" x14ac:dyDescent="0.2">
      <c r="B44" s="931">
        <v>2011</v>
      </c>
      <c r="C44" s="932">
        <f t="shared" si="4"/>
        <v>4202122.32</v>
      </c>
      <c r="D44" s="934">
        <f>'FRAFU DEAL'!M161</f>
        <v>964320</v>
      </c>
      <c r="E44" s="934">
        <f>'LBU DEAL'!N413</f>
        <v>1745441.3800000001</v>
      </c>
      <c r="F44" s="934"/>
      <c r="G44" s="934"/>
      <c r="H44" s="934"/>
      <c r="I44" s="934">
        <f>REGION!L34</f>
        <v>735403.9</v>
      </c>
      <c r="J44" s="934"/>
      <c r="K44" s="934"/>
      <c r="L44" s="934">
        <f>FEDER!P18</f>
        <v>124157.04</v>
      </c>
      <c r="M44" s="934"/>
      <c r="N44" s="934">
        <f>ADEME!I29</f>
        <v>12800</v>
      </c>
      <c r="O44" s="934">
        <f>'PETITE ILE'!K22</f>
        <v>620000</v>
      </c>
      <c r="P44" s="934"/>
      <c r="Q44" s="934"/>
      <c r="R44" s="934"/>
      <c r="S44" s="934"/>
    </row>
    <row r="45" spans="1:19" x14ac:dyDescent="0.2">
      <c r="B45" s="931">
        <v>2012</v>
      </c>
      <c r="C45" s="932">
        <f t="shared" si="4"/>
        <v>4346157.3699999992</v>
      </c>
      <c r="D45" s="934">
        <f>'FRAFU DEAL'!M162</f>
        <v>1285783.17</v>
      </c>
      <c r="E45" s="934">
        <f>'LBU DEAL'!N414</f>
        <v>2192494.3899999997</v>
      </c>
      <c r="F45" s="934"/>
      <c r="G45" s="934">
        <f>'ST LEU'!L58</f>
        <v>23978.81</v>
      </c>
      <c r="H45" s="934">
        <f>CAF!N48</f>
        <v>28000</v>
      </c>
      <c r="I45" s="934">
        <f>REGION!L35</f>
        <v>0</v>
      </c>
      <c r="J45" s="934"/>
      <c r="K45" s="934"/>
      <c r="L45" s="934">
        <f>FEDER!P19</f>
        <v>0</v>
      </c>
      <c r="M45" s="934">
        <f>TCO!M22</f>
        <v>204000</v>
      </c>
      <c r="N45" s="934">
        <f>ADEME!I30</f>
        <v>0</v>
      </c>
      <c r="O45" s="934">
        <f>'PETITE ILE'!K23</f>
        <v>611901</v>
      </c>
      <c r="P45" s="934"/>
      <c r="Q45" s="934"/>
      <c r="R45" s="934"/>
      <c r="S45" s="934"/>
    </row>
    <row r="46" spans="1:19" x14ac:dyDescent="0.2">
      <c r="B46" s="931">
        <v>2013</v>
      </c>
      <c r="C46" s="932">
        <f t="shared" si="4"/>
        <v>4306821.28</v>
      </c>
      <c r="D46" s="934">
        <f>'FRAFU DEAL'!M163</f>
        <v>655454.87</v>
      </c>
      <c r="E46" s="934">
        <f>'LBU DEAL'!N415</f>
        <v>3091587.22</v>
      </c>
      <c r="F46" s="934"/>
      <c r="G46" s="934">
        <f>'ST LEU'!L59</f>
        <v>91990.6</v>
      </c>
      <c r="H46" s="934">
        <f>CAF!N49</f>
        <v>175000</v>
      </c>
      <c r="I46" s="934">
        <f>REGION!L36</f>
        <v>205000</v>
      </c>
      <c r="J46" s="934"/>
      <c r="K46" s="934"/>
      <c r="L46" s="934">
        <f>FEDER!P20</f>
        <v>0</v>
      </c>
      <c r="M46" s="934">
        <f>TCO!M23</f>
        <v>87788.59</v>
      </c>
      <c r="N46" s="934">
        <f>ADEME!I31</f>
        <v>0</v>
      </c>
      <c r="O46" s="934"/>
      <c r="P46" s="934"/>
      <c r="Q46" s="934">
        <f>'OFFICE DE L''EAU'!L22</f>
        <v>0</v>
      </c>
      <c r="R46" s="934"/>
      <c r="S46" s="934"/>
    </row>
    <row r="47" spans="1:19" x14ac:dyDescent="0.2">
      <c r="B47" s="931">
        <v>2014</v>
      </c>
      <c r="C47" s="932">
        <f t="shared" si="4"/>
        <v>6602914.1699999999</v>
      </c>
      <c r="D47" s="934">
        <f>'FRAFU DEAL'!M164</f>
        <v>4460611.76</v>
      </c>
      <c r="E47" s="934">
        <f>'LBU DEAL'!N416</f>
        <v>1926685.98</v>
      </c>
      <c r="F47" s="934"/>
      <c r="G47" s="934">
        <f>'ST LEU'!L60</f>
        <v>71936.430000000008</v>
      </c>
      <c r="H47" s="934">
        <f>CAF!N50</f>
        <v>136000</v>
      </c>
      <c r="I47" s="934">
        <f>REGION!L37</f>
        <v>0</v>
      </c>
      <c r="J47" s="934"/>
      <c r="K47" s="934"/>
      <c r="L47" s="934"/>
      <c r="M47" s="934">
        <f>TCO!M25</f>
        <v>0</v>
      </c>
      <c r="N47" s="934">
        <f>ADEME!I32</f>
        <v>7680</v>
      </c>
      <c r="O47" s="934"/>
      <c r="P47" s="934"/>
      <c r="Q47" s="934">
        <f>'OFFICE DE L''EAU'!L23</f>
        <v>0</v>
      </c>
      <c r="R47" s="934"/>
      <c r="S47" s="934"/>
    </row>
    <row r="48" spans="1:19" x14ac:dyDescent="0.2">
      <c r="B48" s="931">
        <v>2015</v>
      </c>
      <c r="C48" s="932">
        <f>SUM(D48:S48)</f>
        <v>8716119.9100000001</v>
      </c>
      <c r="D48" s="934">
        <f>'FRAFU DEAL'!M165</f>
        <v>1769182.02</v>
      </c>
      <c r="E48" s="934">
        <f>'LBU DEAL'!N417</f>
        <v>3628789.28</v>
      </c>
      <c r="F48" s="934"/>
      <c r="G48" s="934">
        <f>'ST LEU'!L61</f>
        <v>827337.32000000007</v>
      </c>
      <c r="H48" s="934">
        <f>CAF!N51</f>
        <v>290500</v>
      </c>
      <c r="I48" s="934">
        <f>REGION!L38</f>
        <v>614035.68000000005</v>
      </c>
      <c r="J48" s="934"/>
      <c r="K48" s="934">
        <f>DIECCTE!H7</f>
        <v>57101.89</v>
      </c>
      <c r="L48" s="934">
        <f>FEDER!P21</f>
        <v>77802.69</v>
      </c>
      <c r="M48" s="934">
        <v>0</v>
      </c>
      <c r="N48" s="934">
        <f>ADEME!I33</f>
        <v>5120</v>
      </c>
      <c r="O48" s="934">
        <f>'PETITE ILE'!K24</f>
        <v>206298</v>
      </c>
      <c r="P48" s="934"/>
      <c r="Q48" s="934">
        <f>'OFFICE DE L''EAU'!L20</f>
        <v>154953.03</v>
      </c>
      <c r="R48" s="934">
        <f>'ETANG-SALE'!H6</f>
        <v>1085000</v>
      </c>
      <c r="S48" s="934"/>
    </row>
    <row r="49" spans="2:19" x14ac:dyDescent="0.2">
      <c r="B49" s="931">
        <v>2016</v>
      </c>
      <c r="C49" s="932">
        <f t="shared" si="4"/>
        <v>9999396.0099999998</v>
      </c>
      <c r="D49" s="934">
        <f>'FRAFU DEAL'!M166</f>
        <v>3898075.0300000003</v>
      </c>
      <c r="E49" s="934">
        <f>'LBU DEAL'!N418</f>
        <v>2546228.35</v>
      </c>
      <c r="F49" s="934"/>
      <c r="G49" s="934">
        <f>'ST LEU'!L62</f>
        <v>1442192.77</v>
      </c>
      <c r="H49" s="934">
        <f>CAF!N52</f>
        <v>168000</v>
      </c>
      <c r="I49" s="934">
        <f>REGION!L39</f>
        <v>105000</v>
      </c>
      <c r="J49" s="934"/>
      <c r="K49" s="934"/>
      <c r="L49" s="934">
        <f>FEDER!P22</f>
        <v>1290562.67</v>
      </c>
      <c r="M49" s="934">
        <f>TCO!M27</f>
        <v>0</v>
      </c>
      <c r="N49" s="934">
        <f>ADEME!I34</f>
        <v>0</v>
      </c>
      <c r="O49" s="934">
        <f>'PETITE ILE'!K25</f>
        <v>388215</v>
      </c>
      <c r="P49" s="934">
        <f>EDF!M90</f>
        <v>51875.6</v>
      </c>
      <c r="Q49" s="934"/>
      <c r="R49" s="934"/>
      <c r="S49" s="934">
        <f>'ST JOSEPH'!L21</f>
        <v>109246.59</v>
      </c>
    </row>
    <row r="50" spans="2:19" x14ac:dyDescent="0.2">
      <c r="B50" s="931">
        <v>2017</v>
      </c>
      <c r="C50" s="932">
        <f t="shared" si="4"/>
        <v>6505859.9199999999</v>
      </c>
      <c r="D50" s="934">
        <f>'FRAFU DEAL'!M167</f>
        <v>2215954.2799999998</v>
      </c>
      <c r="E50" s="934">
        <f>'LBU DEAL'!N419</f>
        <v>3620444.11</v>
      </c>
      <c r="F50" s="934"/>
      <c r="G50" s="934">
        <f>'ST LEU'!L63</f>
        <v>0</v>
      </c>
      <c r="H50" s="934">
        <f>CAF!N53</f>
        <v>288000</v>
      </c>
      <c r="I50" s="934">
        <f>REGION!L40</f>
        <v>100000</v>
      </c>
      <c r="J50" s="934"/>
      <c r="K50" s="934"/>
      <c r="L50" s="934">
        <v>0</v>
      </c>
      <c r="M50" s="934">
        <f>TCO!M28</f>
        <v>0</v>
      </c>
      <c r="N50" s="934">
        <f>ADEME!I35</f>
        <v>0</v>
      </c>
      <c r="O50" s="934"/>
      <c r="P50" s="934">
        <f>EDF!M91</f>
        <v>281461.53000000003</v>
      </c>
      <c r="Q50" s="934">
        <f>'OFFICE DE L''EAU'!L26</f>
        <v>0</v>
      </c>
      <c r="R50" s="934"/>
      <c r="S50" s="934">
        <f>'ST JOSEPH'!L22</f>
        <v>0</v>
      </c>
    </row>
    <row r="51" spans="2:19" x14ac:dyDescent="0.2">
      <c r="B51" s="931">
        <v>2018</v>
      </c>
      <c r="C51" s="932">
        <f>SUM(D51:S51)</f>
        <v>9227674.4900000002</v>
      </c>
      <c r="D51" s="934">
        <f>'FRAFU DEAL'!M168</f>
        <v>1554322.41</v>
      </c>
      <c r="E51" s="934">
        <f>'LBU DEAL'!N420</f>
        <v>4229192.16</v>
      </c>
      <c r="F51" s="934">
        <f>'LBU REHAB'!N63</f>
        <v>244390</v>
      </c>
      <c r="G51" s="934">
        <f>'ST LEU'!L64</f>
        <v>0</v>
      </c>
      <c r="H51" s="934">
        <f>CAF!N54</f>
        <v>124500</v>
      </c>
      <c r="I51" s="934">
        <f>REGION!L41</f>
        <v>941484.5</v>
      </c>
      <c r="J51" s="934">
        <f>RECTORAT!L7+RECTORAT!L11</f>
        <v>941484.5</v>
      </c>
      <c r="K51" s="934"/>
      <c r="L51" s="934">
        <f>FEDER!P25</f>
        <v>0</v>
      </c>
      <c r="M51" s="934">
        <f>TCO!M29</f>
        <v>0</v>
      </c>
      <c r="N51" s="934">
        <f>ADEME!I36</f>
        <v>38080</v>
      </c>
      <c r="O51" s="934">
        <f>'PETITE ILE'!K26</f>
        <v>46021.32</v>
      </c>
      <c r="P51" s="934">
        <f>EDF!M92</f>
        <v>310341.90999999997</v>
      </c>
      <c r="Q51" s="934">
        <f>'OFFICE DE L''EAU'!L27</f>
        <v>0</v>
      </c>
      <c r="R51" s="934">
        <f>'ETANG-SALE'!H10</f>
        <v>542500</v>
      </c>
      <c r="S51" s="934">
        <f>'ST JOSEPH'!L23</f>
        <v>255357.69</v>
      </c>
    </row>
    <row r="52" spans="2:19" x14ac:dyDescent="0.2">
      <c r="B52" s="931">
        <v>2019</v>
      </c>
      <c r="C52" s="932">
        <f t="shared" si="4"/>
        <v>2508891.3099999996</v>
      </c>
      <c r="D52" s="934">
        <f>'FRAFU DEAL'!M169</f>
        <v>198720</v>
      </c>
      <c r="E52" s="934">
        <f>'LBU DEAL'!N421</f>
        <v>1369555.2</v>
      </c>
      <c r="F52" s="934">
        <f>'LBU REHAB'!N64</f>
        <v>107938.4</v>
      </c>
      <c r="G52" s="934"/>
      <c r="H52" s="934"/>
      <c r="I52" s="934">
        <f>REGION!L42</f>
        <v>306961</v>
      </c>
      <c r="J52" s="934"/>
      <c r="K52" s="934"/>
      <c r="L52" s="934">
        <f>FEDER!P26</f>
        <v>0</v>
      </c>
      <c r="M52" s="934">
        <f>TCO!M30</f>
        <v>0</v>
      </c>
      <c r="N52" s="934">
        <f>ADEME!I37</f>
        <v>0</v>
      </c>
      <c r="O52" s="934">
        <f>'PETITE ILE'!K27</f>
        <v>0</v>
      </c>
      <c r="P52" s="934">
        <f>EDF!M93</f>
        <v>525716.71</v>
      </c>
      <c r="Q52" s="934">
        <f>'OFFICE DE L''EAU'!L28</f>
        <v>0</v>
      </c>
      <c r="R52" s="934"/>
      <c r="S52" s="934">
        <f>'ST JOSEPH'!L24</f>
        <v>0</v>
      </c>
    </row>
    <row r="53" spans="2:19" x14ac:dyDescent="0.2">
      <c r="B53" s="373"/>
      <c r="C53" s="933">
        <f>SUM(C40:C52)</f>
        <v>60246549.540000007</v>
      </c>
      <c r="D53" s="933">
        <f t="shared" ref="D53:F53" si="5">SUM(D40:D52)</f>
        <v>18793761.34</v>
      </c>
      <c r="E53" s="933">
        <f t="shared" si="5"/>
        <v>26251558.5</v>
      </c>
      <c r="F53" s="933">
        <f t="shared" si="5"/>
        <v>352328.4</v>
      </c>
      <c r="G53" s="933">
        <f t="shared" ref="G53:M53" si="6">SUM(G40:G52)</f>
        <v>2457435.9300000002</v>
      </c>
      <c r="H53" s="933">
        <f t="shared" si="6"/>
        <v>1210000</v>
      </c>
      <c r="I53" s="933">
        <f t="shared" si="6"/>
        <v>3007885.08</v>
      </c>
      <c r="J53" s="933">
        <f t="shared" si="6"/>
        <v>941484.5</v>
      </c>
      <c r="K53" s="933">
        <f t="shared" si="6"/>
        <v>57101.89</v>
      </c>
      <c r="L53" s="933">
        <f t="shared" si="6"/>
        <v>1492522.4</v>
      </c>
      <c r="M53" s="933">
        <f t="shared" si="6"/>
        <v>359788.58999999997</v>
      </c>
      <c r="N53" s="933">
        <f>SUM(N40:N52)</f>
        <v>63680</v>
      </c>
      <c r="O53" s="933">
        <f t="shared" ref="O53:S53" si="7">SUM(O40:O52)</f>
        <v>1872435.32</v>
      </c>
      <c r="P53" s="933">
        <f t="shared" si="7"/>
        <v>1169395.75</v>
      </c>
      <c r="Q53" s="933">
        <f t="shared" si="7"/>
        <v>225067.56</v>
      </c>
      <c r="R53" s="933">
        <f t="shared" si="7"/>
        <v>1627500</v>
      </c>
      <c r="S53" s="933">
        <f t="shared" si="7"/>
        <v>364604.28</v>
      </c>
    </row>
    <row r="54" spans="2:19" x14ac:dyDescent="0.2">
      <c r="B54" s="458"/>
      <c r="C54" s="458"/>
      <c r="D54" s="459">
        <f>D53-'FRAFU DEAL'!M170</f>
        <v>0</v>
      </c>
      <c r="E54" s="459">
        <f>E53-'LBU DEAL'!N422</f>
        <v>0</v>
      </c>
      <c r="F54" s="459">
        <f>F53-'LBU REHAB'!N65</f>
        <v>0</v>
      </c>
      <c r="G54" s="459">
        <f>G53-'ST LEU'!L65</f>
        <v>0</v>
      </c>
      <c r="H54" s="459">
        <f>H53-CAF!M55</f>
        <v>0</v>
      </c>
      <c r="I54" s="459">
        <f>I53-REGION!$L$43</f>
        <v>0</v>
      </c>
      <c r="J54" s="895">
        <f>J53-RECTORAT!L14</f>
        <v>0</v>
      </c>
      <c r="K54" s="185">
        <f>K53-DIECCTE!H11</f>
        <v>0</v>
      </c>
      <c r="L54" s="185">
        <f>L53-FEDER!P24</f>
        <v>0</v>
      </c>
      <c r="M54" s="185">
        <f>M53-TCO!M26</f>
        <v>0</v>
      </c>
      <c r="N54" s="185">
        <f>N53-ADEME!I38</f>
        <v>0</v>
      </c>
      <c r="O54" s="185">
        <f>O53-'PETITE ILE'!K28</f>
        <v>0</v>
      </c>
      <c r="P54" s="185">
        <f>P53-EDF!M94</f>
        <v>0</v>
      </c>
      <c r="Q54" s="185">
        <f>Q53-'OFFICE DE L''EAU'!L21</f>
        <v>0</v>
      </c>
      <c r="R54" s="185">
        <f>R53-'ETANG-SALE'!H12</f>
        <v>0</v>
      </c>
      <c r="S54" s="185">
        <f>S53-'ST JOSEPH'!L25</f>
        <v>0</v>
      </c>
    </row>
    <row r="55" spans="2:19" x14ac:dyDescent="0.2">
      <c r="C55" s="229" t="e">
        <f>SUM(D55:S55)</f>
        <v>#VALUE!</v>
      </c>
      <c r="D55" s="229">
        <f>D53-D35</f>
        <v>-217651.87000000104</v>
      </c>
      <c r="E55" s="229" t="e">
        <f t="shared" ref="E55:S55" si="8">E53-E35</f>
        <v>#VALUE!</v>
      </c>
      <c r="F55" s="229">
        <f t="shared" si="8"/>
        <v>-417976.77299999993</v>
      </c>
      <c r="G55" s="229">
        <f t="shared" si="8"/>
        <v>-1801608.0399999996</v>
      </c>
      <c r="H55" s="229">
        <f t="shared" si="8"/>
        <v>0</v>
      </c>
      <c r="I55" s="229">
        <f t="shared" si="8"/>
        <v>-188673.28000000026</v>
      </c>
      <c r="J55" s="229">
        <f t="shared" si="8"/>
        <v>0</v>
      </c>
      <c r="K55" s="229">
        <f t="shared" si="8"/>
        <v>-9746.75</v>
      </c>
      <c r="L55" s="229">
        <f t="shared" si="8"/>
        <v>-58431.15000000014</v>
      </c>
      <c r="M55" s="229">
        <f t="shared" si="8"/>
        <v>-90808.979999999981</v>
      </c>
      <c r="N55" s="229">
        <f t="shared" si="8"/>
        <v>-1575</v>
      </c>
      <c r="O55" s="229">
        <f t="shared" si="8"/>
        <v>0</v>
      </c>
      <c r="P55" s="229">
        <f t="shared" si="8"/>
        <v>-276097.84385000006</v>
      </c>
      <c r="Q55" s="229">
        <f t="shared" si="8"/>
        <v>0</v>
      </c>
      <c r="R55" s="229">
        <f t="shared" si="8"/>
        <v>-542500</v>
      </c>
      <c r="S55" s="229">
        <f t="shared" si="8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D21"/>
  <sheetViews>
    <sheetView workbookViewId="0">
      <selection sqref="A1:D19"/>
    </sheetView>
  </sheetViews>
  <sheetFormatPr baseColWidth="10" defaultRowHeight="12.75" x14ac:dyDescent="0.2"/>
  <cols>
    <col min="1" max="1" width="24.140625" style="917" customWidth="1"/>
    <col min="2" max="2" width="22.5703125" style="917" bestFit="1" customWidth="1"/>
    <col min="3" max="3" width="10.28515625" style="917" customWidth="1"/>
    <col min="4" max="4" width="11.28515625" style="917" bestFit="1" customWidth="1"/>
  </cols>
  <sheetData>
    <row r="1" spans="1:4" s="1062" customFormat="1" x14ac:dyDescent="0.2">
      <c r="A1" s="1063" t="s">
        <v>378</v>
      </c>
      <c r="B1" s="1063" t="s">
        <v>431</v>
      </c>
      <c r="C1" s="1063" t="s">
        <v>432</v>
      </c>
      <c r="D1" s="1063" t="s">
        <v>433</v>
      </c>
    </row>
    <row r="2" spans="1:4" x14ac:dyDescent="0.2">
      <c r="A2" s="918" t="s">
        <v>339</v>
      </c>
      <c r="B2" s="921" t="s">
        <v>340</v>
      </c>
      <c r="C2" s="922">
        <v>43334</v>
      </c>
      <c r="D2" s="923">
        <f>524564.45+131141.11</f>
        <v>655705.55999999994</v>
      </c>
    </row>
    <row r="3" spans="1:4" x14ac:dyDescent="0.2">
      <c r="A3" s="918" t="s">
        <v>354</v>
      </c>
      <c r="B3" s="921" t="s">
        <v>355</v>
      </c>
      <c r="C3" s="922">
        <v>43335</v>
      </c>
      <c r="D3" s="923">
        <v>136000</v>
      </c>
    </row>
    <row r="4" spans="1:4" x14ac:dyDescent="0.2">
      <c r="A4" s="918" t="s">
        <v>373</v>
      </c>
      <c r="B4" s="921" t="s">
        <v>356</v>
      </c>
      <c r="C4" s="922">
        <v>43335</v>
      </c>
      <c r="D4" s="923">
        <v>150000</v>
      </c>
    </row>
    <row r="5" spans="1:4" x14ac:dyDescent="0.2">
      <c r="A5" s="918" t="s">
        <v>357</v>
      </c>
      <c r="B5" s="921" t="s">
        <v>358</v>
      </c>
      <c r="C5" s="922">
        <v>43335</v>
      </c>
      <c r="D5" s="923">
        <v>115000</v>
      </c>
    </row>
    <row r="6" spans="1:4" x14ac:dyDescent="0.2">
      <c r="A6" s="918" t="s">
        <v>325</v>
      </c>
      <c r="B6" s="924" t="s">
        <v>324</v>
      </c>
      <c r="C6" s="916">
        <v>43287</v>
      </c>
      <c r="D6" s="925">
        <v>780000</v>
      </c>
    </row>
    <row r="7" spans="1:4" x14ac:dyDescent="0.2">
      <c r="A7" s="918" t="s">
        <v>331</v>
      </c>
      <c r="B7" s="924" t="s">
        <v>335</v>
      </c>
      <c r="C7" s="916">
        <v>43334</v>
      </c>
      <c r="D7" s="925">
        <v>418000</v>
      </c>
    </row>
    <row r="8" spans="1:4" x14ac:dyDescent="0.2">
      <c r="A8" s="918" t="s">
        <v>332</v>
      </c>
      <c r="B8" s="924" t="s">
        <v>336</v>
      </c>
      <c r="C8" s="916">
        <v>43334</v>
      </c>
      <c r="D8" s="925">
        <v>714000</v>
      </c>
    </row>
    <row r="9" spans="1:4" x14ac:dyDescent="0.2">
      <c r="A9" s="918" t="s">
        <v>333</v>
      </c>
      <c r="B9" s="924" t="s">
        <v>337</v>
      </c>
      <c r="C9" s="916">
        <v>43334</v>
      </c>
      <c r="D9" s="925">
        <v>323000</v>
      </c>
    </row>
    <row r="10" spans="1:4" x14ac:dyDescent="0.2">
      <c r="A10" s="918" t="s">
        <v>334</v>
      </c>
      <c r="B10" s="924" t="s">
        <v>338</v>
      </c>
      <c r="C10" s="916">
        <v>43334</v>
      </c>
      <c r="D10" s="925">
        <v>643500</v>
      </c>
    </row>
    <row r="11" spans="1:4" x14ac:dyDescent="0.2">
      <c r="A11" s="918" t="s">
        <v>349</v>
      </c>
      <c r="B11" s="924" t="s">
        <v>350</v>
      </c>
      <c r="C11" s="916">
        <v>43374</v>
      </c>
      <c r="D11" s="925">
        <v>741000</v>
      </c>
    </row>
    <row r="12" spans="1:4" x14ac:dyDescent="0.2">
      <c r="A12" s="918" t="s">
        <v>326</v>
      </c>
      <c r="B12" s="926" t="s">
        <v>327</v>
      </c>
      <c r="C12" s="916">
        <v>43255</v>
      </c>
      <c r="D12" s="925">
        <v>1227844</v>
      </c>
    </row>
    <row r="13" spans="1:4" x14ac:dyDescent="0.2">
      <c r="A13" s="918" t="s">
        <v>346</v>
      </c>
      <c r="B13" s="926" t="s">
        <v>347</v>
      </c>
      <c r="C13" s="916">
        <v>43285</v>
      </c>
      <c r="D13" s="925">
        <v>655125</v>
      </c>
    </row>
    <row r="14" spans="1:4" ht="24" x14ac:dyDescent="0.2">
      <c r="A14" s="918" t="s">
        <v>326</v>
      </c>
      <c r="B14" s="926" t="s">
        <v>330</v>
      </c>
      <c r="C14" s="916">
        <v>43283</v>
      </c>
      <c r="D14" s="925">
        <v>1227844</v>
      </c>
    </row>
    <row r="15" spans="1:4" ht="24" x14ac:dyDescent="0.2">
      <c r="A15" s="918" t="s">
        <v>346</v>
      </c>
      <c r="B15" s="926" t="s">
        <v>330</v>
      </c>
      <c r="C15" s="916">
        <v>43283</v>
      </c>
      <c r="D15" s="925">
        <v>655125</v>
      </c>
    </row>
    <row r="16" spans="1:4" x14ac:dyDescent="0.2">
      <c r="A16" s="919" t="s">
        <v>349</v>
      </c>
      <c r="B16" s="927" t="s">
        <v>323</v>
      </c>
      <c r="C16" s="928">
        <v>43206</v>
      </c>
      <c r="D16" s="929">
        <v>5600</v>
      </c>
    </row>
    <row r="17" spans="1:4" x14ac:dyDescent="0.2">
      <c r="A17" s="919" t="s">
        <v>366</v>
      </c>
      <c r="B17" s="927" t="s">
        <v>367</v>
      </c>
      <c r="C17" s="928">
        <v>43272</v>
      </c>
      <c r="D17" s="929">
        <v>1575</v>
      </c>
    </row>
    <row r="18" spans="1:4" x14ac:dyDescent="0.2">
      <c r="A18" s="918" t="s">
        <v>258</v>
      </c>
      <c r="B18" s="915" t="s">
        <v>369</v>
      </c>
      <c r="C18" s="916">
        <v>43136</v>
      </c>
      <c r="D18" s="925">
        <f>98780*1.085</f>
        <v>107176.3</v>
      </c>
    </row>
    <row r="19" spans="1:4" x14ac:dyDescent="0.2">
      <c r="A19" s="918" t="s">
        <v>419</v>
      </c>
      <c r="B19" s="1045" t="s">
        <v>420</v>
      </c>
      <c r="C19" s="916">
        <v>43622</v>
      </c>
      <c r="D19" s="925">
        <v>0</v>
      </c>
    </row>
    <row r="20" spans="1:4" x14ac:dyDescent="0.2">
      <c r="A20" s="918" t="s">
        <v>423</v>
      </c>
      <c r="B20" s="1045" t="s">
        <v>424</v>
      </c>
      <c r="C20" s="916">
        <v>43650</v>
      </c>
      <c r="D20" s="925">
        <v>0</v>
      </c>
    </row>
    <row r="21" spans="1:4" x14ac:dyDescent="0.2">
      <c r="D21" s="920">
        <f>SUM(D2:D20)</f>
        <v>8556494.8600000013</v>
      </c>
    </row>
  </sheetData>
  <autoFilter ref="A1:D19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T289"/>
  <sheetViews>
    <sheetView view="pageBreakPreview" zoomScaleNormal="70" zoomScaleSheetLayoutView="100" workbookViewId="0">
      <pane xSplit="1" ySplit="5" topLeftCell="E137" activePane="bottomRight" state="frozen"/>
      <selection pane="topRight" activeCell="B1" sqref="B1"/>
      <selection pane="bottomLeft" activeCell="A6" sqref="A6"/>
      <selection pane="bottomRight" activeCell="J154" sqref="J154"/>
    </sheetView>
  </sheetViews>
  <sheetFormatPr baseColWidth="10" defaultColWidth="11.42578125" defaultRowHeight="12" outlineLevelRow="1" x14ac:dyDescent="0.2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9" width="16.42578125" style="1" customWidth="1"/>
    <col min="10" max="10" width="15.5703125" style="1" customWidth="1"/>
    <col min="11" max="11" width="4.140625" style="6" bestFit="1" customWidth="1"/>
    <col min="12" max="12" width="12.7109375" style="1" customWidth="1"/>
    <col min="13" max="13" width="17.42578125" style="1" customWidth="1"/>
    <col min="14" max="14" width="10.42578125" style="82" bestFit="1" customWidth="1"/>
    <col min="15" max="15" width="18.5703125" style="76" bestFit="1" customWidth="1"/>
    <col min="16" max="16" width="17.5703125" style="1" customWidth="1"/>
    <col min="17" max="18" width="18.7109375" style="1" customWidth="1"/>
    <col min="19" max="19" width="23.85546875" style="160" customWidth="1"/>
    <col min="20" max="16384" width="11.42578125" style="1"/>
  </cols>
  <sheetData>
    <row r="1" spans="1:20" x14ac:dyDescent="0.2">
      <c r="O1" s="90"/>
    </row>
    <row r="2" spans="1:20" x14ac:dyDescent="0.2">
      <c r="A2" s="1066" t="s">
        <v>85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1066"/>
      <c r="O2" s="1066"/>
      <c r="P2" s="1066"/>
      <c r="Q2" s="9">
        <f ca="1">TODAY()</f>
        <v>43696</v>
      </c>
      <c r="R2" s="9"/>
      <c r="S2" s="161"/>
    </row>
    <row r="3" spans="1:20" x14ac:dyDescent="0.2">
      <c r="S3" s="161"/>
    </row>
    <row r="4" spans="1:20" s="2" customFormat="1" x14ac:dyDescent="0.2">
      <c r="A4" s="233"/>
      <c r="B4" s="302"/>
      <c r="C4" s="232"/>
      <c r="D4" s="115"/>
      <c r="E4" s="115"/>
      <c r="F4" s="115"/>
      <c r="G4" s="115"/>
      <c r="H4" s="232"/>
      <c r="I4" s="958"/>
      <c r="J4" s="1067" t="s">
        <v>4</v>
      </c>
      <c r="K4" s="1068"/>
      <c r="L4" s="1068"/>
      <c r="M4" s="1068"/>
      <c r="N4" s="1068"/>
      <c r="O4" s="1069"/>
      <c r="P4" s="1070" t="s">
        <v>11</v>
      </c>
      <c r="Q4" s="1071"/>
      <c r="R4" s="3" t="s">
        <v>84</v>
      </c>
      <c r="S4" s="161"/>
      <c r="T4" s="63"/>
    </row>
    <row r="5" spans="1:20" s="227" customFormat="1" ht="24" x14ac:dyDescent="0.2">
      <c r="A5" s="234" t="s">
        <v>2</v>
      </c>
      <c r="B5" s="303"/>
      <c r="C5" s="171" t="s">
        <v>19</v>
      </c>
      <c r="D5" s="171" t="s">
        <v>98</v>
      </c>
      <c r="E5" s="171" t="s">
        <v>201</v>
      </c>
      <c r="F5" s="171" t="s">
        <v>97</v>
      </c>
      <c r="G5" s="171" t="s">
        <v>88</v>
      </c>
      <c r="H5" s="170" t="s">
        <v>10</v>
      </c>
      <c r="I5" s="170" t="s">
        <v>386</v>
      </c>
      <c r="J5" s="235" t="s">
        <v>1</v>
      </c>
      <c r="K5" s="236" t="s">
        <v>3</v>
      </c>
      <c r="L5" s="236" t="s">
        <v>13</v>
      </c>
      <c r="M5" s="237" t="s">
        <v>12</v>
      </c>
      <c r="N5" s="238" t="s">
        <v>13</v>
      </c>
      <c r="O5" s="239" t="s">
        <v>16</v>
      </c>
      <c r="P5" s="240" t="s">
        <v>18</v>
      </c>
      <c r="Q5" s="240" t="s">
        <v>17</v>
      </c>
      <c r="R5" s="240"/>
      <c r="S5" s="241"/>
    </row>
    <row r="6" spans="1:20" s="106" customFormat="1" ht="12.2" customHeight="1" x14ac:dyDescent="0.2">
      <c r="A6" s="320" t="s">
        <v>38</v>
      </c>
      <c r="B6" s="434"/>
      <c r="C6" s="321">
        <v>40506</v>
      </c>
      <c r="D6" s="321">
        <f>DATE(YEAR(C6)+2,MONTH(C6),DAY(C6))</f>
        <v>41237</v>
      </c>
      <c r="E6" s="321">
        <v>40945</v>
      </c>
      <c r="F6" s="321">
        <f>DATE(YEAR(E6)+4,MONTH(E6),DAY(E6))</f>
        <v>42406</v>
      </c>
      <c r="G6" s="321">
        <v>41669</v>
      </c>
      <c r="H6" s="325">
        <v>555000</v>
      </c>
      <c r="I6" s="323"/>
      <c r="J6" s="323"/>
      <c r="K6" s="324"/>
      <c r="L6" s="321"/>
      <c r="M6" s="325">
        <f>SUM(M7:M12)</f>
        <v>555000</v>
      </c>
      <c r="N6" s="326"/>
      <c r="O6" s="420"/>
      <c r="P6" s="328">
        <f>SUM(P7:P12)</f>
        <v>0</v>
      </c>
      <c r="Q6" s="328">
        <f>SUM(Q7:Q12)</f>
        <v>0</v>
      </c>
      <c r="R6" s="328"/>
      <c r="S6" s="162">
        <f>H6-(M6+P6+Q6)</f>
        <v>0</v>
      </c>
    </row>
    <row r="7" spans="1:20" s="26" customFormat="1" ht="12.2" customHeight="1" outlineLevel="1" x14ac:dyDescent="0.2">
      <c r="A7" s="329" t="s">
        <v>38</v>
      </c>
      <c r="B7" s="429"/>
      <c r="C7" s="342"/>
      <c r="D7" s="342"/>
      <c r="E7" s="342"/>
      <c r="F7" s="342"/>
      <c r="G7" s="342"/>
      <c r="H7" s="346"/>
      <c r="I7" s="344"/>
      <c r="J7" s="344">
        <v>242850</v>
      </c>
      <c r="K7" s="345">
        <v>1</v>
      </c>
      <c r="L7" s="342">
        <v>40648</v>
      </c>
      <c r="M7" s="346">
        <v>242850</v>
      </c>
      <c r="N7" s="347">
        <v>40787</v>
      </c>
      <c r="O7" s="405">
        <f t="shared" ref="O7:O12" si="0">IF(N7="",$Q$2-L7,N7-L7)</f>
        <v>139</v>
      </c>
      <c r="P7" s="349" t="str">
        <f t="shared" ref="P7:P12" si="1">IF(M7="en attente",J7,"")</f>
        <v/>
      </c>
      <c r="Q7" s="349">
        <f t="shared" ref="Q7:Q12" si="2">IF(L7="",J7-M7,0)</f>
        <v>0</v>
      </c>
      <c r="R7" s="349"/>
      <c r="S7" s="162"/>
    </row>
    <row r="8" spans="1:20" s="26" customFormat="1" ht="12.2" customHeight="1" outlineLevel="1" x14ac:dyDescent="0.2">
      <c r="A8" s="329" t="s">
        <v>38</v>
      </c>
      <c r="B8" s="429"/>
      <c r="C8" s="342"/>
      <c r="D8" s="342"/>
      <c r="E8" s="342"/>
      <c r="F8" s="342"/>
      <c r="G8" s="342"/>
      <c r="H8" s="435"/>
      <c r="I8" s="408"/>
      <c r="J8" s="344">
        <v>45966.39</v>
      </c>
      <c r="K8" s="345">
        <v>2</v>
      </c>
      <c r="L8" s="342">
        <v>41073</v>
      </c>
      <c r="M8" s="346">
        <v>45966.39</v>
      </c>
      <c r="N8" s="347">
        <v>41170</v>
      </c>
      <c r="O8" s="405">
        <f t="shared" si="0"/>
        <v>97</v>
      </c>
      <c r="P8" s="349" t="str">
        <f t="shared" si="1"/>
        <v/>
      </c>
      <c r="Q8" s="349">
        <f t="shared" si="2"/>
        <v>0</v>
      </c>
      <c r="R8" s="349"/>
      <c r="S8" s="162"/>
    </row>
    <row r="9" spans="1:20" s="26" customFormat="1" ht="12.2" customHeight="1" outlineLevel="1" x14ac:dyDescent="0.2">
      <c r="A9" s="329" t="s">
        <v>38</v>
      </c>
      <c r="B9" s="429"/>
      <c r="C9" s="342"/>
      <c r="D9" s="342"/>
      <c r="E9" s="342"/>
      <c r="F9" s="342"/>
      <c r="G9" s="342"/>
      <c r="H9" s="435"/>
      <c r="I9" s="408"/>
      <c r="J9" s="344">
        <v>45329.07</v>
      </c>
      <c r="K9" s="345">
        <v>3</v>
      </c>
      <c r="L9" s="342">
        <v>41143</v>
      </c>
      <c r="M9" s="346">
        <v>45329.07</v>
      </c>
      <c r="N9" s="347">
        <v>41187</v>
      </c>
      <c r="O9" s="405">
        <f t="shared" si="0"/>
        <v>44</v>
      </c>
      <c r="P9" s="349" t="str">
        <f t="shared" si="1"/>
        <v/>
      </c>
      <c r="Q9" s="349">
        <f t="shared" si="2"/>
        <v>0</v>
      </c>
      <c r="R9" s="349"/>
      <c r="S9" s="162"/>
    </row>
    <row r="10" spans="1:20" s="26" customFormat="1" ht="12.2" customHeight="1" outlineLevel="1" x14ac:dyDescent="0.2">
      <c r="A10" s="329" t="s">
        <v>38</v>
      </c>
      <c r="B10" s="429"/>
      <c r="C10" s="342"/>
      <c r="D10" s="342"/>
      <c r="E10" s="342"/>
      <c r="F10" s="342"/>
      <c r="G10" s="342"/>
      <c r="H10" s="435"/>
      <c r="I10" s="408"/>
      <c r="J10" s="344">
        <v>70348.05</v>
      </c>
      <c r="K10" s="345">
        <v>4</v>
      </c>
      <c r="L10" s="342">
        <v>41192</v>
      </c>
      <c r="M10" s="346">
        <v>70348.05</v>
      </c>
      <c r="N10" s="347">
        <v>41243</v>
      </c>
      <c r="O10" s="405">
        <f t="shared" si="0"/>
        <v>51</v>
      </c>
      <c r="P10" s="349" t="str">
        <f t="shared" si="1"/>
        <v/>
      </c>
      <c r="Q10" s="349">
        <f t="shared" si="2"/>
        <v>0</v>
      </c>
      <c r="R10" s="349"/>
      <c r="S10" s="162"/>
    </row>
    <row r="11" spans="1:20" s="26" customFormat="1" ht="12.2" customHeight="1" outlineLevel="1" x14ac:dyDescent="0.2">
      <c r="A11" s="329" t="s">
        <v>38</v>
      </c>
      <c r="B11" s="429"/>
      <c r="C11" s="342"/>
      <c r="D11" s="342"/>
      <c r="E11" s="342"/>
      <c r="F11" s="342"/>
      <c r="G11" s="342"/>
      <c r="H11" s="346"/>
      <c r="I11" s="344"/>
      <c r="J11" s="344">
        <v>40785.4</v>
      </c>
      <c r="K11" s="345">
        <v>5</v>
      </c>
      <c r="L11" s="342">
        <v>41387</v>
      </c>
      <c r="M11" s="346">
        <v>40785.4</v>
      </c>
      <c r="N11" s="347">
        <v>41551</v>
      </c>
      <c r="O11" s="405">
        <f t="shared" si="0"/>
        <v>164</v>
      </c>
      <c r="P11" s="349" t="str">
        <f t="shared" si="1"/>
        <v/>
      </c>
      <c r="Q11" s="349">
        <f t="shared" si="2"/>
        <v>0</v>
      </c>
      <c r="R11" s="349"/>
      <c r="S11" s="162"/>
    </row>
    <row r="12" spans="1:20" s="26" customFormat="1" ht="12.2" customHeight="1" outlineLevel="1" x14ac:dyDescent="0.2">
      <c r="A12" s="329" t="s">
        <v>38</v>
      </c>
      <c r="B12" s="429"/>
      <c r="C12" s="342"/>
      <c r="D12" s="342"/>
      <c r="E12" s="342"/>
      <c r="F12" s="342"/>
      <c r="G12" s="342"/>
      <c r="H12" s="346"/>
      <c r="I12" s="344"/>
      <c r="J12" s="350">
        <v>109721.09</v>
      </c>
      <c r="K12" s="345">
        <v>6</v>
      </c>
      <c r="L12" s="342">
        <v>41957</v>
      </c>
      <c r="M12" s="346">
        <v>109721.09</v>
      </c>
      <c r="N12" s="347">
        <v>42104</v>
      </c>
      <c r="O12" s="405">
        <f t="shared" si="0"/>
        <v>147</v>
      </c>
      <c r="P12" s="349" t="str">
        <f t="shared" si="1"/>
        <v/>
      </c>
      <c r="Q12" s="349">
        <f t="shared" si="2"/>
        <v>0</v>
      </c>
      <c r="R12" s="349"/>
      <c r="S12" s="162"/>
    </row>
    <row r="13" spans="1:20" s="106" customFormat="1" ht="12.2" customHeight="1" x14ac:dyDescent="0.2">
      <c r="A13" s="320" t="s">
        <v>37</v>
      </c>
      <c r="B13" s="434"/>
      <c r="C13" s="321">
        <v>40491</v>
      </c>
      <c r="D13" s="321">
        <f>DATE(YEAR(C13)+2,MONTH(C13),DAY(C13))</f>
        <v>41222</v>
      </c>
      <c r="E13" s="321">
        <v>40939</v>
      </c>
      <c r="F13" s="321">
        <f>DATE(YEAR(E13)+4,MONTH(E13),DAY(E13))</f>
        <v>42400</v>
      </c>
      <c r="G13" s="321">
        <v>41709</v>
      </c>
      <c r="H13" s="325">
        <v>400000</v>
      </c>
      <c r="I13" s="323"/>
      <c r="J13" s="323"/>
      <c r="K13" s="324"/>
      <c r="L13" s="321"/>
      <c r="M13" s="325">
        <f>SUM(M14:M19)</f>
        <v>400000</v>
      </c>
      <c r="N13" s="326"/>
      <c r="O13" s="420"/>
      <c r="P13" s="328">
        <f>SUM(P14:P19)</f>
        <v>0</v>
      </c>
      <c r="Q13" s="328">
        <f>SUM(Q14:Q19)</f>
        <v>0</v>
      </c>
      <c r="R13" s="328"/>
      <c r="S13" s="162">
        <f>H13-(M13+P13+Q13)</f>
        <v>0</v>
      </c>
    </row>
    <row r="14" spans="1:20" s="26" customFormat="1" ht="12.2" customHeight="1" outlineLevel="1" x14ac:dyDescent="0.2">
      <c r="A14" s="329" t="s">
        <v>37</v>
      </c>
      <c r="B14" s="428"/>
      <c r="C14" s="342"/>
      <c r="D14" s="342"/>
      <c r="E14" s="342"/>
      <c r="F14" s="342"/>
      <c r="G14" s="342"/>
      <c r="H14" s="435"/>
      <c r="I14" s="961">
        <f>J14/$H$13</f>
        <v>0.23730000000000001</v>
      </c>
      <c r="J14" s="344">
        <v>94920</v>
      </c>
      <c r="K14" s="345">
        <v>1</v>
      </c>
      <c r="L14" s="342">
        <v>40561</v>
      </c>
      <c r="M14" s="346">
        <v>94920</v>
      </c>
      <c r="N14" s="347">
        <v>40877</v>
      </c>
      <c r="O14" s="405">
        <f t="shared" ref="O14:O56" si="3">IF(N14="",$Q$2-L14,N14-L14)</f>
        <v>316</v>
      </c>
      <c r="P14" s="349" t="str">
        <f t="shared" ref="P14:P31" si="4">IF(M14="en attente",J14,"")</f>
        <v/>
      </c>
      <c r="Q14" s="349">
        <f t="shared" ref="Q14:Q21" si="5">IF(L14="",J14-M14,0)</f>
        <v>0</v>
      </c>
      <c r="R14" s="349"/>
      <c r="S14" s="162"/>
    </row>
    <row r="15" spans="1:20" s="26" customFormat="1" ht="11.25" customHeight="1" outlineLevel="1" x14ac:dyDescent="0.2">
      <c r="A15" s="329" t="s">
        <v>37</v>
      </c>
      <c r="B15" s="429"/>
      <c r="C15" s="342"/>
      <c r="D15" s="342"/>
      <c r="E15" s="342"/>
      <c r="F15" s="342"/>
      <c r="G15" s="342"/>
      <c r="H15" s="435"/>
      <c r="I15" s="961">
        <f>J15/$H$13+I14</f>
        <v>0.41492249999999997</v>
      </c>
      <c r="J15" s="344">
        <v>71049</v>
      </c>
      <c r="K15" s="345">
        <v>2</v>
      </c>
      <c r="L15" s="342">
        <v>41143</v>
      </c>
      <c r="M15" s="346">
        <v>71049</v>
      </c>
      <c r="N15" s="347">
        <v>41257</v>
      </c>
      <c r="O15" s="405">
        <f t="shared" si="3"/>
        <v>114</v>
      </c>
      <c r="P15" s="349" t="str">
        <f t="shared" si="4"/>
        <v/>
      </c>
      <c r="Q15" s="349">
        <f t="shared" si="5"/>
        <v>0</v>
      </c>
      <c r="R15" s="349"/>
      <c r="S15" s="162"/>
    </row>
    <row r="16" spans="1:20" s="26" customFormat="1" ht="12.2" customHeight="1" outlineLevel="1" x14ac:dyDescent="0.2">
      <c r="A16" s="329" t="s">
        <v>37</v>
      </c>
      <c r="B16" s="429"/>
      <c r="C16" s="342"/>
      <c r="D16" s="342"/>
      <c r="E16" s="342"/>
      <c r="F16" s="342"/>
      <c r="G16" s="342"/>
      <c r="H16" s="435"/>
      <c r="I16" s="961">
        <f>J16/$H$13+I15</f>
        <v>0.54004782499999993</v>
      </c>
      <c r="J16" s="344">
        <v>50050.13</v>
      </c>
      <c r="K16" s="345">
        <v>3</v>
      </c>
      <c r="L16" s="342">
        <v>41191</v>
      </c>
      <c r="M16" s="346">
        <v>50050.13</v>
      </c>
      <c r="N16" s="347">
        <v>41987</v>
      </c>
      <c r="O16" s="405">
        <f t="shared" si="3"/>
        <v>796</v>
      </c>
      <c r="P16" s="349" t="str">
        <f t="shared" si="4"/>
        <v/>
      </c>
      <c r="Q16" s="349">
        <f t="shared" si="5"/>
        <v>0</v>
      </c>
      <c r="R16" s="349"/>
      <c r="S16" s="162"/>
    </row>
    <row r="17" spans="1:19" s="26" customFormat="1" ht="12.2" customHeight="1" outlineLevel="1" x14ac:dyDescent="0.2">
      <c r="A17" s="329" t="s">
        <v>37</v>
      </c>
      <c r="B17" s="429"/>
      <c r="C17" s="342"/>
      <c r="D17" s="342"/>
      <c r="E17" s="342"/>
      <c r="F17" s="342"/>
      <c r="G17" s="342"/>
      <c r="H17" s="435"/>
      <c r="I17" s="961">
        <f>J17/$H$13+I16</f>
        <v>0.65286377499999992</v>
      </c>
      <c r="J17" s="344">
        <v>45126.38</v>
      </c>
      <c r="K17" s="345">
        <v>4</v>
      </c>
      <c r="L17" s="342">
        <v>41361</v>
      </c>
      <c r="M17" s="346">
        <v>45126.38</v>
      </c>
      <c r="N17" s="347">
        <v>41508</v>
      </c>
      <c r="O17" s="405">
        <f t="shared" si="3"/>
        <v>147</v>
      </c>
      <c r="P17" s="349" t="str">
        <f t="shared" si="4"/>
        <v/>
      </c>
      <c r="Q17" s="349">
        <f t="shared" si="5"/>
        <v>0</v>
      </c>
      <c r="R17" s="349"/>
      <c r="S17" s="162"/>
    </row>
    <row r="18" spans="1:19" s="26" customFormat="1" ht="12" customHeight="1" outlineLevel="1" x14ac:dyDescent="0.2">
      <c r="A18" s="329" t="s">
        <v>37</v>
      </c>
      <c r="B18" s="429"/>
      <c r="C18" s="342"/>
      <c r="D18" s="342"/>
      <c r="E18" s="342"/>
      <c r="F18" s="342"/>
      <c r="G18" s="342"/>
      <c r="H18" s="435"/>
      <c r="I18" s="961">
        <f>J18/$H$13+I17</f>
        <v>0.7868040999999999</v>
      </c>
      <c r="J18" s="344">
        <v>53576.13</v>
      </c>
      <c r="K18" s="345">
        <v>5</v>
      </c>
      <c r="L18" s="342">
        <v>41549</v>
      </c>
      <c r="M18" s="346">
        <v>53576.13</v>
      </c>
      <c r="N18" s="347">
        <v>41680</v>
      </c>
      <c r="O18" s="405">
        <f t="shared" si="3"/>
        <v>131</v>
      </c>
      <c r="P18" s="349" t="str">
        <f t="shared" si="4"/>
        <v/>
      </c>
      <c r="Q18" s="349">
        <f t="shared" si="5"/>
        <v>0</v>
      </c>
      <c r="R18" s="349"/>
      <c r="S18" s="162"/>
    </row>
    <row r="19" spans="1:19" s="26" customFormat="1" ht="12.2" customHeight="1" outlineLevel="1" x14ac:dyDescent="0.2">
      <c r="A19" s="351" t="s">
        <v>37</v>
      </c>
      <c r="B19" s="436"/>
      <c r="C19" s="353"/>
      <c r="D19" s="353"/>
      <c r="E19" s="353"/>
      <c r="F19" s="353"/>
      <c r="G19" s="353"/>
      <c r="H19" s="435"/>
      <c r="I19" s="962">
        <f>J19/$H$13+I18</f>
        <v>0.99999999999999989</v>
      </c>
      <c r="J19" s="354">
        <v>85278.36</v>
      </c>
      <c r="K19" s="355">
        <v>6</v>
      </c>
      <c r="L19" s="353">
        <v>42037</v>
      </c>
      <c r="M19" s="356">
        <v>85278.36</v>
      </c>
      <c r="N19" s="357">
        <v>42314</v>
      </c>
      <c r="O19" s="424">
        <f t="shared" si="3"/>
        <v>277</v>
      </c>
      <c r="P19" s="359" t="str">
        <f t="shared" si="4"/>
        <v/>
      </c>
      <c r="Q19" s="359">
        <f t="shared" si="5"/>
        <v>0</v>
      </c>
      <c r="R19" s="359"/>
      <c r="S19" s="162"/>
    </row>
    <row r="20" spans="1:19" s="106" customFormat="1" ht="12.2" customHeight="1" x14ac:dyDescent="0.2">
      <c r="A20" s="397" t="s">
        <v>39</v>
      </c>
      <c r="B20" s="428"/>
      <c r="C20" s="409">
        <v>40506</v>
      </c>
      <c r="D20" s="321">
        <f>DATE(YEAR(C20)+2,MONTH(C20),DAY(C20))</f>
        <v>41237</v>
      </c>
      <c r="E20" s="409">
        <v>40721</v>
      </c>
      <c r="F20" s="409">
        <f>DATE(YEAR(E20)+4,MONTH(E20),DAY(E20))</f>
        <v>42182</v>
      </c>
      <c r="G20" s="409">
        <v>41605</v>
      </c>
      <c r="H20" s="402">
        <v>660000</v>
      </c>
      <c r="I20" s="399"/>
      <c r="J20" s="399"/>
      <c r="K20" s="410"/>
      <c r="L20" s="409"/>
      <c r="M20" s="402">
        <f>SUM(M21:M27)</f>
        <v>656094.66</v>
      </c>
      <c r="N20" s="415"/>
      <c r="O20" s="425"/>
      <c r="P20" s="411">
        <f>SUM(P21:P27)</f>
        <v>0</v>
      </c>
      <c r="Q20" s="411">
        <f>SUM(Q21:Q27)</f>
        <v>0</v>
      </c>
      <c r="R20" s="411"/>
      <c r="S20" s="162">
        <f>H20-(M20+P20+Q20)</f>
        <v>3905.3399999999674</v>
      </c>
    </row>
    <row r="21" spans="1:19" s="26" customFormat="1" ht="12.2" customHeight="1" outlineLevel="1" x14ac:dyDescent="0.2">
      <c r="A21" s="329" t="s">
        <v>39</v>
      </c>
      <c r="B21" s="429"/>
      <c r="C21" s="342"/>
      <c r="D21" s="342"/>
      <c r="E21" s="342"/>
      <c r="F21" s="342"/>
      <c r="G21" s="342"/>
      <c r="H21" s="435"/>
      <c r="I21" s="961">
        <f>J21/$H$20</f>
        <v>0.23835909090909091</v>
      </c>
      <c r="J21" s="344">
        <v>157317</v>
      </c>
      <c r="K21" s="345">
        <v>1</v>
      </c>
      <c r="L21" s="342">
        <v>40648</v>
      </c>
      <c r="M21" s="344">
        <v>157317</v>
      </c>
      <c r="N21" s="347">
        <v>40787</v>
      </c>
      <c r="O21" s="405">
        <f t="shared" si="3"/>
        <v>139</v>
      </c>
      <c r="P21" s="349" t="str">
        <f t="shared" si="4"/>
        <v/>
      </c>
      <c r="Q21" s="349">
        <f t="shared" si="5"/>
        <v>0</v>
      </c>
      <c r="R21" s="349"/>
      <c r="S21" s="168" t="s">
        <v>195</v>
      </c>
    </row>
    <row r="22" spans="1:19" s="26" customFormat="1" ht="12.2" customHeight="1" outlineLevel="1" x14ac:dyDescent="0.2">
      <c r="A22" s="329" t="s">
        <v>39</v>
      </c>
      <c r="B22" s="429"/>
      <c r="C22" s="342"/>
      <c r="D22" s="342"/>
      <c r="E22" s="342"/>
      <c r="F22" s="342"/>
      <c r="G22" s="342"/>
      <c r="H22" s="435"/>
      <c r="I22" s="961">
        <f t="shared" ref="I22:I27" si="6">J22/$H$20+I21</f>
        <v>0.40604545454545454</v>
      </c>
      <c r="J22" s="344">
        <v>110673</v>
      </c>
      <c r="K22" s="345">
        <v>2</v>
      </c>
      <c r="L22" s="342">
        <v>40830</v>
      </c>
      <c r="M22" s="344">
        <v>110673</v>
      </c>
      <c r="N22" s="347">
        <v>40876</v>
      </c>
      <c r="O22" s="405">
        <f t="shared" si="3"/>
        <v>46</v>
      </c>
      <c r="P22" s="349" t="str">
        <f t="shared" si="4"/>
        <v/>
      </c>
      <c r="Q22" s="349">
        <f t="shared" ref="Q22:Q135" si="7">IF(L22="",J22-M22,0)</f>
        <v>0</v>
      </c>
      <c r="R22" s="349"/>
      <c r="S22" s="162"/>
    </row>
    <row r="23" spans="1:19" s="26" customFormat="1" ht="12.2" customHeight="1" outlineLevel="1" x14ac:dyDescent="0.2">
      <c r="A23" s="329" t="s">
        <v>39</v>
      </c>
      <c r="B23" s="429"/>
      <c r="C23" s="342"/>
      <c r="D23" s="342"/>
      <c r="E23" s="342"/>
      <c r="F23" s="342"/>
      <c r="G23" s="342"/>
      <c r="H23" s="435"/>
      <c r="I23" s="961">
        <f t="shared" si="6"/>
        <v>0.47223130303030303</v>
      </c>
      <c r="J23" s="344">
        <v>43682.66</v>
      </c>
      <c r="K23" s="345">
        <v>3</v>
      </c>
      <c r="L23" s="342">
        <v>41143</v>
      </c>
      <c r="M23" s="344">
        <v>43682.66</v>
      </c>
      <c r="N23" s="347">
        <v>41187</v>
      </c>
      <c r="O23" s="405">
        <f t="shared" si="3"/>
        <v>44</v>
      </c>
      <c r="P23" s="349" t="str">
        <f t="shared" si="4"/>
        <v/>
      </c>
      <c r="Q23" s="349">
        <f t="shared" si="7"/>
        <v>0</v>
      </c>
      <c r="R23" s="349"/>
      <c r="S23" s="162"/>
    </row>
    <row r="24" spans="1:19" s="26" customFormat="1" ht="12.2" customHeight="1" outlineLevel="1" x14ac:dyDescent="0.2">
      <c r="A24" s="329" t="s">
        <v>39</v>
      </c>
      <c r="B24" s="429"/>
      <c r="C24" s="342"/>
      <c r="D24" s="342"/>
      <c r="E24" s="342"/>
      <c r="F24" s="342"/>
      <c r="G24" s="342"/>
      <c r="H24" s="435"/>
      <c r="I24" s="961">
        <f t="shared" si="6"/>
        <v>0.68728846969696966</v>
      </c>
      <c r="J24" s="344">
        <v>141937.73000000001</v>
      </c>
      <c r="K24" s="345">
        <v>4</v>
      </c>
      <c r="L24" s="342">
        <v>41362</v>
      </c>
      <c r="M24" s="344">
        <v>141937.73000000001</v>
      </c>
      <c r="N24" s="347">
        <v>41428</v>
      </c>
      <c r="O24" s="405">
        <f t="shared" si="3"/>
        <v>66</v>
      </c>
      <c r="P24" s="349" t="str">
        <f t="shared" si="4"/>
        <v/>
      </c>
      <c r="Q24" s="349">
        <f t="shared" si="7"/>
        <v>0</v>
      </c>
      <c r="R24" s="349"/>
      <c r="S24" s="162"/>
    </row>
    <row r="25" spans="1:19" s="26" customFormat="1" ht="12.2" customHeight="1" outlineLevel="1" x14ac:dyDescent="0.2">
      <c r="A25" s="329" t="s">
        <v>39</v>
      </c>
      <c r="B25" s="429"/>
      <c r="C25" s="342"/>
      <c r="D25" s="342"/>
      <c r="E25" s="342"/>
      <c r="F25" s="342"/>
      <c r="G25" s="342"/>
      <c r="H25" s="435"/>
      <c r="I25" s="961">
        <f t="shared" si="6"/>
        <v>0.76837296969696967</v>
      </c>
      <c r="J25" s="344">
        <v>53515.77</v>
      </c>
      <c r="K25" s="345">
        <v>5</v>
      </c>
      <c r="L25" s="342">
        <v>41549</v>
      </c>
      <c r="M25" s="344">
        <v>53515.77</v>
      </c>
      <c r="N25" s="347">
        <v>41638</v>
      </c>
      <c r="O25" s="405">
        <f t="shared" si="3"/>
        <v>89</v>
      </c>
      <c r="P25" s="349" t="str">
        <f t="shared" si="4"/>
        <v/>
      </c>
      <c r="Q25" s="349">
        <f t="shared" si="7"/>
        <v>0</v>
      </c>
      <c r="R25" s="349"/>
      <c r="S25" s="162"/>
    </row>
    <row r="26" spans="1:19" s="26" customFormat="1" ht="12.2" customHeight="1" outlineLevel="1" x14ac:dyDescent="0.2">
      <c r="A26" s="329" t="s">
        <v>39</v>
      </c>
      <c r="B26" s="429"/>
      <c r="C26" s="342"/>
      <c r="D26" s="342"/>
      <c r="E26" s="342"/>
      <c r="F26" s="342"/>
      <c r="G26" s="342"/>
      <c r="H26" s="435"/>
      <c r="I26" s="961">
        <f t="shared" si="6"/>
        <v>0.79999999999999993</v>
      </c>
      <c r="J26" s="344">
        <v>20873.84</v>
      </c>
      <c r="K26" s="345">
        <v>6</v>
      </c>
      <c r="L26" s="342">
        <v>41673</v>
      </c>
      <c r="M26" s="344">
        <v>20873.84</v>
      </c>
      <c r="N26" s="347">
        <v>41743</v>
      </c>
      <c r="O26" s="405">
        <f t="shared" si="3"/>
        <v>70</v>
      </c>
      <c r="P26" s="349" t="str">
        <f t="shared" si="4"/>
        <v/>
      </c>
      <c r="Q26" s="349">
        <f t="shared" si="7"/>
        <v>0</v>
      </c>
      <c r="R26" s="349"/>
      <c r="S26" s="162"/>
    </row>
    <row r="27" spans="1:19" s="26" customFormat="1" ht="12.2" customHeight="1" outlineLevel="1" x14ac:dyDescent="0.2">
      <c r="A27" s="329" t="s">
        <v>39</v>
      </c>
      <c r="B27" s="429"/>
      <c r="C27" s="342"/>
      <c r="D27" s="342"/>
      <c r="E27" s="342"/>
      <c r="F27" s="342"/>
      <c r="G27" s="342"/>
      <c r="H27" s="435"/>
      <c r="I27" s="961">
        <f t="shared" si="6"/>
        <v>1</v>
      </c>
      <c r="J27" s="344">
        <v>132000</v>
      </c>
      <c r="K27" s="345">
        <v>7</v>
      </c>
      <c r="L27" s="342">
        <v>42214</v>
      </c>
      <c r="M27" s="346">
        <v>128094.66</v>
      </c>
      <c r="N27" s="347">
        <v>42307</v>
      </c>
      <c r="O27" s="405">
        <f t="shared" si="3"/>
        <v>93</v>
      </c>
      <c r="P27" s="349" t="str">
        <f t="shared" si="4"/>
        <v/>
      </c>
      <c r="Q27" s="349">
        <f t="shared" si="7"/>
        <v>0</v>
      </c>
      <c r="R27" s="349"/>
      <c r="S27" s="162"/>
    </row>
    <row r="28" spans="1:19" s="106" customFormat="1" ht="12.2" customHeight="1" x14ac:dyDescent="0.2">
      <c r="A28" s="320" t="s">
        <v>40</v>
      </c>
      <c r="B28" s="434"/>
      <c r="C28" s="321">
        <v>40795</v>
      </c>
      <c r="D28" s="321"/>
      <c r="E28" s="321"/>
      <c r="F28" s="321"/>
      <c r="G28" s="321"/>
      <c r="H28" s="325">
        <v>280000</v>
      </c>
      <c r="I28" s="323"/>
      <c r="J28" s="323"/>
      <c r="K28" s="324"/>
      <c r="L28" s="321"/>
      <c r="M28" s="328">
        <f>SUM(M29:M32)</f>
        <v>280000</v>
      </c>
      <c r="N28" s="326"/>
      <c r="O28" s="420"/>
      <c r="P28" s="328">
        <f>SUM(P29:P32)</f>
        <v>0</v>
      </c>
      <c r="Q28" s="328">
        <f>SUM(Q29:Q32)</f>
        <v>0</v>
      </c>
      <c r="R28" s="328"/>
      <c r="S28" s="162">
        <f>H28-(M28+P28+Q28)</f>
        <v>0</v>
      </c>
    </row>
    <row r="29" spans="1:19" s="26" customFormat="1" ht="12.2" customHeight="1" outlineLevel="1" x14ac:dyDescent="0.2">
      <c r="A29" s="329" t="s">
        <v>40</v>
      </c>
      <c r="B29" s="429"/>
      <c r="C29" s="342"/>
      <c r="D29" s="342"/>
      <c r="E29" s="342"/>
      <c r="F29" s="342"/>
      <c r="G29" s="342"/>
      <c r="H29" s="346"/>
      <c r="I29" s="344"/>
      <c r="J29" s="344">
        <v>129444</v>
      </c>
      <c r="K29" s="345">
        <v>1</v>
      </c>
      <c r="L29" s="342">
        <v>41143</v>
      </c>
      <c r="M29" s="344">
        <v>129444</v>
      </c>
      <c r="N29" s="347">
        <v>41199</v>
      </c>
      <c r="O29" s="405">
        <f t="shared" si="3"/>
        <v>56</v>
      </c>
      <c r="P29" s="349" t="str">
        <f t="shared" si="4"/>
        <v/>
      </c>
      <c r="Q29" s="349">
        <f t="shared" si="7"/>
        <v>0</v>
      </c>
      <c r="R29" s="349"/>
      <c r="S29" s="162"/>
    </row>
    <row r="30" spans="1:19" s="26" customFormat="1" ht="12.2" customHeight="1" outlineLevel="1" x14ac:dyDescent="0.2">
      <c r="A30" s="329" t="s">
        <v>40</v>
      </c>
      <c r="B30" s="429"/>
      <c r="C30" s="342"/>
      <c r="D30" s="342"/>
      <c r="E30" s="342"/>
      <c r="F30" s="342"/>
      <c r="G30" s="342"/>
      <c r="H30" s="346"/>
      <c r="I30" s="344"/>
      <c r="J30" s="344">
        <v>41989.59</v>
      </c>
      <c r="K30" s="345">
        <v>2</v>
      </c>
      <c r="L30" s="342">
        <v>41423</v>
      </c>
      <c r="M30" s="344">
        <v>41989.59</v>
      </c>
      <c r="N30" s="347">
        <v>41551</v>
      </c>
      <c r="O30" s="405">
        <f t="shared" si="3"/>
        <v>128</v>
      </c>
      <c r="P30" s="349" t="str">
        <f t="shared" si="4"/>
        <v/>
      </c>
      <c r="Q30" s="349">
        <f t="shared" si="7"/>
        <v>0</v>
      </c>
      <c r="R30" s="349"/>
      <c r="S30" s="162"/>
    </row>
    <row r="31" spans="1:19" s="26" customFormat="1" ht="12.2" customHeight="1" outlineLevel="1" x14ac:dyDescent="0.2">
      <c r="A31" s="329" t="s">
        <v>40</v>
      </c>
      <c r="B31" s="429"/>
      <c r="C31" s="342"/>
      <c r="D31" s="342"/>
      <c r="E31" s="342"/>
      <c r="F31" s="342"/>
      <c r="G31" s="342"/>
      <c r="H31" s="346"/>
      <c r="I31" s="344"/>
      <c r="J31" s="344">
        <v>52566.41</v>
      </c>
      <c r="K31" s="345">
        <v>3</v>
      </c>
      <c r="L31" s="342">
        <v>41673</v>
      </c>
      <c r="M31" s="344">
        <v>52566.41</v>
      </c>
      <c r="N31" s="347">
        <v>41743</v>
      </c>
      <c r="O31" s="405">
        <f t="shared" si="3"/>
        <v>70</v>
      </c>
      <c r="P31" s="349" t="str">
        <f t="shared" si="4"/>
        <v/>
      </c>
      <c r="Q31" s="349">
        <f t="shared" si="7"/>
        <v>0</v>
      </c>
      <c r="R31" s="349"/>
      <c r="S31" s="162"/>
    </row>
    <row r="32" spans="1:19" s="26" customFormat="1" ht="12.2" customHeight="1" outlineLevel="1" x14ac:dyDescent="0.2">
      <c r="A32" s="329" t="s">
        <v>40</v>
      </c>
      <c r="B32" s="429"/>
      <c r="C32" s="342"/>
      <c r="D32" s="342"/>
      <c r="E32" s="342"/>
      <c r="F32" s="342"/>
      <c r="G32" s="342"/>
      <c r="H32" s="346"/>
      <c r="I32" s="344"/>
      <c r="J32" s="344">
        <v>56000</v>
      </c>
      <c r="K32" s="345">
        <v>4</v>
      </c>
      <c r="L32" s="342">
        <v>42034</v>
      </c>
      <c r="M32" s="344">
        <v>56000</v>
      </c>
      <c r="N32" s="347">
        <v>42069</v>
      </c>
      <c r="O32" s="405">
        <f t="shared" si="3"/>
        <v>35</v>
      </c>
      <c r="P32" s="349" t="str">
        <f>IF(M32="en attente",J32,"")</f>
        <v/>
      </c>
      <c r="Q32" s="349">
        <f t="shared" si="7"/>
        <v>0</v>
      </c>
      <c r="R32" s="349" t="s">
        <v>68</v>
      </c>
      <c r="S32" s="162"/>
    </row>
    <row r="33" spans="1:19" s="106" customFormat="1" ht="12.2" customHeight="1" x14ac:dyDescent="0.2">
      <c r="A33" s="320" t="s">
        <v>41</v>
      </c>
      <c r="B33" s="434" t="s">
        <v>184</v>
      </c>
      <c r="C33" s="321">
        <v>40864</v>
      </c>
      <c r="D33" s="321">
        <f>DATE(YEAR(C33)+2,MONTH(C33),DAY(C33))</f>
        <v>41595</v>
      </c>
      <c r="E33" s="321">
        <v>41309</v>
      </c>
      <c r="F33" s="321">
        <f>DATE(YEAR(E33)+4,MONTH(E33),DAY(E33))</f>
        <v>42770</v>
      </c>
      <c r="G33" s="321">
        <v>42788</v>
      </c>
      <c r="H33" s="325">
        <v>340000</v>
      </c>
      <c r="I33" s="323"/>
      <c r="J33" s="323"/>
      <c r="K33" s="324"/>
      <c r="L33" s="321"/>
      <c r="M33" s="325">
        <f>SUM(M34:M37)</f>
        <v>335175.78000000003</v>
      </c>
      <c r="N33" s="326"/>
      <c r="O33" s="420"/>
      <c r="P33" s="328">
        <f>SUM(P34:P37)</f>
        <v>0</v>
      </c>
      <c r="Q33" s="328">
        <f>SUM(Q34:Q37)</f>
        <v>0</v>
      </c>
      <c r="R33" s="328"/>
      <c r="S33" s="162">
        <f>H33-(M33+P33+Q33)</f>
        <v>4824.2199999999721</v>
      </c>
    </row>
    <row r="34" spans="1:19" s="26" customFormat="1" ht="12.2" customHeight="1" outlineLevel="1" x14ac:dyDescent="0.2">
      <c r="A34" s="329" t="s">
        <v>41</v>
      </c>
      <c r="B34" s="429"/>
      <c r="C34" s="407" t="s">
        <v>197</v>
      </c>
      <c r="D34" s="342"/>
      <c r="E34" s="407" t="s">
        <v>197</v>
      </c>
      <c r="F34" s="407" t="s">
        <v>254</v>
      </c>
      <c r="G34" s="342"/>
      <c r="H34" s="435"/>
      <c r="I34" s="961">
        <f>J34/$H$33</f>
        <v>0.43809999999999999</v>
      </c>
      <c r="J34" s="344">
        <v>148954</v>
      </c>
      <c r="K34" s="345">
        <v>1</v>
      </c>
      <c r="L34" s="342">
        <v>40892</v>
      </c>
      <c r="M34" s="346">
        <v>148954</v>
      </c>
      <c r="N34" s="347">
        <v>40994</v>
      </c>
      <c r="O34" s="405">
        <f t="shared" si="3"/>
        <v>102</v>
      </c>
      <c r="P34" s="349" t="str">
        <f>IF(M34="en attente",J34,"")</f>
        <v/>
      </c>
      <c r="Q34" s="349">
        <f t="shared" si="7"/>
        <v>0</v>
      </c>
      <c r="R34" s="349"/>
      <c r="S34" s="162"/>
    </row>
    <row r="35" spans="1:19" s="26" customFormat="1" ht="12.2" customHeight="1" outlineLevel="1" x14ac:dyDescent="0.2">
      <c r="A35" s="329" t="s">
        <v>41</v>
      </c>
      <c r="B35" s="429"/>
      <c r="C35" s="342"/>
      <c r="D35" s="342"/>
      <c r="E35" s="342"/>
      <c r="F35" s="342"/>
      <c r="G35" s="342"/>
      <c r="H35" s="435"/>
      <c r="I35" s="961">
        <f>J35/$H$33+I34</f>
        <v>0.56899999999999995</v>
      </c>
      <c r="J35" s="344">
        <v>44506</v>
      </c>
      <c r="K35" s="345">
        <v>2</v>
      </c>
      <c r="L35" s="342">
        <v>41549</v>
      </c>
      <c r="M35" s="346">
        <v>44506</v>
      </c>
      <c r="N35" s="347">
        <v>41680</v>
      </c>
      <c r="O35" s="405">
        <f t="shared" si="3"/>
        <v>131</v>
      </c>
      <c r="P35" s="349" t="str">
        <f>IF(M35="en attente",J35,"")</f>
        <v/>
      </c>
      <c r="Q35" s="349">
        <f t="shared" si="7"/>
        <v>0</v>
      </c>
      <c r="R35" s="349"/>
      <c r="S35" s="162"/>
    </row>
    <row r="36" spans="1:19" s="26" customFormat="1" outlineLevel="1" x14ac:dyDescent="0.2">
      <c r="A36" s="329" t="s">
        <v>41</v>
      </c>
      <c r="B36" s="429"/>
      <c r="C36" s="342"/>
      <c r="D36" s="342"/>
      <c r="E36" s="342"/>
      <c r="F36" s="342"/>
      <c r="G36" s="342"/>
      <c r="H36" s="435"/>
      <c r="I36" s="963">
        <v>0.76029999999999998</v>
      </c>
      <c r="J36" s="344">
        <v>65042</v>
      </c>
      <c r="K36" s="345">
        <v>3</v>
      </c>
      <c r="L36" s="342">
        <v>42325</v>
      </c>
      <c r="M36" s="346">
        <v>65042</v>
      </c>
      <c r="N36" s="347">
        <v>42422</v>
      </c>
      <c r="O36" s="405"/>
      <c r="P36" s="349" t="str">
        <f>IF(M36="en attente",J36,"")</f>
        <v/>
      </c>
      <c r="Q36" s="349">
        <f t="shared" si="7"/>
        <v>0</v>
      </c>
      <c r="R36" s="349"/>
      <c r="S36" s="162"/>
    </row>
    <row r="37" spans="1:19" s="26" customFormat="1" ht="12.2" customHeight="1" outlineLevel="1" x14ac:dyDescent="0.2">
      <c r="A37" s="351" t="s">
        <v>41</v>
      </c>
      <c r="B37" s="436"/>
      <c r="C37" s="353"/>
      <c r="D37" s="353"/>
      <c r="E37" s="353"/>
      <c r="F37" s="353"/>
      <c r="G37" s="353"/>
      <c r="H37" s="435"/>
      <c r="I37" s="963">
        <v>0.98580000000000001</v>
      </c>
      <c r="J37" s="354">
        <v>76673.78</v>
      </c>
      <c r="K37" s="355">
        <v>4</v>
      </c>
      <c r="L37" s="353">
        <v>42997</v>
      </c>
      <c r="M37" s="356">
        <v>76673.78</v>
      </c>
      <c r="N37" s="357">
        <v>43448</v>
      </c>
      <c r="O37" s="424"/>
      <c r="P37" s="359" t="str">
        <f>IF(M37="en attente",J37,"")</f>
        <v/>
      </c>
      <c r="Q37" s="349">
        <f t="shared" si="7"/>
        <v>0</v>
      </c>
      <c r="R37" s="349" t="s">
        <v>287</v>
      </c>
      <c r="S37" s="162"/>
    </row>
    <row r="38" spans="1:19" s="106" customFormat="1" ht="12.2" customHeight="1" x14ac:dyDescent="0.2">
      <c r="A38" s="397" t="s">
        <v>48</v>
      </c>
      <c r="B38" s="428" t="s">
        <v>183</v>
      </c>
      <c r="C38" s="409">
        <v>40864</v>
      </c>
      <c r="D38" s="321">
        <f>DATE(YEAR(C38)+2,MONTH(C38),DAY(C38))</f>
        <v>41595</v>
      </c>
      <c r="E38" s="409">
        <v>41303</v>
      </c>
      <c r="F38" s="409">
        <v>44175</v>
      </c>
      <c r="G38" s="409">
        <v>42954</v>
      </c>
      <c r="H38" s="959">
        <v>1300000</v>
      </c>
      <c r="I38" s="323"/>
      <c r="J38" s="399"/>
      <c r="K38" s="410"/>
      <c r="L38" s="409"/>
      <c r="M38" s="402">
        <f>SUM(M39:M44)</f>
        <v>1286871.5899999999</v>
      </c>
      <c r="N38" s="415"/>
      <c r="O38" s="425"/>
      <c r="P38" s="411">
        <f>SUM(P39:P44)</f>
        <v>0</v>
      </c>
      <c r="Q38" s="328">
        <f>SUM(Q39:Q44)</f>
        <v>0</v>
      </c>
      <c r="R38" s="412"/>
      <c r="S38" s="162">
        <f>H38-(M38+P38+Q38)</f>
        <v>13128.410000000149</v>
      </c>
    </row>
    <row r="39" spans="1:19" s="26" customFormat="1" ht="12.2" customHeight="1" outlineLevel="1" x14ac:dyDescent="0.2">
      <c r="A39" s="329" t="s">
        <v>48</v>
      </c>
      <c r="B39" s="429"/>
      <c r="C39" s="407" t="s">
        <v>197</v>
      </c>
      <c r="D39" s="342"/>
      <c r="E39" s="407" t="s">
        <v>197</v>
      </c>
      <c r="F39" s="407" t="s">
        <v>257</v>
      </c>
      <c r="G39" s="342"/>
      <c r="H39" s="435"/>
      <c r="I39" s="961">
        <f>J39/$H$38</f>
        <v>0.48630000000000001</v>
      </c>
      <c r="J39" s="344">
        <v>632190</v>
      </c>
      <c r="K39" s="345">
        <v>1</v>
      </c>
      <c r="L39" s="342">
        <v>40962</v>
      </c>
      <c r="M39" s="346">
        <v>632190</v>
      </c>
      <c r="N39" s="347">
        <v>41067</v>
      </c>
      <c r="O39" s="405">
        <f t="shared" si="3"/>
        <v>105</v>
      </c>
      <c r="P39" s="349" t="str">
        <f t="shared" ref="P39:P44" si="8">IF(M39="en attente",J39,"")</f>
        <v/>
      </c>
      <c r="Q39" s="349">
        <f t="shared" si="7"/>
        <v>0</v>
      </c>
      <c r="R39" s="509"/>
      <c r="S39" s="162"/>
    </row>
    <row r="40" spans="1:19" s="26" customFormat="1" ht="12.2" customHeight="1" outlineLevel="1" x14ac:dyDescent="0.2">
      <c r="A40" s="329" t="s">
        <v>48</v>
      </c>
      <c r="B40" s="429"/>
      <c r="C40" s="342"/>
      <c r="D40" s="342"/>
      <c r="E40" s="342"/>
      <c r="F40" s="342"/>
      <c r="G40" s="342"/>
      <c r="H40" s="435"/>
      <c r="I40" s="961">
        <f>J40/$H$38+I39</f>
        <v>0.56350456923076919</v>
      </c>
      <c r="J40" s="344">
        <v>100365.94</v>
      </c>
      <c r="K40" s="345">
        <v>2</v>
      </c>
      <c r="L40" s="342">
        <v>41549</v>
      </c>
      <c r="M40" s="346">
        <v>100365.94</v>
      </c>
      <c r="N40" s="347">
        <v>41653</v>
      </c>
      <c r="O40" s="405">
        <f t="shared" si="3"/>
        <v>104</v>
      </c>
      <c r="P40" s="349" t="str">
        <f t="shared" si="8"/>
        <v/>
      </c>
      <c r="Q40" s="349">
        <f t="shared" si="7"/>
        <v>0</v>
      </c>
      <c r="R40" s="509"/>
      <c r="S40" s="162"/>
    </row>
    <row r="41" spans="1:19" s="26" customFormat="1" ht="12.2" customHeight="1" outlineLevel="1" x14ac:dyDescent="0.2">
      <c r="A41" s="329" t="s">
        <v>48</v>
      </c>
      <c r="B41" s="429"/>
      <c r="C41" s="342"/>
      <c r="D41" s="342"/>
      <c r="E41" s="342"/>
      <c r="F41" s="342"/>
      <c r="G41" s="342"/>
      <c r="H41" s="435"/>
      <c r="I41" s="961">
        <f>J41/$H$38+I40</f>
        <v>0.68899496153846151</v>
      </c>
      <c r="J41" s="344">
        <v>163137.51</v>
      </c>
      <c r="K41" s="345">
        <v>3</v>
      </c>
      <c r="L41" s="342">
        <v>41673</v>
      </c>
      <c r="M41" s="346">
        <v>163137.51</v>
      </c>
      <c r="N41" s="347">
        <v>41731</v>
      </c>
      <c r="O41" s="405">
        <f t="shared" si="3"/>
        <v>58</v>
      </c>
      <c r="P41" s="349" t="str">
        <f t="shared" si="8"/>
        <v/>
      </c>
      <c r="Q41" s="349">
        <f t="shared" si="7"/>
        <v>0</v>
      </c>
      <c r="R41" s="509"/>
      <c r="S41" s="162"/>
    </row>
    <row r="42" spans="1:19" s="26" customFormat="1" ht="12.2" customHeight="1" outlineLevel="1" x14ac:dyDescent="0.2">
      <c r="A42" s="329" t="s">
        <v>48</v>
      </c>
      <c r="B42" s="429"/>
      <c r="C42" s="342"/>
      <c r="D42" s="342"/>
      <c r="E42" s="342"/>
      <c r="F42" s="342"/>
      <c r="G42" s="342"/>
      <c r="H42" s="435"/>
      <c r="I42" s="961">
        <f>J42/$H$38+I41</f>
        <v>0.71552039999999995</v>
      </c>
      <c r="J42" s="344">
        <v>34483.07</v>
      </c>
      <c r="K42" s="345">
        <v>4</v>
      </c>
      <c r="L42" s="342">
        <v>41941</v>
      </c>
      <c r="M42" s="346">
        <v>34483.07</v>
      </c>
      <c r="N42" s="347">
        <v>42030</v>
      </c>
      <c r="O42" s="405">
        <f t="shared" si="3"/>
        <v>89</v>
      </c>
      <c r="P42" s="349" t="str">
        <f t="shared" si="8"/>
        <v/>
      </c>
      <c r="Q42" s="349">
        <f t="shared" si="7"/>
        <v>0</v>
      </c>
      <c r="R42" s="509"/>
      <c r="S42" s="162"/>
    </row>
    <row r="43" spans="1:19" s="26" customFormat="1" ht="12.2" customHeight="1" outlineLevel="1" x14ac:dyDescent="0.2">
      <c r="A43" s="329" t="s">
        <v>48</v>
      </c>
      <c r="B43" s="429"/>
      <c r="C43" s="342"/>
      <c r="D43" s="342"/>
      <c r="E43" s="342"/>
      <c r="F43" s="342"/>
      <c r="G43" s="342"/>
      <c r="H43" s="435"/>
      <c r="I43" s="961">
        <f>J43/$H$38+I42</f>
        <v>0.79999999999999993</v>
      </c>
      <c r="J43" s="344">
        <v>109823.48</v>
      </c>
      <c r="K43" s="345">
        <v>5</v>
      </c>
      <c r="L43" s="342">
        <v>42264</v>
      </c>
      <c r="M43" s="346">
        <v>109823.48</v>
      </c>
      <c r="N43" s="347">
        <v>42325</v>
      </c>
      <c r="O43" s="405">
        <f t="shared" si="3"/>
        <v>61</v>
      </c>
      <c r="P43" s="349" t="str">
        <f t="shared" si="8"/>
        <v/>
      </c>
      <c r="Q43" s="349">
        <f t="shared" si="7"/>
        <v>0</v>
      </c>
      <c r="R43" s="509"/>
      <c r="S43" s="162"/>
    </row>
    <row r="44" spans="1:19" s="26" customFormat="1" ht="12.2" customHeight="1" outlineLevel="1" x14ac:dyDescent="0.2">
      <c r="A44" s="329" t="s">
        <v>48</v>
      </c>
      <c r="B44" s="429"/>
      <c r="C44" s="342"/>
      <c r="D44" s="342"/>
      <c r="E44" s="342"/>
      <c r="F44" s="342"/>
      <c r="G44" s="342"/>
      <c r="H44" s="435"/>
      <c r="I44" s="963">
        <f>J44/$H$38+I43</f>
        <v>0.98990122307692308</v>
      </c>
      <c r="J44" s="344">
        <v>246871.59</v>
      </c>
      <c r="K44" s="345">
        <v>6</v>
      </c>
      <c r="L44" s="342">
        <v>39596</v>
      </c>
      <c r="M44" s="346">
        <v>246871.59</v>
      </c>
      <c r="N44" s="347">
        <v>43304</v>
      </c>
      <c r="O44" s="405">
        <f t="shared" si="3"/>
        <v>3708</v>
      </c>
      <c r="P44" s="349" t="str">
        <f t="shared" si="8"/>
        <v/>
      </c>
      <c r="Q44" s="349">
        <f t="shared" si="7"/>
        <v>0</v>
      </c>
      <c r="R44" s="392" t="s">
        <v>317</v>
      </c>
      <c r="S44" s="162"/>
    </row>
    <row r="45" spans="1:19" s="106" customFormat="1" ht="12.2" customHeight="1" x14ac:dyDescent="0.2">
      <c r="A45" s="320" t="s">
        <v>46</v>
      </c>
      <c r="B45" s="320" t="s">
        <v>182</v>
      </c>
      <c r="C45" s="326">
        <v>40864</v>
      </c>
      <c r="D45" s="321">
        <f>DATE(YEAR(C45)+2,MONTH(C45),DAY(C45))</f>
        <v>41595</v>
      </c>
      <c r="E45" s="321">
        <v>41309</v>
      </c>
      <c r="F45" s="321">
        <f>DATE(YEAR(E45)+4,MONTH(E45),DAY(E45))</f>
        <v>42770</v>
      </c>
      <c r="G45" s="321">
        <v>42202</v>
      </c>
      <c r="H45" s="325">
        <v>800000</v>
      </c>
      <c r="I45" s="323"/>
      <c r="J45" s="323"/>
      <c r="K45" s="324"/>
      <c r="L45" s="321"/>
      <c r="M45" s="325">
        <f>SUM(M46:M48)</f>
        <v>800000</v>
      </c>
      <c r="N45" s="326"/>
      <c r="O45" s="420"/>
      <c r="P45" s="328">
        <f>SUM(P46:P48)</f>
        <v>0</v>
      </c>
      <c r="Q45" s="328">
        <f>SUM(Q46:Q48)</f>
        <v>0</v>
      </c>
      <c r="R45" s="328"/>
      <c r="S45" s="162">
        <f>H45-(M45+P45+Q45)</f>
        <v>0</v>
      </c>
    </row>
    <row r="46" spans="1:19" s="26" customFormat="1" ht="12.2" customHeight="1" outlineLevel="1" x14ac:dyDescent="0.2">
      <c r="A46" s="329" t="s">
        <v>46</v>
      </c>
      <c r="B46" s="429"/>
      <c r="C46" s="407" t="s">
        <v>197</v>
      </c>
      <c r="D46" s="342"/>
      <c r="E46" s="407" t="s">
        <v>197</v>
      </c>
      <c r="F46" s="342"/>
      <c r="G46" s="342"/>
      <c r="H46" s="435"/>
      <c r="I46" s="961">
        <f>J46/$H$45</f>
        <v>0.1996968875</v>
      </c>
      <c r="J46" s="344">
        <v>159757.51</v>
      </c>
      <c r="K46" s="345">
        <v>1</v>
      </c>
      <c r="L46" s="342">
        <v>41701</v>
      </c>
      <c r="M46" s="346">
        <v>159757.51</v>
      </c>
      <c r="N46" s="347">
        <v>41758</v>
      </c>
      <c r="O46" s="405">
        <f t="shared" si="3"/>
        <v>57</v>
      </c>
      <c r="P46" s="349" t="str">
        <f>IF(M46="en attente",J46,"")</f>
        <v/>
      </c>
      <c r="Q46" s="349">
        <f t="shared" si="7"/>
        <v>0</v>
      </c>
      <c r="R46" s="452"/>
      <c r="S46" s="162"/>
    </row>
    <row r="47" spans="1:19" s="26" customFormat="1" ht="12.2" customHeight="1" outlineLevel="1" x14ac:dyDescent="0.2">
      <c r="A47" s="329" t="s">
        <v>46</v>
      </c>
      <c r="B47" s="429"/>
      <c r="C47" s="342"/>
      <c r="D47" s="342"/>
      <c r="E47" s="342"/>
      <c r="F47" s="342"/>
      <c r="G47" s="342"/>
      <c r="H47" s="435"/>
      <c r="I47" s="961">
        <f>J47/$H$45+I46</f>
        <v>0.40336767500000004</v>
      </c>
      <c r="J47" s="344">
        <v>162936.63</v>
      </c>
      <c r="K47" s="345">
        <v>2</v>
      </c>
      <c r="L47" s="342">
        <v>42032</v>
      </c>
      <c r="M47" s="346">
        <v>162936.63</v>
      </c>
      <c r="N47" s="347">
        <v>42075</v>
      </c>
      <c r="O47" s="405">
        <f t="shared" si="3"/>
        <v>43</v>
      </c>
      <c r="P47" s="349" t="str">
        <f>IF(M47="en attente",J47,"")</f>
        <v/>
      </c>
      <c r="Q47" s="349">
        <f t="shared" si="7"/>
        <v>0</v>
      </c>
      <c r="R47" s="349"/>
      <c r="S47" s="162"/>
    </row>
    <row r="48" spans="1:19" s="26" customFormat="1" outlineLevel="1" x14ac:dyDescent="0.2">
      <c r="A48" s="351" t="s">
        <v>46</v>
      </c>
      <c r="B48" s="436"/>
      <c r="C48" s="353"/>
      <c r="D48" s="353"/>
      <c r="E48" s="353"/>
      <c r="F48" s="353"/>
      <c r="G48" s="353"/>
      <c r="H48" s="435"/>
      <c r="I48" s="962">
        <f>J48/$H$45+I47</f>
        <v>1</v>
      </c>
      <c r="J48" s="354">
        <f>H45-J46-J47</f>
        <v>477305.86</v>
      </c>
      <c r="K48" s="355">
        <v>3</v>
      </c>
      <c r="L48" s="353">
        <v>42697</v>
      </c>
      <c r="M48" s="356">
        <v>477305.86</v>
      </c>
      <c r="N48" s="357">
        <v>42758</v>
      </c>
      <c r="O48" s="424"/>
      <c r="P48" s="359" t="str">
        <f>IF(M48="en attente",J48,"")</f>
        <v/>
      </c>
      <c r="Q48" s="359">
        <f t="shared" si="7"/>
        <v>0</v>
      </c>
      <c r="R48" s="359"/>
      <c r="S48" s="162"/>
    </row>
    <row r="49" spans="1:19" s="106" customFormat="1" ht="12.2" customHeight="1" x14ac:dyDescent="0.2">
      <c r="A49" s="397" t="s">
        <v>7</v>
      </c>
      <c r="B49" s="428" t="s">
        <v>181</v>
      </c>
      <c r="C49" s="409">
        <v>41207</v>
      </c>
      <c r="D49" s="321">
        <f>DATE(YEAR(C49)+2,MONTH(C49),DAY(C49))</f>
        <v>41937</v>
      </c>
      <c r="E49" s="409">
        <v>41295</v>
      </c>
      <c r="F49" s="409">
        <f>DATE(YEAR(E49)+4,MONTH(E49),DAY(E49))</f>
        <v>42756</v>
      </c>
      <c r="G49" s="409">
        <v>42326</v>
      </c>
      <c r="H49" s="402">
        <v>440000</v>
      </c>
      <c r="I49" s="399"/>
      <c r="J49" s="399"/>
      <c r="K49" s="410"/>
      <c r="L49" s="409"/>
      <c r="M49" s="402">
        <f>SUM(M50:M52)</f>
        <v>440000</v>
      </c>
      <c r="N49" s="415"/>
      <c r="O49" s="425"/>
      <c r="P49" s="411">
        <f>SUM(P50:P52)</f>
        <v>0</v>
      </c>
      <c r="Q49" s="411">
        <f>SUM(Q50:Q52)</f>
        <v>0</v>
      </c>
      <c r="R49" s="411"/>
      <c r="S49" s="162">
        <f>H49-(M49+P49+Q49)</f>
        <v>0</v>
      </c>
    </row>
    <row r="50" spans="1:19" s="26" customFormat="1" ht="12.2" customHeight="1" outlineLevel="1" x14ac:dyDescent="0.2">
      <c r="A50" s="329" t="s">
        <v>7</v>
      </c>
      <c r="B50" s="429"/>
      <c r="C50" s="407" t="s">
        <v>197</v>
      </c>
      <c r="D50" s="342"/>
      <c r="E50" s="407" t="s">
        <v>197</v>
      </c>
      <c r="F50" s="342"/>
      <c r="G50" s="342"/>
      <c r="H50" s="435"/>
      <c r="I50" s="963">
        <f>J50/$H$49</f>
        <v>0.39935324999999999</v>
      </c>
      <c r="J50" s="344">
        <v>175715.43</v>
      </c>
      <c r="K50" s="345">
        <v>1</v>
      </c>
      <c r="L50" s="342">
        <v>41554</v>
      </c>
      <c r="M50" s="346">
        <v>175715.43</v>
      </c>
      <c r="N50" s="347">
        <v>41683</v>
      </c>
      <c r="O50" s="405">
        <f t="shared" si="3"/>
        <v>129</v>
      </c>
      <c r="P50" s="349" t="str">
        <f>IF(M50="en attente",J50,"")</f>
        <v/>
      </c>
      <c r="Q50" s="349">
        <f t="shared" si="7"/>
        <v>0</v>
      </c>
      <c r="R50" s="452"/>
      <c r="S50" s="162"/>
    </row>
    <row r="51" spans="1:19" s="26" customFormat="1" ht="12.2" customHeight="1" outlineLevel="1" x14ac:dyDescent="0.2">
      <c r="A51" s="329" t="s">
        <v>7</v>
      </c>
      <c r="B51" s="429"/>
      <c r="C51" s="342"/>
      <c r="D51" s="342"/>
      <c r="E51" s="342"/>
      <c r="F51" s="342"/>
      <c r="G51" s="342"/>
      <c r="H51" s="435"/>
      <c r="I51" s="963">
        <f>J51/$H$49+I50</f>
        <v>0.8</v>
      </c>
      <c r="J51" s="344">
        <v>176284.57</v>
      </c>
      <c r="K51" s="345">
        <v>2</v>
      </c>
      <c r="L51" s="342">
        <v>42261</v>
      </c>
      <c r="M51" s="346">
        <v>176284.57</v>
      </c>
      <c r="N51" s="347">
        <v>42314</v>
      </c>
      <c r="O51" s="405"/>
      <c r="P51" s="349" t="str">
        <f>IF(M51="en attente",J51,"")</f>
        <v/>
      </c>
      <c r="Q51" s="349">
        <f t="shared" si="7"/>
        <v>0</v>
      </c>
      <c r="R51" s="452"/>
      <c r="S51" s="162"/>
    </row>
    <row r="52" spans="1:19" s="26" customFormat="1" ht="12.2" customHeight="1" outlineLevel="1" x14ac:dyDescent="0.2">
      <c r="A52" s="329" t="s">
        <v>7</v>
      </c>
      <c r="B52" s="429"/>
      <c r="C52" s="342"/>
      <c r="D52" s="342"/>
      <c r="E52" s="342"/>
      <c r="F52" s="342"/>
      <c r="G52" s="342"/>
      <c r="H52" s="435"/>
      <c r="I52" s="961">
        <f>J52/$H$49+I51</f>
        <v>1</v>
      </c>
      <c r="J52" s="344">
        <v>88000</v>
      </c>
      <c r="K52" s="345">
        <v>3</v>
      </c>
      <c r="L52" s="342">
        <v>42740</v>
      </c>
      <c r="M52" s="346">
        <v>88000</v>
      </c>
      <c r="N52" s="347">
        <v>42794</v>
      </c>
      <c r="O52" s="405"/>
      <c r="P52" s="359" t="str">
        <f>IF(M52="en attente",J52,"")</f>
        <v/>
      </c>
      <c r="Q52" s="349">
        <f t="shared" si="7"/>
        <v>0</v>
      </c>
      <c r="R52" s="349"/>
      <c r="S52" s="162"/>
    </row>
    <row r="53" spans="1:19" s="106" customFormat="1" ht="12.2" customHeight="1" x14ac:dyDescent="0.2">
      <c r="A53" s="320" t="s">
        <v>8</v>
      </c>
      <c r="B53" s="434" t="s">
        <v>180</v>
      </c>
      <c r="C53" s="321">
        <v>41185</v>
      </c>
      <c r="D53" s="321">
        <f>DATE(YEAR(C53)+2,MONTH(C53),DAY(C53))</f>
        <v>41915</v>
      </c>
      <c r="E53" s="321">
        <v>41491</v>
      </c>
      <c r="F53" s="321">
        <f>DATE(YEAR(E53)+4,MONTH(E53),DAY(E53))</f>
        <v>42952</v>
      </c>
      <c r="G53" s="321">
        <v>42633</v>
      </c>
      <c r="H53" s="325">
        <v>480000</v>
      </c>
      <c r="I53" s="323"/>
      <c r="J53" s="323"/>
      <c r="K53" s="324"/>
      <c r="L53" s="321"/>
      <c r="M53" s="325">
        <f>SUM(M54:M57)</f>
        <v>480000</v>
      </c>
      <c r="N53" s="326"/>
      <c r="O53" s="420"/>
      <c r="P53" s="328">
        <f>SUM(P54:P57)</f>
        <v>0</v>
      </c>
      <c r="Q53" s="328">
        <f>SUM(Q54:Q57)</f>
        <v>0</v>
      </c>
      <c r="R53" s="328"/>
      <c r="S53" s="162">
        <f>H53-(M53+P53+Q53)</f>
        <v>0</v>
      </c>
    </row>
    <row r="54" spans="1:19" s="26" customFormat="1" ht="12.2" customHeight="1" outlineLevel="1" x14ac:dyDescent="0.2">
      <c r="A54" s="329" t="s">
        <v>8</v>
      </c>
      <c r="B54" s="429"/>
      <c r="C54" s="407" t="s">
        <v>197</v>
      </c>
      <c r="D54" s="342"/>
      <c r="E54" s="407"/>
      <c r="F54" s="342"/>
      <c r="G54" s="342"/>
      <c r="H54" s="435"/>
      <c r="I54" s="961">
        <f>J54/$H$53</f>
        <v>0.37244579166666669</v>
      </c>
      <c r="J54" s="344">
        <v>178773.98</v>
      </c>
      <c r="K54" s="345">
        <v>1</v>
      </c>
      <c r="L54" s="342">
        <v>41674</v>
      </c>
      <c r="M54" s="346">
        <v>178773.98</v>
      </c>
      <c r="N54" s="347">
        <v>41736</v>
      </c>
      <c r="O54" s="405">
        <f t="shared" si="3"/>
        <v>62</v>
      </c>
      <c r="P54" s="349" t="str">
        <f>IF(M54="en attente",J54,"")</f>
        <v/>
      </c>
      <c r="Q54" s="349">
        <f t="shared" si="7"/>
        <v>0</v>
      </c>
      <c r="R54" s="349"/>
      <c r="S54" s="162"/>
    </row>
    <row r="55" spans="1:19" s="26" customFormat="1" ht="12.2" customHeight="1" outlineLevel="1" x14ac:dyDescent="0.2">
      <c r="A55" s="329" t="s">
        <v>8</v>
      </c>
      <c r="B55" s="429"/>
      <c r="C55" s="342"/>
      <c r="D55" s="342"/>
      <c r="E55" s="342"/>
      <c r="F55" s="342"/>
      <c r="G55" s="342"/>
      <c r="H55" s="435"/>
      <c r="I55" s="961">
        <f>J55/$H$53+I54</f>
        <v>0.55404970833333334</v>
      </c>
      <c r="J55" s="344">
        <v>87169.88</v>
      </c>
      <c r="K55" s="345">
        <v>2</v>
      </c>
      <c r="L55" s="342">
        <v>41869</v>
      </c>
      <c r="M55" s="346">
        <v>87169.88</v>
      </c>
      <c r="N55" s="347">
        <v>41915</v>
      </c>
      <c r="O55" s="405">
        <f t="shared" si="3"/>
        <v>46</v>
      </c>
      <c r="P55" s="349" t="str">
        <f>IF(M55="en attente",J55,"")</f>
        <v/>
      </c>
      <c r="Q55" s="349">
        <f t="shared" si="7"/>
        <v>0</v>
      </c>
      <c r="R55" s="349"/>
    </row>
    <row r="56" spans="1:19" s="26" customFormat="1" outlineLevel="1" x14ac:dyDescent="0.2">
      <c r="A56" s="329" t="s">
        <v>8</v>
      </c>
      <c r="B56" s="429"/>
      <c r="C56" s="342"/>
      <c r="D56" s="342"/>
      <c r="E56" s="342"/>
      <c r="F56" s="342"/>
      <c r="G56" s="342"/>
      <c r="H56" s="435"/>
      <c r="I56" s="963">
        <v>0.73329999999999995</v>
      </c>
      <c r="J56" s="344">
        <v>86025.01</v>
      </c>
      <c r="K56" s="345">
        <v>3</v>
      </c>
      <c r="L56" s="342">
        <v>42327</v>
      </c>
      <c r="M56" s="346">
        <v>86025.01</v>
      </c>
      <c r="N56" s="347">
        <v>42422</v>
      </c>
      <c r="O56" s="405">
        <f t="shared" si="3"/>
        <v>95</v>
      </c>
      <c r="P56" s="349" t="str">
        <f>IF(M56="en attente",J56,"")</f>
        <v/>
      </c>
      <c r="Q56" s="349">
        <f t="shared" si="7"/>
        <v>0</v>
      </c>
      <c r="R56" s="349"/>
      <c r="S56" s="162"/>
    </row>
    <row r="57" spans="1:19" s="26" customFormat="1" ht="12.2" customHeight="1" outlineLevel="1" x14ac:dyDescent="0.2">
      <c r="A57" s="351" t="s">
        <v>8</v>
      </c>
      <c r="B57" s="436"/>
      <c r="C57" s="353"/>
      <c r="D57" s="353"/>
      <c r="E57" s="353"/>
      <c r="F57" s="353"/>
      <c r="G57" s="353"/>
      <c r="H57" s="435"/>
      <c r="I57" s="962">
        <v>1</v>
      </c>
      <c r="J57" s="354">
        <f>H53-SUM(J54:J56)</f>
        <v>128031.13</v>
      </c>
      <c r="K57" s="355">
        <v>4</v>
      </c>
      <c r="L57" s="353">
        <v>42920</v>
      </c>
      <c r="M57" s="356">
        <v>128031.13</v>
      </c>
      <c r="N57" s="357">
        <v>43018</v>
      </c>
      <c r="O57" s="424"/>
      <c r="P57" s="359" t="str">
        <f>IF(M57="en attente",J57,"")</f>
        <v/>
      </c>
      <c r="Q57" s="359">
        <f>IF(L57="",J57-M57,0)</f>
        <v>0</v>
      </c>
      <c r="R57" s="359"/>
      <c r="S57" s="162"/>
    </row>
    <row r="58" spans="1:19" s="106" customFormat="1" ht="12.2" customHeight="1" x14ac:dyDescent="0.2">
      <c r="A58" s="397" t="s">
        <v>51</v>
      </c>
      <c r="B58" s="428" t="s">
        <v>179</v>
      </c>
      <c r="C58" s="409">
        <v>41185</v>
      </c>
      <c r="D58" s="321">
        <f>DATE(YEAR(C58)+2,MONTH(C58),DAY(C58))</f>
        <v>41915</v>
      </c>
      <c r="E58" s="409">
        <v>41316</v>
      </c>
      <c r="F58" s="409">
        <f>DATE(YEAR(E58)+4,MONTH(E58),DAY(E58))</f>
        <v>42777</v>
      </c>
      <c r="G58" s="409">
        <v>41873</v>
      </c>
      <c r="H58" s="402">
        <v>138200</v>
      </c>
      <c r="I58" s="399"/>
      <c r="J58" s="399"/>
      <c r="K58" s="410"/>
      <c r="L58" s="409"/>
      <c r="M58" s="402">
        <f>SUM(M59:M60)</f>
        <v>122205.97</v>
      </c>
      <c r="N58" s="415"/>
      <c r="O58" s="425"/>
      <c r="P58" s="411">
        <f>SUM(P59:P60)</f>
        <v>0</v>
      </c>
      <c r="Q58" s="411">
        <f>SUM(Q59:Q60)</f>
        <v>0</v>
      </c>
      <c r="R58" s="411"/>
      <c r="S58" s="162">
        <f>H58-(M58+P58+Q58)</f>
        <v>15994.029999999999</v>
      </c>
    </row>
    <row r="59" spans="1:19" s="26" customFormat="1" ht="12.2" customHeight="1" outlineLevel="1" x14ac:dyDescent="0.2">
      <c r="A59" s="329" t="s">
        <v>51</v>
      </c>
      <c r="B59" s="429"/>
      <c r="C59" s="342" t="s">
        <v>197</v>
      </c>
      <c r="D59" s="342"/>
      <c r="E59" s="342" t="s">
        <v>198</v>
      </c>
      <c r="F59" s="342"/>
      <c r="G59" s="342"/>
      <c r="H59" s="435"/>
      <c r="I59" s="961">
        <f>J59/$H$58</f>
        <v>0.79594232995658465</v>
      </c>
      <c r="J59" s="344">
        <v>109999.23</v>
      </c>
      <c r="K59" s="345">
        <v>1</v>
      </c>
      <c r="L59" s="342">
        <v>41746</v>
      </c>
      <c r="M59" s="346">
        <v>109999.23</v>
      </c>
      <c r="N59" s="347">
        <v>41827</v>
      </c>
      <c r="O59" s="405">
        <f>IF(N59="",$Q$2-L59,N59-L59)</f>
        <v>81</v>
      </c>
      <c r="P59" s="349" t="str">
        <f>IF(M59="en attente",J59,"")</f>
        <v/>
      </c>
      <c r="Q59" s="349">
        <f t="shared" si="7"/>
        <v>0</v>
      </c>
      <c r="R59" s="349"/>
      <c r="S59" s="162"/>
    </row>
    <row r="60" spans="1:19" s="26" customFormat="1" outlineLevel="1" x14ac:dyDescent="0.2">
      <c r="A60" s="329" t="s">
        <v>51</v>
      </c>
      <c r="B60" s="429"/>
      <c r="C60" s="342"/>
      <c r="D60" s="342"/>
      <c r="E60" s="342"/>
      <c r="F60" s="342"/>
      <c r="G60" s="342"/>
      <c r="H60" s="435"/>
      <c r="I60" s="963">
        <f>J60/$H$58+I59</f>
        <v>0.88426895803183792</v>
      </c>
      <c r="J60" s="344">
        <v>12206.74</v>
      </c>
      <c r="K60" s="345">
        <v>2</v>
      </c>
      <c r="L60" s="342">
        <v>42486</v>
      </c>
      <c r="M60" s="346">
        <v>12206.74</v>
      </c>
      <c r="N60" s="347">
        <v>42555</v>
      </c>
      <c r="O60" s="405"/>
      <c r="P60" s="349" t="str">
        <f>IF(M60="en attente",J60,"")</f>
        <v/>
      </c>
      <c r="Q60" s="349">
        <f t="shared" si="7"/>
        <v>0</v>
      </c>
      <c r="R60" s="349" t="s">
        <v>215</v>
      </c>
      <c r="S60" s="162"/>
    </row>
    <row r="61" spans="1:19" s="106" customFormat="1" ht="12.2" customHeight="1" x14ac:dyDescent="0.2">
      <c r="A61" s="320" t="s">
        <v>36</v>
      </c>
      <c r="B61" s="434" t="s">
        <v>178</v>
      </c>
      <c r="C61" s="321">
        <v>41600</v>
      </c>
      <c r="D61" s="321">
        <f>DATE(YEAR(C61)+2,MONTH(C61),DAY(C61))</f>
        <v>42330</v>
      </c>
      <c r="E61" s="321">
        <v>41848</v>
      </c>
      <c r="F61" s="321">
        <f>DATE(YEAR(E61)+4,MONTH(E61),DAY(E61))</f>
        <v>43309</v>
      </c>
      <c r="G61" s="321">
        <v>42333</v>
      </c>
      <c r="H61" s="325">
        <v>238500</v>
      </c>
      <c r="I61" s="323"/>
      <c r="J61" s="323"/>
      <c r="K61" s="324"/>
      <c r="L61" s="321"/>
      <c r="M61" s="325">
        <f>SUM(M62:M64)</f>
        <v>238500</v>
      </c>
      <c r="N61" s="326"/>
      <c r="O61" s="420"/>
      <c r="P61" s="328">
        <f>SUM(P62:P64)</f>
        <v>0</v>
      </c>
      <c r="Q61" s="328">
        <f>SUM(Q62:Q64)</f>
        <v>0</v>
      </c>
      <c r="R61" s="328"/>
      <c r="S61" s="162">
        <f>H61-(M61+P61+Q61)</f>
        <v>0</v>
      </c>
    </row>
    <row r="62" spans="1:19" s="26" customFormat="1" ht="12.2" customHeight="1" outlineLevel="1" x14ac:dyDescent="0.2">
      <c r="A62" s="329" t="s">
        <v>36</v>
      </c>
      <c r="B62" s="429"/>
      <c r="C62" s="407" t="s">
        <v>197</v>
      </c>
      <c r="D62" s="342"/>
      <c r="E62" s="407" t="s">
        <v>197</v>
      </c>
      <c r="F62" s="342"/>
      <c r="G62" s="342"/>
      <c r="H62" s="435"/>
      <c r="I62" s="961">
        <f>J62/$H$61</f>
        <v>0.52422373165618452</v>
      </c>
      <c r="J62" s="344">
        <v>125027.36</v>
      </c>
      <c r="K62" s="345">
        <v>1</v>
      </c>
      <c r="L62" s="342">
        <v>41869</v>
      </c>
      <c r="M62" s="346">
        <v>125027.36</v>
      </c>
      <c r="N62" s="347">
        <v>41925</v>
      </c>
      <c r="O62" s="405">
        <f>IF(N62="",$Q$2-L62,N62-L62)</f>
        <v>56</v>
      </c>
      <c r="P62" s="349" t="str">
        <f>IF(M62="en attente",J62,"")</f>
        <v/>
      </c>
      <c r="Q62" s="349">
        <f t="shared" si="7"/>
        <v>0</v>
      </c>
      <c r="R62" s="452"/>
      <c r="S62" s="162"/>
    </row>
    <row r="63" spans="1:19" s="26" customFormat="1" ht="12.2" customHeight="1" outlineLevel="1" x14ac:dyDescent="0.2">
      <c r="A63" s="329" t="s">
        <v>36</v>
      </c>
      <c r="B63" s="429"/>
      <c r="C63" s="342"/>
      <c r="D63" s="342"/>
      <c r="E63" s="342"/>
      <c r="F63" s="342"/>
      <c r="G63" s="342"/>
      <c r="H63" s="435"/>
      <c r="I63" s="961">
        <f>J63/$H$61+I62</f>
        <v>0.8</v>
      </c>
      <c r="J63" s="344">
        <v>65772.639999999999</v>
      </c>
      <c r="K63" s="345">
        <v>2</v>
      </c>
      <c r="L63" s="342">
        <v>42264</v>
      </c>
      <c r="M63" s="346">
        <v>65772.639999999999</v>
      </c>
      <c r="N63" s="347">
        <v>42325</v>
      </c>
      <c r="O63" s="405"/>
      <c r="P63" s="349" t="str">
        <f>IF(M63="en attente",J63,"")</f>
        <v/>
      </c>
      <c r="Q63" s="349">
        <f t="shared" si="7"/>
        <v>0</v>
      </c>
      <c r="R63" s="349"/>
      <c r="S63" s="162"/>
    </row>
    <row r="64" spans="1:19" s="26" customFormat="1" ht="12.2" customHeight="1" outlineLevel="1" x14ac:dyDescent="0.2">
      <c r="A64" s="351" t="s">
        <v>36</v>
      </c>
      <c r="B64" s="436"/>
      <c r="C64" s="353"/>
      <c r="D64" s="353"/>
      <c r="E64" s="353"/>
      <c r="F64" s="353"/>
      <c r="G64" s="353"/>
      <c r="H64" s="435"/>
      <c r="I64" s="962">
        <f>J64/$H$61+I63</f>
        <v>1</v>
      </c>
      <c r="J64" s="354">
        <f>H61-SUM(J62:J63)</f>
        <v>47700</v>
      </c>
      <c r="K64" s="355">
        <v>3</v>
      </c>
      <c r="L64" s="353">
        <v>42898</v>
      </c>
      <c r="M64" s="356">
        <v>47700</v>
      </c>
      <c r="N64" s="357">
        <v>42940</v>
      </c>
      <c r="O64" s="424"/>
      <c r="P64" s="359" t="str">
        <f>IF(M64="en attente",J64,"")</f>
        <v/>
      </c>
      <c r="Q64" s="349">
        <f t="shared" si="7"/>
        <v>0</v>
      </c>
      <c r="R64" s="359"/>
      <c r="S64" s="162"/>
    </row>
    <row r="65" spans="1:19" s="106" customFormat="1" ht="12.2" customHeight="1" x14ac:dyDescent="0.2">
      <c r="A65" s="397" t="s">
        <v>44</v>
      </c>
      <c r="B65" s="428" t="s">
        <v>177</v>
      </c>
      <c r="C65" s="409">
        <v>41570</v>
      </c>
      <c r="D65" s="321">
        <f>DATE(YEAR(C65)+2,MONTH(C65),DAY(C65))</f>
        <v>42300</v>
      </c>
      <c r="E65" s="409">
        <v>41900</v>
      </c>
      <c r="F65" s="409">
        <f>DATE(YEAR(E65)+4,MONTH(E65),DAY(E65))</f>
        <v>43361</v>
      </c>
      <c r="G65" s="409">
        <v>42576</v>
      </c>
      <c r="H65" s="402">
        <v>180000</v>
      </c>
      <c r="I65" s="399"/>
      <c r="J65" s="399"/>
      <c r="K65" s="410"/>
      <c r="L65" s="409"/>
      <c r="M65" s="402">
        <f>SUM(M66:M69)</f>
        <v>180000</v>
      </c>
      <c r="N65" s="415"/>
      <c r="O65" s="425"/>
      <c r="P65" s="411">
        <f>SUM(P66)</f>
        <v>0</v>
      </c>
      <c r="Q65" s="412">
        <f>SUM(Q66:Q69)</f>
        <v>0</v>
      </c>
      <c r="R65" s="411"/>
      <c r="S65" s="162">
        <f>H65-(M65+P65+Q65)</f>
        <v>0</v>
      </c>
    </row>
    <row r="66" spans="1:19" s="26" customFormat="1" outlineLevel="1" x14ac:dyDescent="0.2">
      <c r="A66" s="329" t="s">
        <v>44</v>
      </c>
      <c r="B66" s="429"/>
      <c r="C66" s="407" t="s">
        <v>197</v>
      </c>
      <c r="D66" s="342"/>
      <c r="E66" s="407" t="s">
        <v>197</v>
      </c>
      <c r="F66" s="342"/>
      <c r="G66" s="342"/>
      <c r="H66" s="435"/>
      <c r="I66" s="963">
        <v>0.35120000000000001</v>
      </c>
      <c r="J66" s="344">
        <v>63214</v>
      </c>
      <c r="K66" s="345">
        <v>1</v>
      </c>
      <c r="L66" s="342">
        <v>42376</v>
      </c>
      <c r="M66" s="346">
        <v>63214</v>
      </c>
      <c r="N66" s="347">
        <v>42433</v>
      </c>
      <c r="O66" s="405"/>
      <c r="P66" s="349" t="str">
        <f>IF(M66="en attente",J66,"")</f>
        <v/>
      </c>
      <c r="Q66" s="349">
        <f t="shared" si="7"/>
        <v>0</v>
      </c>
      <c r="R66" s="452"/>
      <c r="S66" s="162"/>
    </row>
    <row r="67" spans="1:19" s="26" customFormat="1" ht="12.2" customHeight="1" outlineLevel="1" x14ac:dyDescent="0.2">
      <c r="A67" s="329" t="s">
        <v>44</v>
      </c>
      <c r="B67" s="429"/>
      <c r="C67" s="342"/>
      <c r="D67" s="342"/>
      <c r="E67" s="342"/>
      <c r="F67" s="342"/>
      <c r="G67" s="342"/>
      <c r="H67" s="435"/>
      <c r="I67" s="963">
        <v>0.56940000000000002</v>
      </c>
      <c r="J67" s="344">
        <v>39277.519999999997</v>
      </c>
      <c r="K67" s="345">
        <v>2</v>
      </c>
      <c r="L67" s="342">
        <v>42528</v>
      </c>
      <c r="M67" s="346">
        <v>39277.519999999997</v>
      </c>
      <c r="N67" s="347">
        <v>42562</v>
      </c>
      <c r="O67" s="405"/>
      <c r="P67" s="349" t="str">
        <f>IF(M67="en attente",J67,"")</f>
        <v/>
      </c>
      <c r="Q67" s="349">
        <f t="shared" si="7"/>
        <v>0</v>
      </c>
      <c r="R67" s="452"/>
      <c r="S67" s="162"/>
    </row>
    <row r="68" spans="1:19" s="26" customFormat="1" ht="12.2" customHeight="1" outlineLevel="1" x14ac:dyDescent="0.2">
      <c r="A68" s="329" t="s">
        <v>44</v>
      </c>
      <c r="B68" s="429"/>
      <c r="C68" s="342"/>
      <c r="D68" s="342"/>
      <c r="E68" s="342"/>
      <c r="F68" s="342"/>
      <c r="G68" s="342"/>
      <c r="H68" s="435"/>
      <c r="I68" s="961">
        <v>0.8</v>
      </c>
      <c r="J68" s="344">
        <f>(H65*I68)-(J66+J67)</f>
        <v>41508.48000000001</v>
      </c>
      <c r="K68" s="1072">
        <v>3</v>
      </c>
      <c r="L68" s="1074">
        <v>42900</v>
      </c>
      <c r="M68" s="1075">
        <v>77508.479999999996</v>
      </c>
      <c r="N68" s="1074">
        <v>42940</v>
      </c>
      <c r="O68" s="405"/>
      <c r="P68" s="1077"/>
      <c r="Q68" s="349">
        <f t="shared" si="7"/>
        <v>0</v>
      </c>
      <c r="R68" s="349"/>
      <c r="S68" s="162"/>
    </row>
    <row r="69" spans="1:19" s="26" customFormat="1" ht="12.2" customHeight="1" outlineLevel="1" x14ac:dyDescent="0.2">
      <c r="A69" s="329" t="s">
        <v>44</v>
      </c>
      <c r="B69" s="429"/>
      <c r="C69" s="342"/>
      <c r="D69" s="342"/>
      <c r="E69" s="342"/>
      <c r="F69" s="342"/>
      <c r="G69" s="342"/>
      <c r="H69" s="435"/>
      <c r="I69" s="961">
        <f>J69/$H$65+I68</f>
        <v>1</v>
      </c>
      <c r="J69" s="344">
        <f>H65-(J66+J67+J68)</f>
        <v>36000</v>
      </c>
      <c r="K69" s="1073"/>
      <c r="L69" s="1073"/>
      <c r="M69" s="1076"/>
      <c r="N69" s="1073"/>
      <c r="O69" s="405"/>
      <c r="P69" s="1078"/>
      <c r="Q69" s="349">
        <f>P68</f>
        <v>0</v>
      </c>
      <c r="R69" s="349"/>
      <c r="S69" s="162"/>
    </row>
    <row r="70" spans="1:19" s="182" customFormat="1" ht="12.2" customHeight="1" x14ac:dyDescent="0.2">
      <c r="A70" s="320" t="s">
        <v>45</v>
      </c>
      <c r="B70" s="434" t="s">
        <v>176</v>
      </c>
      <c r="C70" s="321">
        <v>41544</v>
      </c>
      <c r="D70" s="321">
        <f>DATE(YEAR(C70)+2,MONTH(C70),DAY(C70))</f>
        <v>42274</v>
      </c>
      <c r="E70" s="321">
        <v>41801</v>
      </c>
      <c r="F70" s="321">
        <f>DATE(YEAR(E70)+4,MONTH(E70),DAY(E70))</f>
        <v>43262</v>
      </c>
      <c r="G70" s="326">
        <v>42726</v>
      </c>
      <c r="H70" s="325">
        <v>1303101.69</v>
      </c>
      <c r="I70" s="323"/>
      <c r="J70" s="323"/>
      <c r="K70" s="324"/>
      <c r="L70" s="321"/>
      <c r="M70" s="325">
        <f>SUM(M71:M76)</f>
        <v>1303101.6900000002</v>
      </c>
      <c r="N70" s="326"/>
      <c r="O70" s="420"/>
      <c r="P70" s="328">
        <f>SUM(P71:P76)</f>
        <v>0</v>
      </c>
      <c r="Q70" s="328">
        <f>SUM(Q71:Q76)</f>
        <v>0</v>
      </c>
      <c r="R70" s="328"/>
      <c r="S70" s="163">
        <f>H70-(M70+P70+Q70)</f>
        <v>0</v>
      </c>
    </row>
    <row r="71" spans="1:19" s="26" customFormat="1" ht="12.2" customHeight="1" outlineLevel="1" x14ac:dyDescent="0.2">
      <c r="A71" s="329" t="s">
        <v>45</v>
      </c>
      <c r="B71" s="429"/>
      <c r="C71" s="407" t="s">
        <v>197</v>
      </c>
      <c r="D71" s="342"/>
      <c r="E71" s="407" t="s">
        <v>197</v>
      </c>
      <c r="F71" s="342"/>
      <c r="G71" s="342"/>
      <c r="H71" s="435"/>
      <c r="I71" s="961">
        <f>J71/$H$70</f>
        <v>0.47003906502492526</v>
      </c>
      <c r="J71" s="344">
        <v>612508.69999999995</v>
      </c>
      <c r="K71" s="345">
        <v>1</v>
      </c>
      <c r="L71" s="342">
        <v>42226</v>
      </c>
      <c r="M71" s="346">
        <v>612508.69999999995</v>
      </c>
      <c r="N71" s="347">
        <v>42307</v>
      </c>
      <c r="O71" s="405"/>
      <c r="P71" s="349" t="str">
        <f t="shared" ref="P71:P76" si="9">IF(M71="en attente",J71,"")</f>
        <v/>
      </c>
      <c r="Q71" s="349">
        <f t="shared" si="7"/>
        <v>0</v>
      </c>
      <c r="R71" s="349"/>
      <c r="S71" s="162"/>
    </row>
    <row r="72" spans="1:19" s="26" customFormat="1" ht="12.2" customHeight="1" outlineLevel="1" x14ac:dyDescent="0.2">
      <c r="A72" s="329" t="s">
        <v>45</v>
      </c>
      <c r="B72" s="429"/>
      <c r="C72" s="342"/>
      <c r="D72" s="342"/>
      <c r="E72" s="342"/>
      <c r="F72" s="723"/>
      <c r="G72" s="342"/>
      <c r="H72" s="435"/>
      <c r="I72" s="963">
        <v>0.57240000000000002</v>
      </c>
      <c r="J72" s="344">
        <v>133340.79999999999</v>
      </c>
      <c r="K72" s="345">
        <v>2</v>
      </c>
      <c r="L72" s="342">
        <v>42409</v>
      </c>
      <c r="M72" s="346">
        <v>133340.79999999999</v>
      </c>
      <c r="N72" s="347">
        <v>42488</v>
      </c>
      <c r="O72" s="405"/>
      <c r="P72" s="349" t="str">
        <f t="shared" si="9"/>
        <v/>
      </c>
      <c r="Q72" s="349">
        <f t="shared" si="7"/>
        <v>0</v>
      </c>
      <c r="R72" s="349"/>
      <c r="S72" s="162"/>
    </row>
    <row r="73" spans="1:19" s="26" customFormat="1" ht="12.2" customHeight="1" outlineLevel="1" x14ac:dyDescent="0.2">
      <c r="A73" s="329" t="s">
        <v>45</v>
      </c>
      <c r="B73" s="429"/>
      <c r="C73" s="342"/>
      <c r="D73" s="342"/>
      <c r="E73" s="342"/>
      <c r="F73" s="342"/>
      <c r="G73" s="342"/>
      <c r="H73" s="435"/>
      <c r="I73" s="963">
        <v>0.68020000000000003</v>
      </c>
      <c r="J73" s="344">
        <v>140471.13</v>
      </c>
      <c r="K73" s="345">
        <v>3</v>
      </c>
      <c r="L73" s="342">
        <v>42544</v>
      </c>
      <c r="M73" s="346">
        <v>140471.13</v>
      </c>
      <c r="N73" s="347">
        <v>42578</v>
      </c>
      <c r="O73" s="405"/>
      <c r="P73" s="349" t="str">
        <f t="shared" si="9"/>
        <v/>
      </c>
      <c r="Q73" s="349">
        <f t="shared" si="7"/>
        <v>0</v>
      </c>
      <c r="R73" s="349"/>
      <c r="S73" s="162"/>
    </row>
    <row r="74" spans="1:19" s="26" customFormat="1" ht="12.2" customHeight="1" outlineLevel="1" x14ac:dyDescent="0.2">
      <c r="A74" s="329" t="s">
        <v>45</v>
      </c>
      <c r="B74" s="429"/>
      <c r="C74" s="342"/>
      <c r="D74" s="342"/>
      <c r="E74" s="342"/>
      <c r="F74" s="342"/>
      <c r="G74" s="342"/>
      <c r="H74" s="435"/>
      <c r="I74" s="963">
        <v>0.76839999999999997</v>
      </c>
      <c r="J74" s="344">
        <v>114954.43</v>
      </c>
      <c r="K74" s="345">
        <v>4</v>
      </c>
      <c r="L74" s="342">
        <v>42635</v>
      </c>
      <c r="M74" s="346">
        <v>114954.43</v>
      </c>
      <c r="N74" s="347">
        <v>42667</v>
      </c>
      <c r="O74" s="405"/>
      <c r="P74" s="349" t="str">
        <f t="shared" si="9"/>
        <v/>
      </c>
      <c r="Q74" s="349">
        <f t="shared" si="7"/>
        <v>0</v>
      </c>
      <c r="R74" s="349"/>
      <c r="S74" s="162"/>
    </row>
    <row r="75" spans="1:19" s="26" customFormat="1" ht="12.2" customHeight="1" outlineLevel="1" x14ac:dyDescent="0.2">
      <c r="A75" s="329" t="s">
        <v>45</v>
      </c>
      <c r="B75" s="429"/>
      <c r="C75" s="342"/>
      <c r="D75" s="342"/>
      <c r="E75" s="342"/>
      <c r="F75" s="342"/>
      <c r="G75" s="342"/>
      <c r="H75" s="435"/>
      <c r="I75" s="964">
        <v>0.8</v>
      </c>
      <c r="J75" s="344">
        <f>H70*80%-(J71+J72+J73+J74)</f>
        <v>41206.291999999899</v>
      </c>
      <c r="K75" s="345">
        <v>5</v>
      </c>
      <c r="L75" s="342">
        <v>42678</v>
      </c>
      <c r="M75" s="700">
        <v>41206.29</v>
      </c>
      <c r="N75" s="347">
        <v>42752</v>
      </c>
      <c r="O75" s="405"/>
      <c r="P75" s="349" t="str">
        <f t="shared" si="9"/>
        <v/>
      </c>
      <c r="Q75" s="349">
        <f t="shared" si="7"/>
        <v>0</v>
      </c>
      <c r="R75" s="349"/>
      <c r="S75" s="162"/>
    </row>
    <row r="76" spans="1:19" s="26" customFormat="1" ht="12.2" customHeight="1" outlineLevel="1" x14ac:dyDescent="0.2">
      <c r="A76" s="351" t="s">
        <v>45</v>
      </c>
      <c r="B76" s="436"/>
      <c r="C76" s="353"/>
      <c r="D76" s="353"/>
      <c r="E76" s="353"/>
      <c r="F76" s="353"/>
      <c r="G76" s="353"/>
      <c r="H76" s="435"/>
      <c r="I76" s="962">
        <f>J76/$H$70+I75</f>
        <v>1</v>
      </c>
      <c r="J76" s="344">
        <f>H70-(J71+J72+J73+J74+J75)</f>
        <v>260620.33799999999</v>
      </c>
      <c r="K76" s="355">
        <v>6</v>
      </c>
      <c r="L76" s="353">
        <v>43251</v>
      </c>
      <c r="M76" s="356">
        <v>260620.34</v>
      </c>
      <c r="N76" s="357">
        <v>43412</v>
      </c>
      <c r="O76" s="424"/>
      <c r="P76" s="359" t="str">
        <f t="shared" si="9"/>
        <v/>
      </c>
      <c r="Q76" s="359">
        <f t="shared" si="7"/>
        <v>0</v>
      </c>
      <c r="R76" s="359"/>
      <c r="S76" s="162"/>
    </row>
    <row r="77" spans="1:19" s="106" customFormat="1" ht="12.2" customHeight="1" x14ac:dyDescent="0.2">
      <c r="A77" s="320" t="s">
        <v>50</v>
      </c>
      <c r="B77" s="434" t="s">
        <v>174</v>
      </c>
      <c r="C77" s="321">
        <v>41612</v>
      </c>
      <c r="D77" s="321">
        <f>DATE(YEAR(C77)+2,MONTH(C77),DAY(C77))</f>
        <v>42342</v>
      </c>
      <c r="E77" s="321">
        <v>42339</v>
      </c>
      <c r="F77" s="321">
        <f>DATE(YEAR(E77)+4,MONTH(E77),DAY(E77))</f>
        <v>43800</v>
      </c>
      <c r="G77" s="321">
        <v>42865</v>
      </c>
      <c r="H77" s="325">
        <v>300000</v>
      </c>
      <c r="I77" s="323"/>
      <c r="J77" s="323"/>
      <c r="K77" s="324"/>
      <c r="L77" s="321"/>
      <c r="M77" s="325">
        <f>SUM(M78:M82)</f>
        <v>299999.90000000002</v>
      </c>
      <c r="N77" s="326"/>
      <c r="O77" s="420"/>
      <c r="P77" s="328">
        <f>SUM(P78:P82)</f>
        <v>0</v>
      </c>
      <c r="Q77" s="328">
        <f>SUM(Q78:Q82)</f>
        <v>0</v>
      </c>
      <c r="R77" s="328"/>
      <c r="S77" s="162">
        <f>H77-(M77+P77+Q77)</f>
        <v>9.9999999976716936E-2</v>
      </c>
    </row>
    <row r="78" spans="1:19" s="26" customFormat="1" ht="12.2" customHeight="1" outlineLevel="1" x14ac:dyDescent="0.2">
      <c r="A78" s="329" t="s">
        <v>50</v>
      </c>
      <c r="B78" s="429"/>
      <c r="C78" s="407" t="s">
        <v>197</v>
      </c>
      <c r="D78" s="407" t="s">
        <v>199</v>
      </c>
      <c r="E78" s="342"/>
      <c r="F78" s="342"/>
      <c r="G78" s="342"/>
      <c r="H78" s="435"/>
      <c r="I78" s="963">
        <v>0.4415</v>
      </c>
      <c r="J78" s="344">
        <v>132435.64000000001</v>
      </c>
      <c r="K78" s="345">
        <v>1</v>
      </c>
      <c r="L78" s="342">
        <v>42355</v>
      </c>
      <c r="M78" s="346">
        <v>133435.64000000001</v>
      </c>
      <c r="N78" s="347">
        <v>42481</v>
      </c>
      <c r="O78" s="405"/>
      <c r="P78" s="411" t="str">
        <f>IF(M78="en attente",J78,"")</f>
        <v/>
      </c>
      <c r="Q78" s="349">
        <f>IF(L78="",J78-M78,0)</f>
        <v>0</v>
      </c>
      <c r="R78" s="349" t="s">
        <v>216</v>
      </c>
      <c r="S78" s="162"/>
    </row>
    <row r="79" spans="1:19" s="26" customFormat="1" ht="12.2" customHeight="1" outlineLevel="1" x14ac:dyDescent="0.2">
      <c r="A79" s="329" t="s">
        <v>50</v>
      </c>
      <c r="B79" s="429"/>
      <c r="C79" s="342"/>
      <c r="D79" s="342"/>
      <c r="E79" s="342"/>
      <c r="F79" s="342"/>
      <c r="G79" s="342"/>
      <c r="H79" s="435"/>
      <c r="I79" s="963">
        <v>0.52359999999999995</v>
      </c>
      <c r="J79" s="344">
        <f>24650.71</f>
        <v>24650.71</v>
      </c>
      <c r="K79" s="345">
        <v>2</v>
      </c>
      <c r="L79" s="342">
        <v>42513</v>
      </c>
      <c r="M79" s="346">
        <v>23650.71</v>
      </c>
      <c r="N79" s="347">
        <v>42562</v>
      </c>
      <c r="O79" s="405"/>
      <c r="P79" s="411" t="str">
        <f>IF(M79="en attente",J79,"")</f>
        <v/>
      </c>
      <c r="Q79" s="349">
        <f>IF(L79="",J79-M79,0)</f>
        <v>0</v>
      </c>
      <c r="R79" s="349" t="s">
        <v>248</v>
      </c>
      <c r="S79" s="162"/>
    </row>
    <row r="80" spans="1:19" s="26" customFormat="1" ht="12.2" customHeight="1" outlineLevel="1" x14ac:dyDescent="0.2">
      <c r="A80" s="329" t="s">
        <v>50</v>
      </c>
      <c r="B80" s="429"/>
      <c r="C80" s="342"/>
      <c r="D80" s="342"/>
      <c r="E80" s="342"/>
      <c r="F80" s="342"/>
      <c r="G80" s="342"/>
      <c r="H80" s="435"/>
      <c r="I80" s="963">
        <v>0.69289999999999996</v>
      </c>
      <c r="J80" s="344">
        <v>50793.72</v>
      </c>
      <c r="K80" s="345">
        <v>3</v>
      </c>
      <c r="L80" s="342">
        <v>42761</v>
      </c>
      <c r="M80" s="346">
        <v>50793.72</v>
      </c>
      <c r="N80" s="347">
        <v>42795</v>
      </c>
      <c r="O80" s="405"/>
      <c r="P80" s="411" t="str">
        <f>IF(M80="en attente",J80,"")</f>
        <v/>
      </c>
      <c r="Q80" s="349">
        <f>IF(L80="",J80-M80,0)</f>
        <v>0</v>
      </c>
      <c r="R80" s="349"/>
      <c r="S80" s="162"/>
    </row>
    <row r="81" spans="1:19" s="26" customFormat="1" ht="12.2" customHeight="1" outlineLevel="1" x14ac:dyDescent="0.2">
      <c r="A81" s="329" t="s">
        <v>50</v>
      </c>
      <c r="B81" s="429"/>
      <c r="C81" s="342"/>
      <c r="D81" s="342"/>
      <c r="E81" s="342"/>
      <c r="F81" s="342"/>
      <c r="G81" s="342"/>
      <c r="H81" s="435"/>
      <c r="I81" s="961">
        <v>0.8</v>
      </c>
      <c r="J81" s="344">
        <f>H77*I81-(J78+J79+J80)</f>
        <v>32119.929999999993</v>
      </c>
      <c r="K81" s="345">
        <v>4</v>
      </c>
      <c r="L81" s="342">
        <v>42817</v>
      </c>
      <c r="M81" s="346">
        <v>32119.83</v>
      </c>
      <c r="N81" s="347">
        <v>42843</v>
      </c>
      <c r="O81" s="405"/>
      <c r="P81" s="411" t="str">
        <f>IF(M81="en attente",J81,"")</f>
        <v/>
      </c>
      <c r="Q81" s="349">
        <f>IF(L81="",J81-M81,0)</f>
        <v>0</v>
      </c>
      <c r="R81" s="349"/>
      <c r="S81" s="162"/>
    </row>
    <row r="82" spans="1:19" s="26" customFormat="1" ht="12.2" customHeight="1" outlineLevel="1" x14ac:dyDescent="0.2">
      <c r="A82" s="351" t="s">
        <v>50</v>
      </c>
      <c r="B82" s="436"/>
      <c r="C82" s="353"/>
      <c r="D82" s="353"/>
      <c r="E82" s="353"/>
      <c r="F82" s="353"/>
      <c r="G82" s="353"/>
      <c r="H82" s="435"/>
      <c r="I82" s="962">
        <v>1</v>
      </c>
      <c r="J82" s="354">
        <v>60000.1</v>
      </c>
      <c r="K82" s="355">
        <v>5</v>
      </c>
      <c r="L82" s="353">
        <v>43439</v>
      </c>
      <c r="M82" s="356">
        <v>60000</v>
      </c>
      <c r="N82" s="357">
        <v>43455</v>
      </c>
      <c r="O82" s="424"/>
      <c r="P82" s="411" t="str">
        <f>IF(M82="en attente",J82,"")</f>
        <v/>
      </c>
      <c r="Q82" s="359">
        <f>IF(L82="",J82-M82,0)</f>
        <v>0</v>
      </c>
      <c r="R82" s="359"/>
      <c r="S82" s="162"/>
    </row>
    <row r="83" spans="1:19" s="106" customFormat="1" ht="12.2" customHeight="1" x14ac:dyDescent="0.2">
      <c r="A83" s="320" t="s">
        <v>31</v>
      </c>
      <c r="B83" s="434" t="s">
        <v>196</v>
      </c>
      <c r="C83" s="321">
        <v>41841</v>
      </c>
      <c r="D83" s="321">
        <f>DATE(YEAR(C83)+3,MONTH(C83),DAY(C83))</f>
        <v>42937</v>
      </c>
      <c r="E83" s="321">
        <v>42933</v>
      </c>
      <c r="F83" s="728" t="s">
        <v>288</v>
      </c>
      <c r="G83" s="321"/>
      <c r="H83" s="325">
        <v>315000</v>
      </c>
      <c r="I83" s="323"/>
      <c r="J83" s="323"/>
      <c r="K83" s="324"/>
      <c r="L83" s="321"/>
      <c r="M83" s="325">
        <f>SUM(M84:M85)</f>
        <v>314717.28000000003</v>
      </c>
      <c r="N83" s="326"/>
      <c r="O83" s="420"/>
      <c r="P83" s="328">
        <f>SUM(P85)</f>
        <v>0</v>
      </c>
      <c r="Q83" s="328">
        <f>SUM(Q84:Q85)</f>
        <v>0</v>
      </c>
      <c r="R83" s="328"/>
      <c r="S83" s="162">
        <f>H83-(M83+P83+Q83)</f>
        <v>282.71999999997206</v>
      </c>
    </row>
    <row r="84" spans="1:19" s="201" customFormat="1" ht="12.2" customHeight="1" outlineLevel="1" x14ac:dyDescent="0.2">
      <c r="A84" s="329" t="s">
        <v>31</v>
      </c>
      <c r="B84" s="429"/>
      <c r="C84" s="409"/>
      <c r="D84" s="409"/>
      <c r="E84" s="409"/>
      <c r="F84" s="650" t="s">
        <v>289</v>
      </c>
      <c r="G84" s="409"/>
      <c r="H84" s="968"/>
      <c r="I84" s="963">
        <v>0.53259999999999996</v>
      </c>
      <c r="J84" s="344">
        <v>167784.32000000001</v>
      </c>
      <c r="K84" s="345">
        <v>1</v>
      </c>
      <c r="L84" s="342">
        <v>42942</v>
      </c>
      <c r="M84" s="346">
        <v>167784.32000000001</v>
      </c>
      <c r="N84" s="347">
        <v>43006</v>
      </c>
      <c r="O84" s="425"/>
      <c r="P84" s="411" t="str">
        <f>IF(M84="en attente",J84,"")</f>
        <v/>
      </c>
      <c r="Q84" s="349">
        <f>IF(L84="",J84-M84,0)</f>
        <v>0</v>
      </c>
      <c r="R84" s="349" t="s">
        <v>348</v>
      </c>
      <c r="S84" s="164"/>
    </row>
    <row r="85" spans="1:19" s="26" customFormat="1" ht="12.2" customHeight="1" outlineLevel="1" x14ac:dyDescent="0.2">
      <c r="A85" s="329" t="s">
        <v>31</v>
      </c>
      <c r="B85" s="429"/>
      <c r="C85" s="342"/>
      <c r="D85" s="342"/>
      <c r="E85" s="342" t="s">
        <v>256</v>
      </c>
      <c r="F85" s="342"/>
      <c r="G85" s="342"/>
      <c r="H85" s="435"/>
      <c r="I85" s="961">
        <v>0.99909999999999999</v>
      </c>
      <c r="J85" s="344">
        <v>146932.96</v>
      </c>
      <c r="K85" s="345">
        <v>2</v>
      </c>
      <c r="L85" s="342">
        <v>43392</v>
      </c>
      <c r="M85" s="346">
        <v>146932.96</v>
      </c>
      <c r="N85" s="347">
        <v>43424</v>
      </c>
      <c r="O85" s="405"/>
      <c r="P85" s="349" t="str">
        <f>IF(M85="en attente",J85,"")</f>
        <v/>
      </c>
      <c r="Q85" s="349">
        <f>IF(L85="",J85-M85,0)</f>
        <v>0</v>
      </c>
      <c r="R85" s="349"/>
      <c r="S85" s="162"/>
    </row>
    <row r="86" spans="1:19" s="106" customFormat="1" ht="12.2" customHeight="1" x14ac:dyDescent="0.2">
      <c r="A86" s="118" t="s">
        <v>49</v>
      </c>
      <c r="B86" s="304" t="s">
        <v>175</v>
      </c>
      <c r="C86" s="157">
        <v>41544</v>
      </c>
      <c r="D86" s="157">
        <f>DATE(YEAR(C86)+2,MONTH(C86),DAY(C86))</f>
        <v>42274</v>
      </c>
      <c r="E86" s="157">
        <v>41729</v>
      </c>
      <c r="F86" s="157">
        <f>DATE(YEAR(E86)+4,MONTH(E86),DAY(E86))</f>
        <v>43190</v>
      </c>
      <c r="G86" s="157">
        <v>43131</v>
      </c>
      <c r="H86" s="125">
        <v>680000</v>
      </c>
      <c r="I86" s="122"/>
      <c r="J86" s="122"/>
      <c r="K86" s="137"/>
      <c r="L86" s="157"/>
      <c r="M86" s="125">
        <f>SUM(M87:M89)</f>
        <v>543734.56000000006</v>
      </c>
      <c r="N86" s="150"/>
      <c r="O86" s="151"/>
      <c r="P86" s="158">
        <f>SUM(P87:P89)</f>
        <v>136265.43999999994</v>
      </c>
      <c r="Q86" s="158">
        <f>SUM(Q87:Q89)</f>
        <v>0</v>
      </c>
      <c r="R86" s="158"/>
      <c r="S86" s="162">
        <f>H86-(M86+P86+Q86)</f>
        <v>0</v>
      </c>
    </row>
    <row r="87" spans="1:19" s="26" customFormat="1" ht="12.2" customHeight="1" outlineLevel="1" x14ac:dyDescent="0.2">
      <c r="A87" s="46" t="s">
        <v>49</v>
      </c>
      <c r="B87" s="305"/>
      <c r="C87" s="29" t="s">
        <v>197</v>
      </c>
      <c r="D87" s="15"/>
      <c r="E87" s="29" t="s">
        <v>197</v>
      </c>
      <c r="F87" s="626"/>
      <c r="G87" s="15"/>
      <c r="I87" s="624">
        <f>J87/$H$86</f>
        <v>0.47570761764705882</v>
      </c>
      <c r="J87" s="23">
        <v>323481.18</v>
      </c>
      <c r="K87" s="42">
        <v>1</v>
      </c>
      <c r="L87" s="15">
        <v>41746</v>
      </c>
      <c r="M87" s="24">
        <v>323481.18</v>
      </c>
      <c r="N87" s="30">
        <v>41814</v>
      </c>
      <c r="O87" s="43">
        <f>IF(N87="",$Q$2-L87,N87-L87)</f>
        <v>68</v>
      </c>
      <c r="P87" s="80" t="str">
        <f>IF(M87="en attente",J87,"")</f>
        <v/>
      </c>
      <c r="Q87" s="80">
        <f t="shared" si="7"/>
        <v>0</v>
      </c>
      <c r="R87" s="80"/>
      <c r="S87" s="162"/>
    </row>
    <row r="88" spans="1:19" s="26" customFormat="1" ht="12.2" customHeight="1" outlineLevel="1" x14ac:dyDescent="0.2">
      <c r="A88" s="46" t="s">
        <v>49</v>
      </c>
      <c r="B88" s="305"/>
      <c r="C88" s="15"/>
      <c r="D88" s="15"/>
      <c r="E88" s="15"/>
      <c r="F88" s="15"/>
      <c r="G88" s="15"/>
      <c r="I88" s="648">
        <f>J88/$H$86+I87</f>
        <v>0.79960964705882354</v>
      </c>
      <c r="J88" s="23">
        <v>220253.38</v>
      </c>
      <c r="K88" s="42">
        <v>2</v>
      </c>
      <c r="L88" s="15">
        <v>42264</v>
      </c>
      <c r="M88" s="24">
        <v>220253.38</v>
      </c>
      <c r="N88" s="30">
        <v>42325</v>
      </c>
      <c r="O88" s="43"/>
      <c r="P88" s="80" t="str">
        <f>IF(M88="en attente",J88,"")</f>
        <v/>
      </c>
      <c r="Q88" s="80">
        <f t="shared" si="7"/>
        <v>0</v>
      </c>
      <c r="R88" s="80"/>
      <c r="S88" s="162"/>
    </row>
    <row r="89" spans="1:19" s="26" customFormat="1" ht="12.2" customHeight="1" outlineLevel="1" x14ac:dyDescent="0.2">
      <c r="A89" s="117" t="s">
        <v>49</v>
      </c>
      <c r="B89" s="306"/>
      <c r="C89" s="36"/>
      <c r="D89" s="36"/>
      <c r="E89" s="36"/>
      <c r="F89" s="36"/>
      <c r="G89" s="36"/>
      <c r="I89" s="868">
        <f>J89/$H$86+I88</f>
        <v>0.99999999999999989</v>
      </c>
      <c r="J89" s="35">
        <f>H86-SUM(J87:J88)</f>
        <v>136265.43999999994</v>
      </c>
      <c r="K89" s="44">
        <v>3</v>
      </c>
      <c r="L89" s="36">
        <v>43181</v>
      </c>
      <c r="M89" s="153" t="s">
        <v>259</v>
      </c>
      <c r="N89" s="154"/>
      <c r="O89" s="155"/>
      <c r="P89" s="156">
        <f>IF(M89="en attente",J89,"")</f>
        <v>136265.43999999994</v>
      </c>
      <c r="Q89" s="156">
        <f t="shared" si="7"/>
        <v>0</v>
      </c>
      <c r="R89" s="753" t="s">
        <v>318</v>
      </c>
      <c r="S89" s="162"/>
    </row>
    <row r="90" spans="1:19" s="106" customFormat="1" ht="12.2" customHeight="1" x14ac:dyDescent="0.2">
      <c r="A90" s="128" t="s">
        <v>30</v>
      </c>
      <c r="B90" s="307" t="s">
        <v>173</v>
      </c>
      <c r="C90" s="148">
        <v>41544</v>
      </c>
      <c r="D90" s="148">
        <f>DATE(YEAR(C90)+2,MONTH(C90),DAY(C90))</f>
        <v>42274</v>
      </c>
      <c r="E90" s="148">
        <v>42142</v>
      </c>
      <c r="F90" s="148">
        <f>DATE(YEAR(E90)+4,MONTH(E90),DAY(E90))</f>
        <v>43603</v>
      </c>
      <c r="G90" s="148">
        <v>43075</v>
      </c>
      <c r="H90" s="122">
        <v>2200000</v>
      </c>
      <c r="I90" s="131"/>
      <c r="J90" s="131"/>
      <c r="K90" s="132"/>
      <c r="L90" s="148"/>
      <c r="M90" s="134">
        <f>SUM(M91:M98)</f>
        <v>1623747.5200000003</v>
      </c>
      <c r="N90" s="146"/>
      <c r="O90" s="147"/>
      <c r="P90" s="183">
        <f>SUM(P91:P98)</f>
        <v>576252.48</v>
      </c>
      <c r="Q90" s="149">
        <f>SUM(Q91:Q98)</f>
        <v>0</v>
      </c>
      <c r="R90" s="149"/>
      <c r="S90" s="162">
        <f>H90-(M90+P90+Q90)</f>
        <v>0</v>
      </c>
    </row>
    <row r="91" spans="1:19" s="26" customFormat="1" ht="12.2" customHeight="1" outlineLevel="1" x14ac:dyDescent="0.2">
      <c r="A91" s="46" t="s">
        <v>30</v>
      </c>
      <c r="B91" s="305"/>
      <c r="C91" s="29" t="s">
        <v>197</v>
      </c>
      <c r="D91" s="29"/>
      <c r="E91" s="29" t="s">
        <v>197</v>
      </c>
      <c r="F91" s="15"/>
      <c r="G91" s="15"/>
      <c r="I91" s="648">
        <v>0.50160000000000005</v>
      </c>
      <c r="J91" s="23">
        <v>1125520</v>
      </c>
      <c r="K91" s="42">
        <v>1</v>
      </c>
      <c r="L91" s="15">
        <v>42314</v>
      </c>
      <c r="M91" s="24">
        <v>1125520</v>
      </c>
      <c r="N91" s="30">
        <v>42384</v>
      </c>
      <c r="O91" s="43"/>
      <c r="P91" s="80" t="str">
        <f t="shared" ref="P91:P103" si="10">IF(M91="en attente",J91,"")</f>
        <v/>
      </c>
      <c r="Q91" s="80">
        <f t="shared" si="7"/>
        <v>0</v>
      </c>
      <c r="R91" s="80"/>
      <c r="S91" s="162"/>
    </row>
    <row r="92" spans="1:19" s="26" customFormat="1" ht="12.2" customHeight="1" outlineLevel="1" x14ac:dyDescent="0.2">
      <c r="A92" s="46" t="s">
        <v>30</v>
      </c>
      <c r="B92" s="305"/>
      <c r="C92" s="15"/>
      <c r="D92" s="15"/>
      <c r="E92" s="15"/>
      <c r="F92" s="15"/>
      <c r="G92" s="15"/>
      <c r="I92" s="648">
        <v>0.5655</v>
      </c>
      <c r="J92" s="23">
        <v>118555.58</v>
      </c>
      <c r="K92" s="42">
        <v>2</v>
      </c>
      <c r="L92" s="15">
        <v>42598</v>
      </c>
      <c r="M92" s="24">
        <v>118555.58</v>
      </c>
      <c r="N92" s="30">
        <v>42667</v>
      </c>
      <c r="O92" s="43"/>
      <c r="P92" s="80" t="str">
        <f t="shared" si="10"/>
        <v/>
      </c>
      <c r="Q92" s="80">
        <f t="shared" si="7"/>
        <v>0</v>
      </c>
      <c r="R92" s="80"/>
      <c r="S92" s="162"/>
    </row>
    <row r="93" spans="1:19" s="26" customFormat="1" ht="12.2" customHeight="1" outlineLevel="1" x14ac:dyDescent="0.2">
      <c r="A93" s="46" t="s">
        <v>30</v>
      </c>
      <c r="B93" s="305"/>
      <c r="C93" s="15"/>
      <c r="D93" s="15"/>
      <c r="E93" s="15"/>
      <c r="F93" s="15"/>
      <c r="G93" s="15"/>
      <c r="I93" s="648">
        <v>0.59819999999999995</v>
      </c>
      <c r="J93" s="23">
        <v>71864.31</v>
      </c>
      <c r="K93" s="42">
        <v>3</v>
      </c>
      <c r="L93" s="15">
        <v>42717</v>
      </c>
      <c r="M93" s="24">
        <v>71864.31</v>
      </c>
      <c r="N93" s="30">
        <v>42779</v>
      </c>
      <c r="O93" s="43"/>
      <c r="P93" s="80" t="str">
        <f t="shared" si="10"/>
        <v/>
      </c>
      <c r="Q93" s="80">
        <f t="shared" si="7"/>
        <v>0</v>
      </c>
      <c r="R93" s="80"/>
      <c r="S93" s="162"/>
    </row>
    <row r="94" spans="1:19" s="26" customFormat="1" ht="12.2" customHeight="1" outlineLevel="1" x14ac:dyDescent="0.2">
      <c r="A94" s="46" t="s">
        <v>30</v>
      </c>
      <c r="B94" s="305"/>
      <c r="C94" s="15"/>
      <c r="D94" s="15"/>
      <c r="E94" s="15"/>
      <c r="F94" s="15"/>
      <c r="G94" s="15"/>
      <c r="I94" s="648">
        <v>0.65690000000000004</v>
      </c>
      <c r="J94" s="23">
        <v>129139.31</v>
      </c>
      <c r="K94" s="42">
        <v>4</v>
      </c>
      <c r="L94" s="15">
        <v>42787</v>
      </c>
      <c r="M94" s="24">
        <v>129139.31</v>
      </c>
      <c r="N94" s="30">
        <v>42843</v>
      </c>
      <c r="O94" s="43"/>
      <c r="P94" s="80" t="str">
        <f t="shared" si="10"/>
        <v/>
      </c>
      <c r="Q94" s="80">
        <f t="shared" si="7"/>
        <v>0</v>
      </c>
      <c r="R94" s="80"/>
      <c r="S94" s="162"/>
    </row>
    <row r="95" spans="1:19" s="26" customFormat="1" ht="12.2" customHeight="1" outlineLevel="1" x14ac:dyDescent="0.2">
      <c r="A95" s="46" t="s">
        <v>30</v>
      </c>
      <c r="B95" s="305"/>
      <c r="C95" s="15"/>
      <c r="D95" s="15"/>
      <c r="E95" s="15"/>
      <c r="F95" s="15"/>
      <c r="G95" s="15"/>
      <c r="I95" s="648">
        <v>0.70099999999999996</v>
      </c>
      <c r="J95" s="23">
        <v>97223.02</v>
      </c>
      <c r="K95" s="42">
        <v>5</v>
      </c>
      <c r="L95" s="15">
        <v>42954</v>
      </c>
      <c r="M95" s="24">
        <v>97223.02</v>
      </c>
      <c r="N95" s="30">
        <v>43010</v>
      </c>
      <c r="O95" s="43"/>
      <c r="P95" s="80" t="str">
        <f t="shared" si="10"/>
        <v/>
      </c>
      <c r="Q95" s="80">
        <f t="shared" si="7"/>
        <v>0</v>
      </c>
      <c r="R95" s="80"/>
      <c r="S95" s="162"/>
    </row>
    <row r="96" spans="1:19" s="26" customFormat="1" ht="12.2" customHeight="1" outlineLevel="1" x14ac:dyDescent="0.2">
      <c r="A96" s="46" t="s">
        <v>30</v>
      </c>
      <c r="B96" s="305"/>
      <c r="C96" s="15"/>
      <c r="D96" s="15"/>
      <c r="E96" s="15"/>
      <c r="F96" s="15"/>
      <c r="G96" s="15"/>
      <c r="I96" s="648">
        <v>0.73809999999999998</v>
      </c>
      <c r="J96" s="23">
        <v>81445.3</v>
      </c>
      <c r="K96" s="42">
        <v>6</v>
      </c>
      <c r="L96" s="15">
        <v>43067</v>
      </c>
      <c r="M96" s="24">
        <v>81445.3</v>
      </c>
      <c r="N96" s="30">
        <v>43119</v>
      </c>
      <c r="O96" s="43"/>
      <c r="P96" s="80" t="str">
        <f t="shared" si="10"/>
        <v/>
      </c>
      <c r="Q96" s="80">
        <f t="shared" si="7"/>
        <v>0</v>
      </c>
      <c r="R96" s="80"/>
      <c r="S96" s="162"/>
    </row>
    <row r="97" spans="1:19" s="26" customFormat="1" ht="12.2" customHeight="1" outlineLevel="1" x14ac:dyDescent="0.2">
      <c r="A97" s="46" t="s">
        <v>30</v>
      </c>
      <c r="B97" s="305"/>
      <c r="C97" s="15"/>
      <c r="D97" s="15"/>
      <c r="E97" s="15"/>
      <c r="F97" s="15"/>
      <c r="G97" s="15"/>
      <c r="I97" s="648">
        <v>0.8</v>
      </c>
      <c r="J97" s="23">
        <f>H90*I97-J91-J92-J93-J94-J95-J96</f>
        <v>136252.47999999998</v>
      </c>
      <c r="K97" s="1079">
        <v>7</v>
      </c>
      <c r="L97" s="1081">
        <v>43556</v>
      </c>
      <c r="M97" s="863" t="s">
        <v>259</v>
      </c>
      <c r="N97" s="30"/>
      <c r="O97" s="43"/>
      <c r="P97" s="80">
        <f t="shared" si="10"/>
        <v>136252.47999999998</v>
      </c>
      <c r="Q97" s="80">
        <f t="shared" si="7"/>
        <v>0</v>
      </c>
      <c r="R97" s="1048" t="s">
        <v>425</v>
      </c>
      <c r="S97" s="162"/>
    </row>
    <row r="98" spans="1:19" s="26" customFormat="1" ht="12.2" customHeight="1" outlineLevel="1" x14ac:dyDescent="0.2">
      <c r="A98" s="46" t="s">
        <v>30</v>
      </c>
      <c r="B98" s="305"/>
      <c r="C98" s="15"/>
      <c r="D98" s="15"/>
      <c r="E98" s="15"/>
      <c r="F98" s="15"/>
      <c r="G98" s="15"/>
      <c r="I98" s="624">
        <v>1</v>
      </c>
      <c r="J98" s="23">
        <f>H90-J91-J92-J93-J94-J95-J97-J96</f>
        <v>440000.00000000006</v>
      </c>
      <c r="K98" s="1080"/>
      <c r="L98" s="1082"/>
      <c r="M98" s="864" t="s">
        <v>259</v>
      </c>
      <c r="N98" s="30"/>
      <c r="O98" s="43"/>
      <c r="P98" s="80">
        <f t="shared" si="10"/>
        <v>440000.00000000006</v>
      </c>
      <c r="Q98" s="80"/>
      <c r="R98" s="80"/>
      <c r="S98" s="162"/>
    </row>
    <row r="99" spans="1:19" s="106" customFormat="1" ht="12.2" customHeight="1" x14ac:dyDescent="0.2">
      <c r="A99" s="118" t="s">
        <v>55</v>
      </c>
      <c r="B99" s="304" t="s">
        <v>172</v>
      </c>
      <c r="C99" s="157">
        <v>41544</v>
      </c>
      <c r="D99" s="157">
        <f>DATE(YEAR(C99)+2,MONTH(C99),DAY(C99))</f>
        <v>42274</v>
      </c>
      <c r="E99" s="157">
        <v>41876</v>
      </c>
      <c r="F99" s="157">
        <v>44798</v>
      </c>
      <c r="G99" s="157">
        <v>42796</v>
      </c>
      <c r="H99" s="125">
        <v>480000</v>
      </c>
      <c r="I99" s="122"/>
      <c r="J99" s="122"/>
      <c r="K99" s="137"/>
      <c r="L99" s="157"/>
      <c r="M99" s="125">
        <f>SUM(M100:M103)</f>
        <v>384000</v>
      </c>
      <c r="N99" s="150"/>
      <c r="O99" s="151"/>
      <c r="P99" s="158">
        <f>SUM(P100:P103)</f>
        <v>0</v>
      </c>
      <c r="Q99" s="158">
        <f>SUM(Q100:Q103)</f>
        <v>96000</v>
      </c>
      <c r="R99" s="158"/>
      <c r="S99" s="162">
        <f>H99-(M99+P99+Q99)</f>
        <v>0</v>
      </c>
    </row>
    <row r="100" spans="1:19" s="201" customFormat="1" ht="12.2" customHeight="1" outlineLevel="1" x14ac:dyDescent="0.2">
      <c r="A100" s="231" t="s">
        <v>55</v>
      </c>
      <c r="B100" s="308"/>
      <c r="C100" s="378" t="s">
        <v>197</v>
      </c>
      <c r="D100" s="196"/>
      <c r="E100" s="378" t="s">
        <v>197</v>
      </c>
      <c r="F100" s="627" t="s">
        <v>228</v>
      </c>
      <c r="G100" s="196"/>
      <c r="I100" s="965">
        <f>J100/$H$99</f>
        <v>0.47207868749999998</v>
      </c>
      <c r="J100" s="23">
        <v>226597.77</v>
      </c>
      <c r="K100" s="202">
        <v>1</v>
      </c>
      <c r="L100" s="189">
        <v>42264</v>
      </c>
      <c r="M100" s="24">
        <v>226597.77</v>
      </c>
      <c r="N100" s="379">
        <v>42440</v>
      </c>
      <c r="O100" s="199"/>
      <c r="P100" s="203" t="str">
        <f t="shared" si="10"/>
        <v/>
      </c>
      <c r="Q100" s="203">
        <f>IF(L100="",J100-M100,0)</f>
        <v>0</v>
      </c>
      <c r="R100" s="203" t="s">
        <v>212</v>
      </c>
      <c r="S100" s="164"/>
    </row>
    <row r="101" spans="1:19" s="201" customFormat="1" outlineLevel="1" x14ac:dyDescent="0.2">
      <c r="A101" s="231" t="s">
        <v>55</v>
      </c>
      <c r="B101" s="308"/>
      <c r="C101" s="196"/>
      <c r="D101" s="196"/>
      <c r="E101" s="196"/>
      <c r="F101" s="196"/>
      <c r="G101" s="196"/>
      <c r="I101" s="965">
        <v>0.56120000000000003</v>
      </c>
      <c r="J101" s="23">
        <v>42771.26</v>
      </c>
      <c r="K101" s="202">
        <v>2</v>
      </c>
      <c r="L101" s="189">
        <v>42513</v>
      </c>
      <c r="M101" s="24">
        <v>42771.26</v>
      </c>
      <c r="N101" s="379">
        <v>42562</v>
      </c>
      <c r="O101" s="199"/>
      <c r="P101" s="203" t="str">
        <f t="shared" si="10"/>
        <v/>
      </c>
      <c r="Q101" s="203">
        <f>IF(L101="",J101-M101,0)</f>
        <v>0</v>
      </c>
      <c r="R101" s="200"/>
      <c r="S101" s="164"/>
    </row>
    <row r="102" spans="1:19" s="201" customFormat="1" ht="12.2" customHeight="1" outlineLevel="1" x14ac:dyDescent="0.2">
      <c r="A102" s="231" t="s">
        <v>55</v>
      </c>
      <c r="B102" s="308"/>
      <c r="C102" s="196"/>
      <c r="D102" s="196"/>
      <c r="E102" s="196"/>
      <c r="F102" s="196"/>
      <c r="G102" s="196"/>
      <c r="I102" s="966">
        <v>0.8</v>
      </c>
      <c r="J102" s="109">
        <f>0.8*H99-J100-J101</f>
        <v>114630.97</v>
      </c>
      <c r="K102" s="202">
        <v>3</v>
      </c>
      <c r="L102" s="189">
        <v>42761</v>
      </c>
      <c r="M102" s="24">
        <v>114630.97</v>
      </c>
      <c r="N102" s="379">
        <v>42795</v>
      </c>
      <c r="O102" s="199"/>
      <c r="P102" s="200" t="str">
        <f t="shared" si="10"/>
        <v/>
      </c>
      <c r="Q102" s="203">
        <f>IF(L102="",J102-M102,0)</f>
        <v>0</v>
      </c>
      <c r="R102" s="200"/>
      <c r="S102" s="164"/>
    </row>
    <row r="103" spans="1:19" s="201" customFormat="1" ht="12.2" customHeight="1" outlineLevel="1" x14ac:dyDescent="0.2">
      <c r="A103" s="231" t="s">
        <v>55</v>
      </c>
      <c r="B103" s="308"/>
      <c r="C103" s="196"/>
      <c r="D103" s="196"/>
      <c r="E103" s="196"/>
      <c r="F103" s="196"/>
      <c r="G103" s="196"/>
      <c r="I103" s="966">
        <v>1</v>
      </c>
      <c r="J103" s="110">
        <f>H99-J100-J101-J102</f>
        <v>96000</v>
      </c>
      <c r="K103" s="202">
        <v>4</v>
      </c>
      <c r="L103" s="196"/>
      <c r="M103" s="197"/>
      <c r="N103" s="198"/>
      <c r="O103" s="199"/>
      <c r="P103" s="200" t="str">
        <f t="shared" si="10"/>
        <v/>
      </c>
      <c r="Q103" s="203">
        <f>IF(L103="",J103-M103,0)</f>
        <v>96000</v>
      </c>
      <c r="R103" s="200"/>
      <c r="S103" s="164"/>
    </row>
    <row r="104" spans="1:19" s="106" customFormat="1" ht="12.2" customHeight="1" x14ac:dyDescent="0.2">
      <c r="A104" s="118" t="s">
        <v>220</v>
      </c>
      <c r="B104" s="304" t="s">
        <v>171</v>
      </c>
      <c r="C104" s="157">
        <v>41620</v>
      </c>
      <c r="D104" s="157">
        <f>DATE(YEAR(C104)+2,MONTH(C104),DAY(C104))</f>
        <v>42350</v>
      </c>
      <c r="E104" s="157"/>
      <c r="F104" s="157">
        <f>DATE(YEAR(E104)+4,MONTH(E104),DAY(E104))</f>
        <v>1461</v>
      </c>
      <c r="G104" s="157"/>
      <c r="H104" s="125">
        <v>149758.60999999999</v>
      </c>
      <c r="I104" s="122"/>
      <c r="J104" s="122"/>
      <c r="K104" s="137"/>
      <c r="L104" s="157"/>
      <c r="M104" s="125">
        <f>SUM(M105:M107)</f>
        <v>0</v>
      </c>
      <c r="N104" s="150"/>
      <c r="O104" s="151"/>
      <c r="P104" s="158">
        <f>SUM(P107)</f>
        <v>0</v>
      </c>
      <c r="Q104" s="158">
        <f>SUM(Q105:Q107)</f>
        <v>149758.60799999998</v>
      </c>
      <c r="R104" s="158"/>
      <c r="S104" s="162">
        <f>H104-(M104+P104+Q104)</f>
        <v>2.0000000076834112E-3</v>
      </c>
    </row>
    <row r="105" spans="1:19" s="201" customFormat="1" ht="12.2" customHeight="1" outlineLevel="1" x14ac:dyDescent="0.2">
      <c r="A105" s="231" t="s">
        <v>220</v>
      </c>
      <c r="B105" s="308"/>
      <c r="C105" s="378" t="s">
        <v>197</v>
      </c>
      <c r="D105" s="378" t="s">
        <v>200</v>
      </c>
      <c r="E105" s="196"/>
      <c r="F105" s="196"/>
      <c r="G105" s="196"/>
      <c r="I105" s="966">
        <f>J105/$H$104</f>
        <v>0.2</v>
      </c>
      <c r="J105" s="109">
        <f>0.2*H104</f>
        <v>29951.721999999998</v>
      </c>
      <c r="K105" s="202">
        <v>1</v>
      </c>
      <c r="L105" s="196"/>
      <c r="M105" s="197"/>
      <c r="N105" s="198"/>
      <c r="O105" s="199"/>
      <c r="P105" s="200" t="str">
        <f>IF(M105="en attente",J105,"")</f>
        <v/>
      </c>
      <c r="Q105" s="203">
        <f t="shared" si="7"/>
        <v>29951.721999999998</v>
      </c>
      <c r="R105" s="200"/>
      <c r="S105" s="164"/>
    </row>
    <row r="106" spans="1:19" s="201" customFormat="1" ht="12.2" customHeight="1" outlineLevel="1" x14ac:dyDescent="0.2">
      <c r="A106" s="231" t="s">
        <v>220</v>
      </c>
      <c r="B106" s="308"/>
      <c r="C106" s="196"/>
      <c r="D106" s="196"/>
      <c r="E106" s="196"/>
      <c r="F106" s="196"/>
      <c r="G106" s="196"/>
      <c r="I106" s="966">
        <f>J106/$H$104+I105</f>
        <v>0.8</v>
      </c>
      <c r="J106" s="109">
        <f>0.6*H104</f>
        <v>89855.165999999983</v>
      </c>
      <c r="K106" s="202">
        <v>2</v>
      </c>
      <c r="L106" s="196"/>
      <c r="M106" s="197"/>
      <c r="N106" s="198"/>
      <c r="O106" s="199"/>
      <c r="P106" s="200" t="str">
        <f>IF(M106="en attente",J106,"")</f>
        <v/>
      </c>
      <c r="Q106" s="203">
        <f t="shared" si="7"/>
        <v>89855.165999999983</v>
      </c>
      <c r="R106" s="200"/>
      <c r="S106" s="164"/>
    </row>
    <row r="107" spans="1:19" s="26" customFormat="1" ht="12.2" customHeight="1" outlineLevel="1" x14ac:dyDescent="0.2">
      <c r="A107" s="117" t="s">
        <v>220</v>
      </c>
      <c r="B107" s="306"/>
      <c r="C107" s="36"/>
      <c r="D107" s="15"/>
      <c r="E107" s="15"/>
      <c r="F107" s="15"/>
      <c r="G107" s="15"/>
      <c r="I107" s="966">
        <f>J107/$H$104+I106</f>
        <v>0.9999999866451752</v>
      </c>
      <c r="J107" s="35">
        <v>29951.72</v>
      </c>
      <c r="K107" s="44">
        <v>3</v>
      </c>
      <c r="L107" s="36"/>
      <c r="M107" s="37"/>
      <c r="N107" s="154"/>
      <c r="O107" s="155"/>
      <c r="P107" s="156" t="str">
        <f>IF(M107="en attente",J107,"")</f>
        <v/>
      </c>
      <c r="Q107" s="156">
        <f t="shared" si="7"/>
        <v>29951.72</v>
      </c>
      <c r="R107" s="156"/>
      <c r="S107" s="162"/>
    </row>
    <row r="108" spans="1:19" s="106" customFormat="1" ht="12.2" customHeight="1" x14ac:dyDescent="0.2">
      <c r="A108" s="118" t="s">
        <v>242</v>
      </c>
      <c r="B108" s="304" t="s">
        <v>271</v>
      </c>
      <c r="C108" s="157">
        <v>42558</v>
      </c>
      <c r="D108" s="157">
        <f>DATE(YEAR(C108)+2,MONTH(C108),DAY(C108))</f>
        <v>43288</v>
      </c>
      <c r="E108" s="157">
        <v>43263</v>
      </c>
      <c r="F108" s="157">
        <f>DATE(YEAR(E108)+4,MONTH(E108),DAY(E108))</f>
        <v>44724</v>
      </c>
      <c r="G108" s="157"/>
      <c r="H108" s="125">
        <v>560000</v>
      </c>
      <c r="I108" s="122"/>
      <c r="J108" s="122"/>
      <c r="K108" s="137"/>
      <c r="L108" s="157"/>
      <c r="M108" s="125">
        <f>SUM(M109:M111)</f>
        <v>270744.06</v>
      </c>
      <c r="N108" s="150"/>
      <c r="O108" s="151"/>
      <c r="P108" s="158">
        <f>SUM(P109:P111)</f>
        <v>0</v>
      </c>
      <c r="Q108" s="158">
        <f>SUM(Q109:Q111)</f>
        <v>289255.94</v>
      </c>
      <c r="R108" s="158"/>
      <c r="S108" s="162">
        <f>H108-(M108+P108+Q108)</f>
        <v>0</v>
      </c>
    </row>
    <row r="109" spans="1:19" s="26" customFormat="1" ht="12.2" customHeight="1" outlineLevel="1" x14ac:dyDescent="0.2">
      <c r="A109" s="46" t="s">
        <v>242</v>
      </c>
      <c r="B109" s="305"/>
      <c r="C109" s="15"/>
      <c r="D109" s="15"/>
      <c r="E109" s="15"/>
      <c r="F109" s="15"/>
      <c r="G109" s="15"/>
      <c r="I109" s="965">
        <v>0.48349999999999999</v>
      </c>
      <c r="J109" s="23">
        <v>270744.06</v>
      </c>
      <c r="K109" s="202">
        <v>1</v>
      </c>
      <c r="L109" s="15">
        <v>43264</v>
      </c>
      <c r="M109" s="24">
        <v>270744.06</v>
      </c>
      <c r="N109" s="30">
        <v>43312</v>
      </c>
      <c r="O109" s="43"/>
      <c r="P109" s="80" t="str">
        <f>IF(M109="en attente",J109,"")</f>
        <v/>
      </c>
      <c r="Q109" s="203">
        <f t="shared" si="7"/>
        <v>0</v>
      </c>
      <c r="R109" s="80"/>
      <c r="S109" s="162"/>
    </row>
    <row r="110" spans="1:19" s="26" customFormat="1" ht="12.2" customHeight="1" outlineLevel="1" x14ac:dyDescent="0.2">
      <c r="A110" s="46" t="s">
        <v>242</v>
      </c>
      <c r="B110" s="305"/>
      <c r="C110" s="15"/>
      <c r="D110" s="15"/>
      <c r="E110" s="15"/>
      <c r="F110" s="15"/>
      <c r="G110" s="15"/>
      <c r="I110" s="965">
        <v>0.8</v>
      </c>
      <c r="J110" s="23">
        <f>+H108*I110-J109</f>
        <v>177255.94</v>
      </c>
      <c r="K110" s="202">
        <v>2</v>
      </c>
      <c r="L110" s="15"/>
      <c r="M110" s="24"/>
      <c r="N110" s="30"/>
      <c r="O110" s="43"/>
      <c r="P110" s="80" t="str">
        <f>IF(M110="en attente",J110,"")</f>
        <v/>
      </c>
      <c r="Q110" s="203">
        <f t="shared" si="7"/>
        <v>177255.94</v>
      </c>
      <c r="R110" s="80"/>
      <c r="S110" s="162"/>
    </row>
    <row r="111" spans="1:19" s="26" customFormat="1" ht="12.2" customHeight="1" outlineLevel="1" x14ac:dyDescent="0.2">
      <c r="A111" s="117" t="s">
        <v>242</v>
      </c>
      <c r="B111" s="305"/>
      <c r="C111" s="15"/>
      <c r="D111" s="15"/>
      <c r="E111" s="15"/>
      <c r="F111" s="15"/>
      <c r="G111" s="15"/>
      <c r="I111" s="966">
        <v>1</v>
      </c>
      <c r="J111" s="23">
        <f>+H108-J109-J110</f>
        <v>112000</v>
      </c>
      <c r="K111" s="202">
        <v>3</v>
      </c>
      <c r="L111" s="15"/>
      <c r="M111" s="24"/>
      <c r="N111" s="30"/>
      <c r="O111" s="43"/>
      <c r="P111" s="80" t="str">
        <f>IF(M111="en attente",J111,"")</f>
        <v/>
      </c>
      <c r="Q111" s="203">
        <f t="shared" si="7"/>
        <v>112000</v>
      </c>
      <c r="R111" s="80"/>
      <c r="S111" s="162"/>
    </row>
    <row r="112" spans="1:19" s="106" customFormat="1" ht="12.2" customHeight="1" x14ac:dyDescent="0.2">
      <c r="A112" s="118" t="s">
        <v>118</v>
      </c>
      <c r="B112" s="304" t="s">
        <v>272</v>
      </c>
      <c r="C112" s="157">
        <v>42310</v>
      </c>
      <c r="D112" s="157">
        <f>DATE(YEAR(C112)+2,MONTH(C112),DAY(C112))</f>
        <v>43041</v>
      </c>
      <c r="E112" s="157">
        <v>42947</v>
      </c>
      <c r="F112" s="157">
        <f>DATE(YEAR(E112)+4,MONTH(E112),DAY(E112))</f>
        <v>44408</v>
      </c>
      <c r="G112" s="157">
        <v>43650</v>
      </c>
      <c r="H112" s="125">
        <v>380000</v>
      </c>
      <c r="I112" s="122"/>
      <c r="J112" s="122"/>
      <c r="K112" s="137"/>
      <c r="L112" s="157"/>
      <c r="M112" s="125">
        <f>SUM(M113:M115)</f>
        <v>304000</v>
      </c>
      <c r="N112" s="150"/>
      <c r="O112" s="151"/>
      <c r="P112" s="158">
        <f>SUM(P113:P115)</f>
        <v>0</v>
      </c>
      <c r="Q112" s="158">
        <f>SUM(Q113:Q115)</f>
        <v>76000</v>
      </c>
      <c r="R112" s="158"/>
      <c r="S112" s="162">
        <f>H112-(M112+P112+Q112)</f>
        <v>0</v>
      </c>
    </row>
    <row r="113" spans="1:19" s="26" customFormat="1" ht="12.2" customHeight="1" outlineLevel="1" x14ac:dyDescent="0.2">
      <c r="A113" s="46" t="s">
        <v>118</v>
      </c>
      <c r="B113" s="305"/>
      <c r="C113" s="15"/>
      <c r="D113" s="15"/>
      <c r="E113" s="15"/>
      <c r="F113" s="15"/>
      <c r="G113" s="15"/>
      <c r="I113" s="965">
        <v>0.65110000000000001</v>
      </c>
      <c r="J113" s="23">
        <v>247421.12</v>
      </c>
      <c r="K113" s="202">
        <v>1</v>
      </c>
      <c r="L113" s="15">
        <v>42975</v>
      </c>
      <c r="M113" s="24">
        <v>247421.12</v>
      </c>
      <c r="N113" s="30">
        <v>43007</v>
      </c>
      <c r="O113" s="43"/>
      <c r="P113" s="80" t="str">
        <f>IF(M113="en attente",J113,"")</f>
        <v/>
      </c>
      <c r="Q113" s="203">
        <f t="shared" si="7"/>
        <v>0</v>
      </c>
      <c r="R113" s="80"/>
      <c r="S113" s="162"/>
    </row>
    <row r="114" spans="1:19" s="26" customFormat="1" ht="12.2" customHeight="1" outlineLevel="1" x14ac:dyDescent="0.2">
      <c r="A114" s="46" t="s">
        <v>118</v>
      </c>
      <c r="B114" s="305"/>
      <c r="C114" s="15"/>
      <c r="D114" s="15"/>
      <c r="E114" s="15"/>
      <c r="F114" s="15"/>
      <c r="G114" s="15"/>
      <c r="I114" s="965">
        <v>0.8</v>
      </c>
      <c r="J114" s="23">
        <f>H112*I114-J113</f>
        <v>56578.880000000005</v>
      </c>
      <c r="K114" s="202">
        <v>2</v>
      </c>
      <c r="L114" s="15">
        <v>43333</v>
      </c>
      <c r="M114" s="24">
        <v>56578.879999999997</v>
      </c>
      <c r="N114" s="30">
        <v>43377</v>
      </c>
      <c r="O114" s="43"/>
      <c r="P114" s="80" t="str">
        <f>IF(M114="en attente",J114,"")</f>
        <v/>
      </c>
      <c r="Q114" s="203">
        <f t="shared" si="7"/>
        <v>0</v>
      </c>
      <c r="R114" s="80"/>
      <c r="S114" s="162"/>
    </row>
    <row r="115" spans="1:19" s="26" customFormat="1" ht="12.2" customHeight="1" outlineLevel="1" x14ac:dyDescent="0.2">
      <c r="A115" s="46" t="s">
        <v>118</v>
      </c>
      <c r="B115" s="306"/>
      <c r="C115" s="36"/>
      <c r="D115" s="36"/>
      <c r="E115" s="36"/>
      <c r="F115" s="36"/>
      <c r="G115" s="36"/>
      <c r="I115" s="967">
        <v>1</v>
      </c>
      <c r="J115" s="159">
        <f>H112-J113-J114</f>
        <v>76000</v>
      </c>
      <c r="K115" s="504">
        <v>3</v>
      </c>
      <c r="L115" s="36"/>
      <c r="M115" s="37"/>
      <c r="N115" s="154"/>
      <c r="O115" s="155"/>
      <c r="P115" s="80" t="str">
        <f>IF(M115="en attente",J115,"")</f>
        <v/>
      </c>
      <c r="Q115" s="203">
        <f t="shared" si="7"/>
        <v>76000</v>
      </c>
      <c r="R115" s="156"/>
      <c r="S115" s="162"/>
    </row>
    <row r="116" spans="1:19" s="106" customFormat="1" ht="12.2" customHeight="1" x14ac:dyDescent="0.2">
      <c r="A116" s="118" t="s">
        <v>65</v>
      </c>
      <c r="B116" s="307"/>
      <c r="C116" s="148"/>
      <c r="D116" s="146"/>
      <c r="E116" s="148"/>
      <c r="F116" s="148"/>
      <c r="G116" s="148"/>
      <c r="H116" s="122">
        <v>1778822.24</v>
      </c>
      <c r="I116" s="131"/>
      <c r="J116" s="131"/>
      <c r="K116" s="132"/>
      <c r="L116" s="148"/>
      <c r="M116" s="134">
        <f>SUM(M117:M118)</f>
        <v>1423057.8</v>
      </c>
      <c r="N116" s="146"/>
      <c r="O116" s="147"/>
      <c r="P116" s="169">
        <f>SUM(P117:P118)</f>
        <v>0</v>
      </c>
      <c r="Q116" s="169">
        <f>SUM(Q117:Q118)</f>
        <v>355764.44</v>
      </c>
      <c r="R116" s="149"/>
      <c r="S116" s="162">
        <f>H116-(M116+P116+Q116)</f>
        <v>0</v>
      </c>
    </row>
    <row r="117" spans="1:19" s="26" customFormat="1" ht="12.2" customHeight="1" outlineLevel="1" x14ac:dyDescent="0.2">
      <c r="A117" s="46" t="s">
        <v>65</v>
      </c>
      <c r="B117" s="305"/>
      <c r="C117" s="15"/>
      <c r="D117" s="15"/>
      <c r="E117" s="15"/>
      <c r="F117" s="15"/>
      <c r="G117" s="15"/>
      <c r="H117" s="24"/>
      <c r="I117" s="23"/>
      <c r="J117" s="23">
        <v>1423057.8</v>
      </c>
      <c r="K117" s="42">
        <v>1</v>
      </c>
      <c r="L117" s="15">
        <v>38975</v>
      </c>
      <c r="M117" s="24">
        <v>1423057.8</v>
      </c>
      <c r="N117" s="30">
        <v>39204</v>
      </c>
      <c r="O117" s="43"/>
      <c r="P117" s="80" t="str">
        <f>IF(M117="en attente",J117,"")</f>
        <v/>
      </c>
      <c r="Q117" s="80">
        <f t="shared" si="7"/>
        <v>0</v>
      </c>
      <c r="R117" s="80"/>
      <c r="S117" s="162"/>
    </row>
    <row r="118" spans="1:19" s="26" customFormat="1" ht="12.2" customHeight="1" outlineLevel="1" x14ac:dyDescent="0.2">
      <c r="A118" s="46" t="s">
        <v>65</v>
      </c>
      <c r="B118" s="305"/>
      <c r="C118" s="15"/>
      <c r="D118" s="15"/>
      <c r="E118" s="15"/>
      <c r="F118" s="15"/>
      <c r="G118" s="15"/>
      <c r="H118" s="24"/>
      <c r="I118" s="23"/>
      <c r="J118" s="23">
        <v>355764.44</v>
      </c>
      <c r="K118" s="42">
        <v>2</v>
      </c>
      <c r="L118" s="15"/>
      <c r="M118" s="24"/>
      <c r="N118" s="30"/>
      <c r="O118" s="43"/>
      <c r="P118" s="80" t="str">
        <f>IF(M118="en attente",J118,"")</f>
        <v/>
      </c>
      <c r="Q118" s="80">
        <f t="shared" si="7"/>
        <v>355764.44</v>
      </c>
      <c r="R118" s="80"/>
      <c r="S118" s="162"/>
    </row>
    <row r="119" spans="1:19" s="106" customFormat="1" ht="12.2" customHeight="1" x14ac:dyDescent="0.2">
      <c r="A119" s="118" t="s">
        <v>57</v>
      </c>
      <c r="B119" s="304" t="s">
        <v>186</v>
      </c>
      <c r="C119" s="157">
        <v>38717</v>
      </c>
      <c r="D119" s="157">
        <f>DATE(YEAR(C119)+2,MONTH(C119),DAY(C119))</f>
        <v>39447</v>
      </c>
      <c r="E119" s="157"/>
      <c r="F119" s="157"/>
      <c r="G119" s="157"/>
      <c r="H119" s="125">
        <v>5400000</v>
      </c>
      <c r="I119" s="122"/>
      <c r="J119" s="122"/>
      <c r="K119" s="137"/>
      <c r="L119" s="157"/>
      <c r="M119" s="125">
        <f>SUM(M120:M135)</f>
        <v>2181060</v>
      </c>
      <c r="N119" s="150"/>
      <c r="O119" s="151"/>
      <c r="P119" s="158">
        <f>SUM(P120:P135)</f>
        <v>0</v>
      </c>
      <c r="Q119" s="158">
        <f>SUM(Q120:Q135)</f>
        <v>3218940</v>
      </c>
      <c r="R119" s="158"/>
      <c r="S119" s="162">
        <f>H119-(M119+P119+Q119)</f>
        <v>0</v>
      </c>
    </row>
    <row r="120" spans="1:19" s="26" customFormat="1" ht="12.2" customHeight="1" outlineLevel="1" x14ac:dyDescent="0.2">
      <c r="A120" s="46" t="s">
        <v>57</v>
      </c>
      <c r="B120" s="305"/>
      <c r="C120" s="15"/>
      <c r="D120" s="15"/>
      <c r="E120" s="15"/>
      <c r="F120" s="15"/>
      <c r="G120" s="15"/>
      <c r="H120" s="24"/>
      <c r="I120" s="23"/>
      <c r="J120" s="23">
        <v>135000</v>
      </c>
      <c r="K120" s="42">
        <v>1</v>
      </c>
      <c r="L120" s="15">
        <v>38965</v>
      </c>
      <c r="M120" s="24">
        <v>135000</v>
      </c>
      <c r="N120" s="30">
        <v>39014</v>
      </c>
      <c r="O120" s="43">
        <f t="shared" ref="O120:O133" si="11">IF(N120="",$Q$2-L120,N120-L120)</f>
        <v>49</v>
      </c>
      <c r="P120" s="80" t="str">
        <f t="shared" ref="P120:P135" si="12">IF(M120="en attente",J120,"")</f>
        <v/>
      </c>
      <c r="Q120" s="80">
        <f t="shared" si="7"/>
        <v>0</v>
      </c>
      <c r="R120" s="80"/>
      <c r="S120" s="162"/>
    </row>
    <row r="121" spans="1:19" s="26" customFormat="1" ht="12.2" customHeight="1" outlineLevel="1" x14ac:dyDescent="0.2">
      <c r="A121" s="46" t="s">
        <v>57</v>
      </c>
      <c r="B121" s="305"/>
      <c r="C121" s="15"/>
      <c r="D121" s="15"/>
      <c r="E121" s="15"/>
      <c r="F121" s="15"/>
      <c r="G121" s="15"/>
      <c r="H121" s="24"/>
      <c r="I121" s="23"/>
      <c r="J121" s="23">
        <v>170100</v>
      </c>
      <c r="K121" s="42">
        <v>2</v>
      </c>
      <c r="L121" s="15">
        <v>39226</v>
      </c>
      <c r="M121" s="24">
        <v>170100</v>
      </c>
      <c r="N121" s="30">
        <v>39260</v>
      </c>
      <c r="O121" s="43">
        <f t="shared" si="11"/>
        <v>34</v>
      </c>
      <c r="P121" s="80" t="str">
        <f t="shared" si="12"/>
        <v/>
      </c>
      <c r="Q121" s="80">
        <f t="shared" si="7"/>
        <v>0</v>
      </c>
      <c r="R121" s="80"/>
      <c r="S121" s="162"/>
    </row>
    <row r="122" spans="1:19" s="26" customFormat="1" ht="12.2" customHeight="1" outlineLevel="1" x14ac:dyDescent="0.2">
      <c r="A122" s="46" t="s">
        <v>57</v>
      </c>
      <c r="B122" s="305"/>
      <c r="C122" s="15"/>
      <c r="D122" s="15"/>
      <c r="E122" s="15"/>
      <c r="F122" s="15"/>
      <c r="G122" s="15"/>
      <c r="H122" s="24"/>
      <c r="I122" s="23"/>
      <c r="J122" s="23">
        <v>63180</v>
      </c>
      <c r="K122" s="42">
        <v>3</v>
      </c>
      <c r="L122" s="15">
        <v>40283</v>
      </c>
      <c r="M122" s="24">
        <v>63180</v>
      </c>
      <c r="N122" s="30">
        <v>40366</v>
      </c>
      <c r="O122" s="43">
        <f t="shared" si="11"/>
        <v>83</v>
      </c>
      <c r="P122" s="80" t="str">
        <f t="shared" si="12"/>
        <v/>
      </c>
      <c r="Q122" s="80">
        <f t="shared" si="7"/>
        <v>0</v>
      </c>
      <c r="R122" s="80"/>
      <c r="S122" s="162"/>
    </row>
    <row r="123" spans="1:19" s="26" customFormat="1" ht="12.2" customHeight="1" outlineLevel="1" x14ac:dyDescent="0.2">
      <c r="A123" s="46" t="s">
        <v>57</v>
      </c>
      <c r="B123" s="305"/>
      <c r="C123" s="15"/>
      <c r="D123" s="15"/>
      <c r="E123" s="15"/>
      <c r="F123" s="15"/>
      <c r="G123" s="15"/>
      <c r="H123" s="24"/>
      <c r="I123" s="23"/>
      <c r="J123" s="23">
        <v>280800</v>
      </c>
      <c r="K123" s="42">
        <v>4</v>
      </c>
      <c r="L123" s="15">
        <v>40547</v>
      </c>
      <c r="M123" s="24">
        <v>280800</v>
      </c>
      <c r="N123" s="30">
        <v>40647</v>
      </c>
      <c r="O123" s="43">
        <f t="shared" si="11"/>
        <v>100</v>
      </c>
      <c r="P123" s="80" t="str">
        <f t="shared" si="12"/>
        <v/>
      </c>
      <c r="Q123" s="80">
        <f t="shared" si="7"/>
        <v>0</v>
      </c>
      <c r="R123" s="80"/>
      <c r="S123" s="162"/>
    </row>
    <row r="124" spans="1:19" s="26" customFormat="1" ht="12.2" customHeight="1" outlineLevel="1" x14ac:dyDescent="0.2">
      <c r="A124" s="46" t="s">
        <v>57</v>
      </c>
      <c r="B124" s="305"/>
      <c r="C124" s="15"/>
      <c r="D124" s="15"/>
      <c r="E124" s="15"/>
      <c r="F124" s="15"/>
      <c r="G124" s="15"/>
      <c r="H124" s="24"/>
      <c r="I124" s="23"/>
      <c r="J124" s="23">
        <v>77760</v>
      </c>
      <c r="K124" s="42">
        <v>5</v>
      </c>
      <c r="L124" s="15">
        <v>40627</v>
      </c>
      <c r="M124" s="24">
        <v>77760</v>
      </c>
      <c r="N124" s="30">
        <v>40718</v>
      </c>
      <c r="O124" s="43">
        <f t="shared" si="11"/>
        <v>91</v>
      </c>
      <c r="P124" s="80" t="str">
        <f t="shared" si="12"/>
        <v/>
      </c>
      <c r="Q124" s="80">
        <f t="shared" si="7"/>
        <v>0</v>
      </c>
      <c r="R124" s="80"/>
      <c r="S124" s="162"/>
    </row>
    <row r="125" spans="1:19" s="26" customFormat="1" ht="12.2" customHeight="1" outlineLevel="1" x14ac:dyDescent="0.2">
      <c r="A125" s="46" t="s">
        <v>57</v>
      </c>
      <c r="B125" s="305"/>
      <c r="C125" s="15"/>
      <c r="D125" s="15"/>
      <c r="E125" s="15"/>
      <c r="F125" s="15"/>
      <c r="G125" s="15"/>
      <c r="H125" s="24"/>
      <c r="I125" s="23"/>
      <c r="J125" s="23">
        <v>98820</v>
      </c>
      <c r="K125" s="42">
        <v>6</v>
      </c>
      <c r="L125" s="15">
        <v>40947</v>
      </c>
      <c r="M125" s="24">
        <v>98820</v>
      </c>
      <c r="N125" s="30">
        <v>41246</v>
      </c>
      <c r="O125" s="43">
        <f t="shared" si="11"/>
        <v>299</v>
      </c>
      <c r="P125" s="80" t="str">
        <f t="shared" si="12"/>
        <v/>
      </c>
      <c r="Q125" s="80">
        <f t="shared" si="7"/>
        <v>0</v>
      </c>
      <c r="R125" s="80"/>
      <c r="S125" s="162"/>
    </row>
    <row r="126" spans="1:19" s="26" customFormat="1" ht="12.2" customHeight="1" outlineLevel="1" x14ac:dyDescent="0.2">
      <c r="A126" s="46" t="s">
        <v>57</v>
      </c>
      <c r="B126" s="305"/>
      <c r="C126" s="15"/>
      <c r="D126" s="15"/>
      <c r="E126" s="15"/>
      <c r="F126" s="15"/>
      <c r="G126" s="15"/>
      <c r="H126" s="24"/>
      <c r="I126" s="23"/>
      <c r="J126" s="23">
        <v>73440</v>
      </c>
      <c r="K126" s="42">
        <v>7</v>
      </c>
      <c r="L126" s="15">
        <v>41194</v>
      </c>
      <c r="M126" s="24">
        <v>73440</v>
      </c>
      <c r="N126" s="30">
        <v>41387</v>
      </c>
      <c r="O126" s="43">
        <f t="shared" si="11"/>
        <v>193</v>
      </c>
      <c r="P126" s="80" t="str">
        <f t="shared" si="12"/>
        <v/>
      </c>
      <c r="Q126" s="80">
        <f t="shared" si="7"/>
        <v>0</v>
      </c>
      <c r="R126" s="80"/>
      <c r="S126" s="162"/>
    </row>
    <row r="127" spans="1:19" s="26" customFormat="1" ht="12.2" customHeight="1" outlineLevel="1" x14ac:dyDescent="0.2">
      <c r="A127" s="46" t="s">
        <v>57</v>
      </c>
      <c r="B127" s="305"/>
      <c r="C127" s="15"/>
      <c r="D127" s="15"/>
      <c r="E127" s="15"/>
      <c r="F127" s="15"/>
      <c r="G127" s="15"/>
      <c r="H127" s="24"/>
      <c r="I127" s="23"/>
      <c r="J127" s="23">
        <v>258660</v>
      </c>
      <c r="K127" s="42">
        <v>8</v>
      </c>
      <c r="L127" s="15">
        <v>41471</v>
      </c>
      <c r="M127" s="24">
        <v>258660</v>
      </c>
      <c r="N127" s="30">
        <v>41555</v>
      </c>
      <c r="O127" s="43">
        <f t="shared" si="11"/>
        <v>84</v>
      </c>
      <c r="P127" s="80" t="str">
        <f t="shared" si="12"/>
        <v/>
      </c>
      <c r="Q127" s="80">
        <f t="shared" si="7"/>
        <v>0</v>
      </c>
      <c r="R127" s="80"/>
      <c r="S127" s="162"/>
    </row>
    <row r="128" spans="1:19" s="26" customFormat="1" ht="12.2" customHeight="1" outlineLevel="1" x14ac:dyDescent="0.2">
      <c r="A128" s="46" t="s">
        <v>57</v>
      </c>
      <c r="B128" s="305"/>
      <c r="C128" s="15"/>
      <c r="D128" s="15"/>
      <c r="E128" s="15"/>
      <c r="F128" s="15"/>
      <c r="G128" s="15"/>
      <c r="H128" s="24"/>
      <c r="I128" s="23"/>
      <c r="J128" s="23">
        <v>51300</v>
      </c>
      <c r="K128" s="42">
        <v>9</v>
      </c>
      <c r="L128" s="15">
        <v>41669</v>
      </c>
      <c r="M128" s="24">
        <v>51300</v>
      </c>
      <c r="N128" s="30">
        <v>41752</v>
      </c>
      <c r="O128" s="43">
        <f t="shared" si="11"/>
        <v>83</v>
      </c>
      <c r="P128" s="80" t="str">
        <f t="shared" si="12"/>
        <v/>
      </c>
      <c r="Q128" s="80">
        <f t="shared" si="7"/>
        <v>0</v>
      </c>
      <c r="R128" s="80"/>
      <c r="S128" s="162"/>
    </row>
    <row r="129" spans="1:19" s="26" customFormat="1" ht="12.2" customHeight="1" outlineLevel="1" x14ac:dyDescent="0.2">
      <c r="A129" s="46" t="s">
        <v>57</v>
      </c>
      <c r="B129" s="305"/>
      <c r="C129" s="15"/>
      <c r="D129" s="15"/>
      <c r="E129" s="15"/>
      <c r="F129" s="15"/>
      <c r="G129" s="15"/>
      <c r="I129" s="648">
        <v>0.27</v>
      </c>
      <c r="J129" s="23">
        <v>248940</v>
      </c>
      <c r="K129" s="42">
        <v>10</v>
      </c>
      <c r="L129" s="15">
        <v>42401</v>
      </c>
      <c r="M129" s="24">
        <v>248940</v>
      </c>
      <c r="N129" s="30">
        <v>42452</v>
      </c>
      <c r="O129" s="43">
        <f t="shared" si="11"/>
        <v>51</v>
      </c>
      <c r="P129" s="80" t="str">
        <f t="shared" si="12"/>
        <v/>
      </c>
      <c r="Q129" s="80">
        <f t="shared" si="7"/>
        <v>0</v>
      </c>
      <c r="R129" s="80"/>
      <c r="S129" s="162"/>
    </row>
    <row r="130" spans="1:19" s="26" customFormat="1" ht="12.2" customHeight="1" outlineLevel="1" x14ac:dyDescent="0.2">
      <c r="A130" s="46" t="s">
        <v>57</v>
      </c>
      <c r="B130" s="305"/>
      <c r="C130" s="15"/>
      <c r="D130" s="15"/>
      <c r="E130" s="15"/>
      <c r="F130" s="15"/>
      <c r="G130" s="15"/>
      <c r="I130" s="648">
        <v>0.30149999999999999</v>
      </c>
      <c r="J130" s="23">
        <v>169884.5</v>
      </c>
      <c r="K130" s="42">
        <v>11</v>
      </c>
      <c r="L130" s="15">
        <v>42893</v>
      </c>
      <c r="M130" s="24">
        <v>169884.5</v>
      </c>
      <c r="N130" s="30">
        <v>43077</v>
      </c>
      <c r="O130" s="43">
        <f t="shared" si="11"/>
        <v>184</v>
      </c>
      <c r="P130" s="80" t="str">
        <f t="shared" si="12"/>
        <v/>
      </c>
      <c r="Q130" s="80">
        <f>IF(L130="",J130-M130,0)</f>
        <v>0</v>
      </c>
      <c r="R130" s="80"/>
      <c r="S130" s="162"/>
    </row>
    <row r="131" spans="1:19" s="26" customFormat="1" ht="12.2" customHeight="1" outlineLevel="1" x14ac:dyDescent="0.2">
      <c r="A131" s="46" t="s">
        <v>57</v>
      </c>
      <c r="B131" s="305"/>
      <c r="C131" s="15"/>
      <c r="D131" s="15"/>
      <c r="E131" s="15"/>
      <c r="F131" s="15"/>
      <c r="G131" s="15"/>
      <c r="I131" s="648">
        <v>0.33079999999999998</v>
      </c>
      <c r="J131" s="23">
        <v>158435.5</v>
      </c>
      <c r="K131" s="42">
        <v>12</v>
      </c>
      <c r="L131" s="15">
        <v>43076</v>
      </c>
      <c r="M131" s="24">
        <v>158435.5</v>
      </c>
      <c r="N131" s="30">
        <v>43220</v>
      </c>
      <c r="O131" s="43">
        <f t="shared" si="11"/>
        <v>144</v>
      </c>
      <c r="P131" s="80" t="str">
        <f t="shared" si="12"/>
        <v/>
      </c>
      <c r="Q131" s="80">
        <f>IF(L131="",J131-M131,0)</f>
        <v>0</v>
      </c>
      <c r="R131" s="80"/>
      <c r="S131" s="162"/>
    </row>
    <row r="132" spans="1:19" s="26" customFormat="1" ht="12.2" customHeight="1" outlineLevel="1" x14ac:dyDescent="0.2">
      <c r="A132" s="46" t="s">
        <v>57</v>
      </c>
      <c r="B132" s="305"/>
      <c r="C132" s="15"/>
      <c r="D132" s="15"/>
      <c r="E132" s="15"/>
      <c r="F132" s="15"/>
      <c r="G132" s="15"/>
      <c r="I132" s="648">
        <v>0.36709999999999998</v>
      </c>
      <c r="J132" s="23">
        <f>H119*I132-J120-J121-J122-J123-J124-J125-J126-J127-J128-J129-J130-J131</f>
        <v>196020</v>
      </c>
      <c r="K132" s="42">
        <v>13</v>
      </c>
      <c r="L132" s="15">
        <v>43251</v>
      </c>
      <c r="M132" s="24">
        <v>196020</v>
      </c>
      <c r="N132" s="30">
        <v>43354</v>
      </c>
      <c r="O132" s="43">
        <f t="shared" si="11"/>
        <v>103</v>
      </c>
      <c r="P132" s="80" t="str">
        <f t="shared" si="12"/>
        <v/>
      </c>
      <c r="Q132" s="80">
        <f t="shared" ref="Q132:Q133" si="13">IF(L132="",J132-M132,0)</f>
        <v>0</v>
      </c>
      <c r="R132" s="80"/>
      <c r="S132" s="162"/>
    </row>
    <row r="133" spans="1:19" s="26" customFormat="1" ht="12.2" customHeight="1" outlineLevel="1" x14ac:dyDescent="0.2">
      <c r="A133" s="46" t="s">
        <v>57</v>
      </c>
      <c r="B133" s="305"/>
      <c r="C133" s="15"/>
      <c r="D133" s="15"/>
      <c r="E133" s="15"/>
      <c r="F133" s="15"/>
      <c r="G133" s="15"/>
      <c r="I133" s="648">
        <v>0.40389999999999998</v>
      </c>
      <c r="J133" s="23">
        <v>198720</v>
      </c>
      <c r="K133" s="42">
        <v>14</v>
      </c>
      <c r="L133" s="15">
        <v>43438</v>
      </c>
      <c r="M133" s="24">
        <v>198720</v>
      </c>
      <c r="N133" s="30">
        <v>43572</v>
      </c>
      <c r="O133" s="43">
        <f t="shared" si="11"/>
        <v>134</v>
      </c>
      <c r="P133" s="80" t="str">
        <f t="shared" si="12"/>
        <v/>
      </c>
      <c r="Q133" s="80">
        <f t="shared" si="13"/>
        <v>0</v>
      </c>
      <c r="R133" s="80"/>
      <c r="S133" s="162"/>
    </row>
    <row r="134" spans="1:19" s="26" customFormat="1" ht="12.2" customHeight="1" outlineLevel="1" x14ac:dyDescent="0.2">
      <c r="A134" s="46" t="s">
        <v>57</v>
      </c>
      <c r="B134" s="1059"/>
      <c r="C134" s="15"/>
      <c r="D134" s="15"/>
      <c r="E134" s="15"/>
      <c r="F134" s="15"/>
      <c r="G134" s="15"/>
      <c r="I134" s="648">
        <v>0.44540000000000002</v>
      </c>
      <c r="J134" s="23">
        <f>H119*I134-J120-J121-J122-J123-J124-J125-J126-J127-J128-J129-J130-J131-J132-J133</f>
        <v>224100</v>
      </c>
      <c r="K134" s="42">
        <v>15</v>
      </c>
      <c r="L134" s="15">
        <v>43685</v>
      </c>
      <c r="M134" s="111" t="s">
        <v>259</v>
      </c>
      <c r="N134" s="30"/>
      <c r="O134" s="43"/>
      <c r="P134" s="80"/>
      <c r="Q134" s="80"/>
      <c r="R134" s="80"/>
      <c r="S134" s="162"/>
    </row>
    <row r="135" spans="1:19" s="26" customFormat="1" ht="12.2" customHeight="1" outlineLevel="1" x14ac:dyDescent="0.2">
      <c r="A135" s="117" t="s">
        <v>57</v>
      </c>
      <c r="B135" s="306"/>
      <c r="C135" s="36"/>
      <c r="D135" s="36"/>
      <c r="E135" s="36"/>
      <c r="F135" s="36"/>
      <c r="G135" s="36"/>
      <c r="I135" s="550">
        <v>1</v>
      </c>
      <c r="J135" s="35">
        <f>H119-SUM(J120:J133)</f>
        <v>3218940</v>
      </c>
      <c r="K135" s="44">
        <v>16</v>
      </c>
      <c r="L135" s="36"/>
      <c r="M135" s="37"/>
      <c r="N135" s="154"/>
      <c r="O135" s="155"/>
      <c r="P135" s="156" t="str">
        <f t="shared" si="12"/>
        <v/>
      </c>
      <c r="Q135" s="80">
        <f t="shared" si="7"/>
        <v>3218940</v>
      </c>
      <c r="R135" s="156"/>
      <c r="S135" s="162"/>
    </row>
    <row r="136" spans="1:19" s="106" customFormat="1" ht="12.2" customHeight="1" x14ac:dyDescent="0.2">
      <c r="A136" s="128" t="s">
        <v>57</v>
      </c>
      <c r="B136" s="307" t="s">
        <v>170</v>
      </c>
      <c r="C136" s="148">
        <v>40878</v>
      </c>
      <c r="D136" s="157">
        <f>DATE(YEAR(C136)+2,MONTH(C136),DAY(C136))</f>
        <v>41609</v>
      </c>
      <c r="E136" s="148">
        <v>41514</v>
      </c>
      <c r="F136" s="157">
        <v>44350</v>
      </c>
      <c r="G136" s="148"/>
      <c r="H136" s="122">
        <v>5220000</v>
      </c>
      <c r="I136" s="131"/>
      <c r="J136" s="131"/>
      <c r="K136" s="132"/>
      <c r="L136" s="148"/>
      <c r="M136" s="134">
        <f>SUM(M137:M142)</f>
        <v>4176000</v>
      </c>
      <c r="N136" s="146"/>
      <c r="O136" s="147"/>
      <c r="P136" s="149">
        <f>SUM(P137:P142)</f>
        <v>0</v>
      </c>
      <c r="Q136" s="169">
        <f>SUM(Q137:Q142)</f>
        <v>1044000.0000000001</v>
      </c>
      <c r="R136" s="149"/>
      <c r="S136" s="162">
        <f>H136-(M136+P136+Q136)</f>
        <v>0</v>
      </c>
    </row>
    <row r="137" spans="1:19" s="26" customFormat="1" ht="12.2" customHeight="1" outlineLevel="1" x14ac:dyDescent="0.2">
      <c r="A137" s="46" t="s">
        <v>57</v>
      </c>
      <c r="B137" s="305" t="s">
        <v>382</v>
      </c>
      <c r="C137" s="15"/>
      <c r="D137" s="15"/>
      <c r="E137" s="15"/>
      <c r="F137" s="431" t="s">
        <v>257</v>
      </c>
      <c r="G137" s="15"/>
      <c r="H137" s="24"/>
      <c r="I137" s="23"/>
      <c r="J137" s="23">
        <v>1910679.91</v>
      </c>
      <c r="K137" s="42">
        <v>1</v>
      </c>
      <c r="L137" s="15">
        <v>41598</v>
      </c>
      <c r="M137" s="24">
        <v>1910679.91</v>
      </c>
      <c r="N137" s="30">
        <v>41814</v>
      </c>
      <c r="O137" s="43">
        <f>IF(N137="",$Q$2-L137,N137-L137)</f>
        <v>216</v>
      </c>
      <c r="P137" s="80" t="str">
        <f t="shared" ref="P137:P150" si="14">IF(M137="en attente",J137,"")</f>
        <v/>
      </c>
      <c r="Q137" s="80">
        <f t="shared" ref="Q137:Q142" si="15">IF(L137="",J137-M137,0)</f>
        <v>0</v>
      </c>
      <c r="R137" s="80"/>
      <c r="S137" s="162"/>
    </row>
    <row r="138" spans="1:19" s="26" customFormat="1" ht="12.2" customHeight="1" outlineLevel="1" x14ac:dyDescent="0.2">
      <c r="A138" s="46" t="s">
        <v>57</v>
      </c>
      <c r="B138" s="305"/>
      <c r="C138" s="15"/>
      <c r="D138" s="15"/>
      <c r="E138" s="15"/>
      <c r="F138" s="15"/>
      <c r="G138" s="15"/>
      <c r="H138" s="960"/>
      <c r="I138" s="648"/>
      <c r="J138" s="23">
        <v>853631.32</v>
      </c>
      <c r="K138" s="42">
        <v>2</v>
      </c>
      <c r="L138" s="15">
        <v>41710</v>
      </c>
      <c r="M138" s="24">
        <v>853631.32</v>
      </c>
      <c r="N138" s="30">
        <v>41771</v>
      </c>
      <c r="O138" s="43">
        <f>IF(N138="",$Q$2-L138,N138-L138)</f>
        <v>61</v>
      </c>
      <c r="P138" s="80" t="str">
        <f t="shared" si="14"/>
        <v/>
      </c>
      <c r="Q138" s="80">
        <f t="shared" si="15"/>
        <v>0</v>
      </c>
      <c r="R138" s="80"/>
      <c r="S138" s="162"/>
    </row>
    <row r="139" spans="1:19" s="26" customFormat="1" ht="12.2" customHeight="1" outlineLevel="1" x14ac:dyDescent="0.2">
      <c r="A139" s="46" t="s">
        <v>57</v>
      </c>
      <c r="B139" s="305"/>
      <c r="C139" s="15"/>
      <c r="D139" s="15"/>
      <c r="E139" s="15"/>
      <c r="F139" s="15"/>
      <c r="G139" s="15"/>
      <c r="I139" s="648">
        <v>0.66069999999999995</v>
      </c>
      <c r="J139" s="23">
        <v>684526.59</v>
      </c>
      <c r="K139" s="42">
        <v>3</v>
      </c>
      <c r="L139" s="15">
        <v>42374</v>
      </c>
      <c r="M139" s="24">
        <v>684526.59</v>
      </c>
      <c r="N139" s="30">
        <v>42443</v>
      </c>
      <c r="O139" s="43"/>
      <c r="P139" s="80" t="str">
        <f t="shared" si="14"/>
        <v/>
      </c>
      <c r="Q139" s="80">
        <f t="shared" si="15"/>
        <v>0</v>
      </c>
      <c r="R139" s="80"/>
      <c r="S139" s="162"/>
    </row>
    <row r="140" spans="1:19" s="26" customFormat="1" ht="12.2" customHeight="1" outlineLevel="1" x14ac:dyDescent="0.2">
      <c r="A140" s="46" t="s">
        <v>57</v>
      </c>
      <c r="B140" s="305"/>
      <c r="C140" s="15"/>
      <c r="D140" s="15"/>
      <c r="E140" s="15"/>
      <c r="F140" s="15"/>
      <c r="G140" s="15"/>
      <c r="I140" s="648">
        <v>0.75419999999999998</v>
      </c>
      <c r="J140" s="23">
        <v>487958.81</v>
      </c>
      <c r="K140" s="42">
        <v>4</v>
      </c>
      <c r="L140" s="15">
        <v>42528</v>
      </c>
      <c r="M140" s="24">
        <v>487958.81</v>
      </c>
      <c r="N140" s="30">
        <v>42564</v>
      </c>
      <c r="O140" s="43"/>
      <c r="P140" s="80" t="str">
        <f t="shared" si="14"/>
        <v/>
      </c>
      <c r="Q140" s="80">
        <f t="shared" si="15"/>
        <v>0</v>
      </c>
      <c r="R140" s="80"/>
      <c r="S140" s="162"/>
    </row>
    <row r="141" spans="1:19" s="26" customFormat="1" ht="12.2" customHeight="1" outlineLevel="1" x14ac:dyDescent="0.2">
      <c r="A141" s="46" t="s">
        <v>57</v>
      </c>
      <c r="B141" s="305"/>
      <c r="C141" s="15"/>
      <c r="D141" s="15"/>
      <c r="E141" s="15"/>
      <c r="F141" s="15"/>
      <c r="G141" s="15"/>
      <c r="I141" s="648">
        <v>0.8</v>
      </c>
      <c r="J141" s="23">
        <v>239203.37</v>
      </c>
      <c r="K141" s="42">
        <v>5</v>
      </c>
      <c r="L141" s="15">
        <v>42678</v>
      </c>
      <c r="M141" s="24">
        <v>239203.37</v>
      </c>
      <c r="N141" s="30">
        <v>42752</v>
      </c>
      <c r="O141" s="43"/>
      <c r="P141" s="80" t="str">
        <f t="shared" si="14"/>
        <v/>
      </c>
      <c r="Q141" s="80">
        <f t="shared" si="15"/>
        <v>0</v>
      </c>
      <c r="R141" s="80"/>
      <c r="S141" s="162"/>
    </row>
    <row r="142" spans="1:19" s="26" customFormat="1" ht="12.2" customHeight="1" outlineLevel="1" x14ac:dyDescent="0.2">
      <c r="A142" s="46" t="s">
        <v>57</v>
      </c>
      <c r="B142" s="305"/>
      <c r="C142" s="15"/>
      <c r="D142" s="15"/>
      <c r="E142" s="15"/>
      <c r="F142" s="15"/>
      <c r="G142" s="15"/>
      <c r="H142" s="24"/>
      <c r="I142" s="23"/>
      <c r="J142" s="23">
        <f>H136-J137-J138-J139-J140-J141</f>
        <v>1044000.0000000001</v>
      </c>
      <c r="K142" s="42">
        <v>6</v>
      </c>
      <c r="L142" s="15"/>
      <c r="M142" s="24"/>
      <c r="N142" s="30"/>
      <c r="O142" s="43"/>
      <c r="P142" s="80" t="str">
        <f t="shared" si="14"/>
        <v/>
      </c>
      <c r="Q142" s="80">
        <f t="shared" si="15"/>
        <v>1044000.0000000001</v>
      </c>
      <c r="R142" s="80"/>
      <c r="S142" s="162"/>
    </row>
    <row r="143" spans="1:19" s="26" customFormat="1" ht="12.2" customHeight="1" x14ac:dyDescent="0.2">
      <c r="A143" s="118" t="s">
        <v>57</v>
      </c>
      <c r="B143" s="304" t="s">
        <v>185</v>
      </c>
      <c r="C143" s="157">
        <v>40878</v>
      </c>
      <c r="D143" s="157">
        <f>DATE(YEAR(C143)+2,MONTH(C143),DAY(C143))</f>
        <v>41609</v>
      </c>
      <c r="E143" s="157">
        <v>41576</v>
      </c>
      <c r="F143" s="157">
        <v>44498</v>
      </c>
      <c r="G143" s="120"/>
      <c r="H143" s="125">
        <v>363142</v>
      </c>
      <c r="I143" s="122"/>
      <c r="J143" s="249"/>
      <c r="K143" s="250"/>
      <c r="L143" s="120"/>
      <c r="M143" s="125">
        <f>SUM(M144:M148)</f>
        <v>95750.53</v>
      </c>
      <c r="N143" s="213"/>
      <c r="O143" s="251"/>
      <c r="P143" s="158">
        <f>SUM(P144:P148)</f>
        <v>0</v>
      </c>
      <c r="Q143" s="158">
        <f>SUM(Q144:Q148)</f>
        <v>267391.47000000003</v>
      </c>
      <c r="R143" s="252"/>
      <c r="S143" s="162">
        <f>H143 -(M143+P143+Q143)</f>
        <v>0</v>
      </c>
    </row>
    <row r="144" spans="1:19" s="26" customFormat="1" ht="12.2" customHeight="1" outlineLevel="1" x14ac:dyDescent="0.2">
      <c r="A144" s="46" t="s">
        <v>57</v>
      </c>
      <c r="B144" s="305" t="s">
        <v>383</v>
      </c>
      <c r="C144" s="15"/>
      <c r="D144" s="15"/>
      <c r="E144" s="15"/>
      <c r="F144" s="431" t="s">
        <v>257</v>
      </c>
      <c r="G144" s="15"/>
      <c r="I144" s="648">
        <v>2.2100000000000002E-2</v>
      </c>
      <c r="J144" s="23">
        <v>8025.44</v>
      </c>
      <c r="K144" s="42">
        <v>1</v>
      </c>
      <c r="L144" s="15">
        <v>42292</v>
      </c>
      <c r="M144" s="24">
        <v>8025.44</v>
      </c>
      <c r="N144" s="30">
        <v>42335</v>
      </c>
      <c r="O144" s="43"/>
      <c r="P144" s="80" t="str">
        <f t="shared" si="14"/>
        <v/>
      </c>
      <c r="Q144" s="80">
        <f t="shared" ref="Q144:Q152" si="16">IF(L144="",J144-M144,0)</f>
        <v>0</v>
      </c>
      <c r="R144" s="80"/>
      <c r="S144" s="162"/>
    </row>
    <row r="145" spans="1:20" s="26" customFormat="1" ht="12.2" customHeight="1" outlineLevel="1" x14ac:dyDescent="0.2">
      <c r="A145" s="46" t="s">
        <v>57</v>
      </c>
      <c r="B145" s="305"/>
      <c r="C145" s="15"/>
      <c r="D145" s="15"/>
      <c r="E145" s="15"/>
      <c r="F145" s="84"/>
      <c r="G145" s="15"/>
      <c r="I145" s="648">
        <v>0.16420000000000001</v>
      </c>
      <c r="J145" s="23">
        <v>51587.040000000001</v>
      </c>
      <c r="K145" s="42">
        <v>2</v>
      </c>
      <c r="L145" s="15">
        <v>42544</v>
      </c>
      <c r="M145" s="24">
        <v>51587.040000000001</v>
      </c>
      <c r="N145" s="30">
        <v>42578</v>
      </c>
      <c r="O145" s="43"/>
      <c r="P145" s="80" t="str">
        <f t="shared" si="14"/>
        <v/>
      </c>
      <c r="Q145" s="80">
        <f t="shared" si="16"/>
        <v>0</v>
      </c>
      <c r="R145" s="80"/>
      <c r="S145" s="162"/>
    </row>
    <row r="146" spans="1:20" s="26" customFormat="1" ht="12.2" customHeight="1" outlineLevel="1" x14ac:dyDescent="0.2">
      <c r="A146" s="46" t="s">
        <v>57</v>
      </c>
      <c r="B146" s="305"/>
      <c r="C146" s="15"/>
      <c r="D146" s="15"/>
      <c r="E146" s="15"/>
      <c r="F146" s="104"/>
      <c r="G146" s="15"/>
      <c r="I146" s="648">
        <v>0.26369999999999999</v>
      </c>
      <c r="J146" s="23">
        <v>36138.050000000003</v>
      </c>
      <c r="K146" s="42">
        <v>3</v>
      </c>
      <c r="L146" s="15">
        <v>42678</v>
      </c>
      <c r="M146" s="24">
        <v>36138.050000000003</v>
      </c>
      <c r="N146" s="30">
        <v>42752</v>
      </c>
      <c r="O146" s="43"/>
      <c r="P146" s="80" t="str">
        <f t="shared" si="14"/>
        <v/>
      </c>
      <c r="Q146" s="80"/>
      <c r="R146" s="80"/>
      <c r="S146" s="162"/>
    </row>
    <row r="147" spans="1:20" s="26" customFormat="1" ht="12.2" customHeight="1" outlineLevel="1" x14ac:dyDescent="0.2">
      <c r="A147" s="46" t="s">
        <v>57</v>
      </c>
      <c r="B147" s="305"/>
      <c r="C147" s="15"/>
      <c r="D147" s="15"/>
      <c r="E147" s="15"/>
      <c r="F147" s="104"/>
      <c r="G147" s="15"/>
      <c r="I147" s="891">
        <v>0.8</v>
      </c>
      <c r="J147" s="23">
        <f>H143*80%-(J144+J145+J146)</f>
        <v>194763.07000000004</v>
      </c>
      <c r="K147" s="42"/>
      <c r="L147" s="15"/>
      <c r="M147" s="24"/>
      <c r="N147" s="30"/>
      <c r="O147" s="43"/>
      <c r="P147" s="80" t="str">
        <f t="shared" si="14"/>
        <v/>
      </c>
      <c r="Q147" s="80">
        <f t="shared" si="16"/>
        <v>194763.07000000004</v>
      </c>
      <c r="R147" s="80"/>
      <c r="S147" s="162"/>
    </row>
    <row r="148" spans="1:20" s="26" customFormat="1" ht="12.2" customHeight="1" outlineLevel="1" x14ac:dyDescent="0.2">
      <c r="A148" s="46" t="s">
        <v>57</v>
      </c>
      <c r="B148" s="305"/>
      <c r="C148" s="15"/>
      <c r="D148" s="15"/>
      <c r="E148" s="15"/>
      <c r="F148" s="104"/>
      <c r="G148" s="15"/>
      <c r="I148" s="892">
        <v>1</v>
      </c>
      <c r="J148" s="23">
        <f>H143-J144-J145-J146-J147</f>
        <v>72628.399999999994</v>
      </c>
      <c r="K148" s="42"/>
      <c r="L148" s="15"/>
      <c r="M148" s="24"/>
      <c r="N148" s="30"/>
      <c r="O148" s="43"/>
      <c r="P148" s="80" t="str">
        <f t="shared" si="14"/>
        <v/>
      </c>
      <c r="Q148" s="80">
        <f t="shared" si="16"/>
        <v>72628.399999999994</v>
      </c>
      <c r="R148" s="80"/>
      <c r="S148" s="162"/>
    </row>
    <row r="149" spans="1:20" s="26" customFormat="1" ht="12" customHeight="1" x14ac:dyDescent="0.2">
      <c r="A149" s="118" t="s">
        <v>57</v>
      </c>
      <c r="B149" s="304" t="s">
        <v>203</v>
      </c>
      <c r="C149" s="157">
        <v>41939</v>
      </c>
      <c r="D149" s="157">
        <f>DATE(YEAR(C149)+2,MONTH(C149),DAY(C149))</f>
        <v>42670</v>
      </c>
      <c r="E149" s="157">
        <v>42467</v>
      </c>
      <c r="F149" s="157">
        <f>DATE(YEAR(E149)+4,MONTH(E149),DAY(E149))</f>
        <v>43928</v>
      </c>
      <c r="G149" s="157"/>
      <c r="H149" s="125">
        <v>2000000</v>
      </c>
      <c r="I149" s="122"/>
      <c r="J149" s="122"/>
      <c r="K149" s="137"/>
      <c r="L149" s="157"/>
      <c r="M149" s="125">
        <f>SUM(M150:M152)</f>
        <v>100000</v>
      </c>
      <c r="N149" s="150"/>
      <c r="O149" s="151"/>
      <c r="P149" s="158">
        <f>SUM(P150:P152)</f>
        <v>0</v>
      </c>
      <c r="Q149" s="158">
        <f>SUM(Q150:Q152)</f>
        <v>1900000</v>
      </c>
      <c r="R149" s="158"/>
      <c r="S149" s="162">
        <f>H149-(M149+P149+Q149)</f>
        <v>0</v>
      </c>
    </row>
    <row r="150" spans="1:20" s="26" customFormat="1" ht="12.2" customHeight="1" outlineLevel="1" x14ac:dyDescent="0.2">
      <c r="A150" s="46" t="s">
        <v>57</v>
      </c>
      <c r="B150" s="305" t="s">
        <v>384</v>
      </c>
      <c r="C150" s="15"/>
      <c r="D150" s="29"/>
      <c r="E150" s="15"/>
      <c r="F150" s="15"/>
      <c r="G150" s="15"/>
      <c r="I150" s="624">
        <v>0.05</v>
      </c>
      <c r="J150" s="23">
        <v>100000</v>
      </c>
      <c r="K150" s="42">
        <v>1</v>
      </c>
      <c r="L150" s="15">
        <v>42530</v>
      </c>
      <c r="M150" s="24">
        <v>100000</v>
      </c>
      <c r="N150" s="30">
        <v>42562</v>
      </c>
      <c r="O150" s="43"/>
      <c r="P150" s="80" t="str">
        <f t="shared" si="14"/>
        <v/>
      </c>
      <c r="Q150" s="80">
        <f t="shared" si="16"/>
        <v>0</v>
      </c>
      <c r="R150" s="80"/>
      <c r="S150" s="162"/>
    </row>
    <row r="151" spans="1:20" s="26" customFormat="1" ht="12.2" customHeight="1" outlineLevel="1" x14ac:dyDescent="0.2">
      <c r="A151" s="46" t="s">
        <v>57</v>
      </c>
      <c r="B151" s="305"/>
      <c r="C151" s="15"/>
      <c r="D151" s="29"/>
      <c r="E151" s="15"/>
      <c r="F151" s="15"/>
      <c r="G151" s="15"/>
      <c r="I151" s="624">
        <v>0.8</v>
      </c>
      <c r="J151" s="23">
        <f>H149*I151-J150</f>
        <v>1500000</v>
      </c>
      <c r="K151" s="42">
        <v>2</v>
      </c>
      <c r="L151" s="15"/>
      <c r="M151" s="24"/>
      <c r="N151" s="30"/>
      <c r="O151" s="43"/>
      <c r="P151" s="80"/>
      <c r="Q151" s="80">
        <f t="shared" si="16"/>
        <v>1500000</v>
      </c>
      <c r="R151" s="80"/>
      <c r="S151" s="162"/>
    </row>
    <row r="152" spans="1:20" s="26" customFormat="1" ht="12.2" customHeight="1" outlineLevel="1" x14ac:dyDescent="0.2">
      <c r="A152" s="46" t="s">
        <v>57</v>
      </c>
      <c r="B152" s="305"/>
      <c r="C152" s="15"/>
      <c r="D152" s="29"/>
      <c r="E152" s="15"/>
      <c r="F152" s="15"/>
      <c r="G152" s="15"/>
      <c r="I152" s="624">
        <v>1</v>
      </c>
      <c r="J152" s="23">
        <f>H149-J150-J151</f>
        <v>400000</v>
      </c>
      <c r="K152" s="42">
        <v>3</v>
      </c>
      <c r="L152" s="15"/>
      <c r="M152" s="24"/>
      <c r="N152" s="30"/>
      <c r="O152" s="43"/>
      <c r="P152" s="80"/>
      <c r="Q152" s="80">
        <f t="shared" si="16"/>
        <v>400000</v>
      </c>
      <c r="R152" s="80"/>
      <c r="S152" s="162"/>
    </row>
    <row r="153" spans="1:20" s="26" customFormat="1" ht="12.2" customHeight="1" x14ac:dyDescent="0.2">
      <c r="A153" s="46"/>
      <c r="B153" s="305"/>
      <c r="C153" s="15"/>
      <c r="D153" s="29"/>
      <c r="E153" s="15"/>
      <c r="F153" s="15"/>
      <c r="G153" s="15"/>
      <c r="H153" s="24"/>
      <c r="I153" s="35"/>
      <c r="J153" s="23"/>
      <c r="K153" s="42"/>
      <c r="L153" s="15"/>
      <c r="M153" s="24"/>
      <c r="N153" s="30"/>
      <c r="O153" s="43"/>
      <c r="P153" s="80"/>
      <c r="Q153" s="80"/>
      <c r="R153" s="80"/>
      <c r="S153" s="162"/>
    </row>
    <row r="154" spans="1:20" s="8" customFormat="1" ht="12.2" customHeight="1" x14ac:dyDescent="0.2">
      <c r="A154" s="48"/>
      <c r="B154" s="48"/>
      <c r="C154" s="48"/>
      <c r="D154" s="48"/>
      <c r="E154" s="48"/>
      <c r="F154" s="48"/>
      <c r="G154" s="48"/>
      <c r="H154" s="41">
        <f>H6+H13+H20+H33+H38+H45+H49+H53+H58+H61+H65+H70+H86+H77+H90+H104+H116+H119+H136+H83+H99+H28+H143+H149+H112+H108</f>
        <v>26941524.539999999</v>
      </c>
      <c r="I154" s="41"/>
      <c r="J154" s="41">
        <f>SUMPRODUCT((Date_AF_FRAFU&lt;&gt;"")*MontantAF_FRAFU)</f>
        <v>19258284.800000001</v>
      </c>
      <c r="K154" s="49"/>
      <c r="L154" s="50"/>
      <c r="M154" s="41">
        <f>M6+M13+M20+M33+M38+M45+M49+M53+M58+M61+M65+M70+M86+M77+M90+M104+M116+M119+M136+M83+M99+M28+M143+M149+M112+M108</f>
        <v>18793761.34</v>
      </c>
      <c r="N154" s="85"/>
      <c r="O154" s="78"/>
      <c r="P154" s="41">
        <f>P6+P13+P20+P33+P38+P45+P49+P53+P58+P61+P65+P70+P86+P77+P90+P104+P116+P119+P136+P83+P99+P28+P143+P149+P112+P108</f>
        <v>712517.91999999993</v>
      </c>
      <c r="Q154" s="41">
        <f>Q6+Q13+Q20+Q33+Q38+Q45+Q49+Q53+Q58+Q61+Q65+Q70+Q86+Q77+Q90+Q104+Q116+Q119+Q136+Q83+Q99+Q28+Q143+Q149+Q112+Q108</f>
        <v>7397110.4580000006</v>
      </c>
      <c r="R154" s="81"/>
      <c r="S154" s="163">
        <f>H154-(M154+P154+Q154)</f>
        <v>38134.822000000626</v>
      </c>
    </row>
    <row r="155" spans="1:20" ht="12.2" customHeight="1" x14ac:dyDescent="0.2">
      <c r="A155" s="74"/>
      <c r="B155" s="74"/>
      <c r="C155" s="75"/>
      <c r="D155" s="75"/>
      <c r="E155" s="75"/>
      <c r="F155" s="75"/>
      <c r="G155" s="75"/>
      <c r="H155" s="75"/>
      <c r="I155" s="75"/>
      <c r="J155" s="75"/>
      <c r="K155" s="74"/>
      <c r="L155" s="75"/>
      <c r="M155" s="75"/>
      <c r="N155" s="86"/>
      <c r="O155" s="79"/>
      <c r="P155" s="1064">
        <f>SUM(P154:Q154)</f>
        <v>8109628.3780000005</v>
      </c>
      <c r="Q155" s="1065"/>
    </row>
    <row r="156" spans="1:20" s="6" customFormat="1" ht="12.75" thickBot="1" x14ac:dyDescent="0.25">
      <c r="C156" s="1"/>
      <c r="D156" s="1"/>
      <c r="E156" s="1"/>
      <c r="F156" s="1"/>
      <c r="G156" s="1"/>
      <c r="H156" s="47"/>
      <c r="I156" s="47"/>
      <c r="J156" s="47"/>
      <c r="K156" s="519"/>
      <c r="L156" s="47"/>
      <c r="M156" s="47"/>
      <c r="N156" s="82"/>
      <c r="O156" s="76"/>
      <c r="P156" s="1"/>
      <c r="Q156" s="1"/>
      <c r="R156" s="1"/>
      <c r="S156" s="160"/>
      <c r="T156" s="1"/>
    </row>
    <row r="157" spans="1:20" ht="12.75" thickBot="1" x14ac:dyDescent="0.25">
      <c r="J157" s="740" t="s">
        <v>192</v>
      </c>
      <c r="K157" s="733"/>
      <c r="L157" s="734"/>
      <c r="M157" s="744" t="s">
        <v>194</v>
      </c>
    </row>
    <row r="158" spans="1:20" x14ac:dyDescent="0.2">
      <c r="I158" s="1029">
        <v>2006</v>
      </c>
      <c r="J158" s="741">
        <f t="shared" ref="J158:J167" si="17">SUMPRODUCT((YEAR($I$174:$I$263)=I158)*$J$174:$J$263)</f>
        <v>1558057.8</v>
      </c>
      <c r="K158" s="519"/>
      <c r="L158" s="47"/>
      <c r="M158" s="741">
        <f>SUMPRODUCT((YEAR($I$174:$I$287)=I158)*$M$174:$M$287)</f>
        <v>135000</v>
      </c>
    </row>
    <row r="159" spans="1:20" x14ac:dyDescent="0.2">
      <c r="A159" s="1"/>
      <c r="I159" s="746">
        <v>2007</v>
      </c>
      <c r="J159" s="741">
        <f t="shared" si="17"/>
        <v>170100</v>
      </c>
      <c r="K159" s="519"/>
      <c r="L159" s="47"/>
      <c r="M159" s="741">
        <f t="shared" ref="M159:M167" si="18">SUMPRODUCT((YEAR($I$174:$I$263)=I159)*$M$174:$M$263)</f>
        <v>1593157.8</v>
      </c>
    </row>
    <row r="160" spans="1:20" x14ac:dyDescent="0.2">
      <c r="I160" s="746">
        <v>2010</v>
      </c>
      <c r="J160" s="741">
        <f t="shared" si="17"/>
        <v>63180</v>
      </c>
      <c r="K160" s="519"/>
      <c r="L160" s="47"/>
      <c r="M160" s="741">
        <f t="shared" si="18"/>
        <v>63180</v>
      </c>
    </row>
    <row r="161" spans="9:14" x14ac:dyDescent="0.2">
      <c r="I161" s="746">
        <v>2011</v>
      </c>
      <c r="J161" s="741">
        <f t="shared" si="17"/>
        <v>1113274</v>
      </c>
      <c r="K161" s="519"/>
      <c r="L161" s="47"/>
      <c r="M161" s="741">
        <f t="shared" si="18"/>
        <v>964320</v>
      </c>
    </row>
    <row r="162" spans="9:14" x14ac:dyDescent="0.2">
      <c r="I162" s="746">
        <v>2012</v>
      </c>
      <c r="J162" s="741">
        <f t="shared" si="17"/>
        <v>1260319.3</v>
      </c>
      <c r="K162" s="519"/>
      <c r="L162" s="47"/>
      <c r="M162" s="741">
        <f t="shared" si="18"/>
        <v>1285783.17</v>
      </c>
    </row>
    <row r="163" spans="9:14" x14ac:dyDescent="0.2">
      <c r="I163" s="746">
        <v>2013</v>
      </c>
      <c r="J163" s="741">
        <f t="shared" si="17"/>
        <v>2866858.28</v>
      </c>
      <c r="K163" s="519"/>
      <c r="L163" s="47"/>
      <c r="M163" s="741">
        <f t="shared" si="18"/>
        <v>655454.87</v>
      </c>
    </row>
    <row r="164" spans="9:14" x14ac:dyDescent="0.2">
      <c r="I164" s="746">
        <v>2014</v>
      </c>
      <c r="J164" s="741">
        <f t="shared" si="17"/>
        <v>2269922.3799999994</v>
      </c>
      <c r="K164" s="519"/>
      <c r="L164" s="47"/>
      <c r="M164" s="741">
        <f t="shared" si="18"/>
        <v>4460611.76</v>
      </c>
    </row>
    <row r="165" spans="9:14" x14ac:dyDescent="0.2">
      <c r="I165" s="746">
        <v>2015</v>
      </c>
      <c r="J165" s="741">
        <f t="shared" si="17"/>
        <v>3264503.62</v>
      </c>
      <c r="K165" s="519"/>
      <c r="L165" s="47"/>
      <c r="M165" s="741">
        <f t="shared" si="18"/>
        <v>1769182.02</v>
      </c>
    </row>
    <row r="166" spans="9:14" x14ac:dyDescent="0.2">
      <c r="I166" s="746">
        <v>2016</v>
      </c>
      <c r="J166" s="741">
        <f t="shared" si="17"/>
        <v>3128172.4920000001</v>
      </c>
      <c r="K166" s="519"/>
      <c r="L166" s="47"/>
      <c r="M166" s="741">
        <f t="shared" si="18"/>
        <v>3898075.0300000003</v>
      </c>
    </row>
    <row r="167" spans="9:14" x14ac:dyDescent="0.2">
      <c r="I167" s="746">
        <v>2017</v>
      </c>
      <c r="J167" s="741">
        <f t="shared" si="17"/>
        <v>1630791.08</v>
      </c>
      <c r="K167" s="519"/>
      <c r="L167" s="47"/>
      <c r="M167" s="741">
        <f t="shared" si="18"/>
        <v>2215954.2799999998</v>
      </c>
    </row>
    <row r="168" spans="9:14" ht="12.75" thickBot="1" x14ac:dyDescent="0.25">
      <c r="I168" s="746">
        <v>2018</v>
      </c>
      <c r="J168" s="741">
        <f>SUMPRODUCT((YEAR($I$174:$I$275)=I168)*$J$174:$J$275)</f>
        <v>1325881.7780000002</v>
      </c>
      <c r="K168" s="519"/>
      <c r="L168" s="47"/>
      <c r="M168" s="741">
        <f>SUMPRODUCT((YEAR($I$174:$I$275)=I168)*$M$174:$M$275)</f>
        <v>1554322.41</v>
      </c>
    </row>
    <row r="169" spans="9:14" ht="12.75" thickBot="1" x14ac:dyDescent="0.25">
      <c r="I169" s="748">
        <v>2019</v>
      </c>
      <c r="J169" s="742">
        <f>SUMPRODUCT((YEAR($I$174:$I$287)=I169)*$J$174:$J$287)</f>
        <v>360352.48</v>
      </c>
      <c r="K169" s="749"/>
      <c r="L169" s="750"/>
      <c r="M169" s="751">
        <f>SUMPRODUCT((YEAR($I$174:$I$287)=I169)*$M$174:$M$287)</f>
        <v>198720</v>
      </c>
    </row>
    <row r="170" spans="9:14" ht="12.75" thickBot="1" x14ac:dyDescent="0.25">
      <c r="J170" s="894">
        <f>SUM(J158:J169)</f>
        <v>19011413.210000001</v>
      </c>
      <c r="K170" s="738"/>
      <c r="L170" s="739"/>
      <c r="M170" s="894">
        <f>SUM(M158:M169)</f>
        <v>18793761.34</v>
      </c>
      <c r="N170" s="90">
        <f>M170-J170</f>
        <v>-217651.87000000104</v>
      </c>
    </row>
    <row r="171" spans="9:14" x14ac:dyDescent="0.2">
      <c r="J171" s="90">
        <f>J170-J288</f>
        <v>0</v>
      </c>
      <c r="M171" s="90">
        <f>M170-M288</f>
        <v>0</v>
      </c>
    </row>
    <row r="172" spans="9:14" x14ac:dyDescent="0.2">
      <c r="J172" s="90"/>
    </row>
    <row r="173" spans="9:14" x14ac:dyDescent="0.2">
      <c r="J173" s="366" t="s">
        <v>192</v>
      </c>
      <c r="M173" s="367" t="s">
        <v>194</v>
      </c>
    </row>
    <row r="174" spans="9:14" hidden="1" outlineLevel="1" x14ac:dyDescent="0.2">
      <c r="I174" s="375">
        <v>38961</v>
      </c>
      <c r="J174" s="364">
        <f t="shared" ref="J174:J205" si="19">SUMPRODUCT((DateAF&lt;&gt;"")*(MONTH(DateAF)=MONTH(I174))*(YEAR(DateAF)=YEAR(I174))*MontantAF)</f>
        <v>1558057.8</v>
      </c>
      <c r="M174" s="364">
        <f t="shared" ref="M174:M205" si="20">SUMPRODUCT((DatePmt&lt;&gt;"")*(DatePmt&lt;&gt;"en attente")*(MONTH(DatePmt)=MONTH(I174))*(YEAR(DatePmt)=YEAR(I174))*(ISNUMBER(MontantPaye)),MontantPaye)</f>
        <v>0</v>
      </c>
    </row>
    <row r="175" spans="9:14" hidden="1" outlineLevel="1" x14ac:dyDescent="0.2">
      <c r="I175" s="375">
        <v>38991</v>
      </c>
      <c r="J175" s="364">
        <f t="shared" si="19"/>
        <v>0</v>
      </c>
      <c r="M175" s="364">
        <f t="shared" si="20"/>
        <v>135000</v>
      </c>
    </row>
    <row r="176" spans="9:14" hidden="1" outlineLevel="1" x14ac:dyDescent="0.2">
      <c r="I176" s="375">
        <v>39203</v>
      </c>
      <c r="J176" s="364">
        <f t="shared" si="19"/>
        <v>170100</v>
      </c>
      <c r="M176" s="364">
        <f t="shared" si="20"/>
        <v>1423057.8</v>
      </c>
    </row>
    <row r="177" spans="9:13" ht="15" hidden="1" customHeight="1" outlineLevel="1" x14ac:dyDescent="0.2">
      <c r="I177" s="375">
        <v>39234</v>
      </c>
      <c r="J177" s="364">
        <f t="shared" si="19"/>
        <v>0</v>
      </c>
      <c r="M177" s="364">
        <f t="shared" si="20"/>
        <v>170100</v>
      </c>
    </row>
    <row r="178" spans="9:13" ht="12.2" hidden="1" customHeight="1" outlineLevel="1" x14ac:dyDescent="0.2">
      <c r="I178" s="375">
        <v>40269</v>
      </c>
      <c r="J178" s="364">
        <f t="shared" si="19"/>
        <v>63180</v>
      </c>
      <c r="M178" s="364">
        <f t="shared" si="20"/>
        <v>0</v>
      </c>
    </row>
    <row r="179" spans="9:13" ht="12.95" hidden="1" customHeight="1" outlineLevel="1" x14ac:dyDescent="0.2">
      <c r="I179" s="375">
        <v>40360</v>
      </c>
      <c r="J179" s="364">
        <f t="shared" si="19"/>
        <v>0</v>
      </c>
      <c r="M179" s="364">
        <f t="shared" si="20"/>
        <v>63180</v>
      </c>
    </row>
    <row r="180" spans="9:13" hidden="1" outlineLevel="1" x14ac:dyDescent="0.2">
      <c r="I180" s="363">
        <v>40544</v>
      </c>
      <c r="J180" s="364">
        <f t="shared" si="19"/>
        <v>375720</v>
      </c>
      <c r="M180" s="364">
        <f t="shared" si="20"/>
        <v>0</v>
      </c>
    </row>
    <row r="181" spans="9:13" hidden="1" outlineLevel="1" x14ac:dyDescent="0.2">
      <c r="I181" s="363">
        <v>40575</v>
      </c>
      <c r="J181" s="364">
        <f t="shared" si="19"/>
        <v>0</v>
      </c>
      <c r="M181" s="364">
        <f t="shared" si="20"/>
        <v>0</v>
      </c>
    </row>
    <row r="182" spans="9:13" hidden="1" outlineLevel="1" x14ac:dyDescent="0.2">
      <c r="I182" s="363">
        <v>40603</v>
      </c>
      <c r="J182" s="364">
        <f t="shared" si="19"/>
        <v>77760</v>
      </c>
      <c r="M182" s="364">
        <f t="shared" si="20"/>
        <v>0</v>
      </c>
    </row>
    <row r="183" spans="9:13" hidden="1" outlineLevel="1" x14ac:dyDescent="0.2">
      <c r="I183" s="363">
        <v>40634</v>
      </c>
      <c r="J183" s="364">
        <f t="shared" si="19"/>
        <v>400167</v>
      </c>
      <c r="M183" s="364">
        <f t="shared" si="20"/>
        <v>280800</v>
      </c>
    </row>
    <row r="184" spans="9:13" hidden="1" outlineLevel="1" x14ac:dyDescent="0.2">
      <c r="I184" s="363">
        <v>40664</v>
      </c>
      <c r="J184" s="364">
        <f t="shared" si="19"/>
        <v>0</v>
      </c>
      <c r="M184" s="364">
        <f t="shared" si="20"/>
        <v>0</v>
      </c>
    </row>
    <row r="185" spans="9:13" hidden="1" outlineLevel="1" x14ac:dyDescent="0.2">
      <c r="I185" s="363">
        <v>40695</v>
      </c>
      <c r="J185" s="364">
        <f t="shared" si="19"/>
        <v>0</v>
      </c>
      <c r="M185" s="364">
        <f t="shared" si="20"/>
        <v>77760</v>
      </c>
    </row>
    <row r="186" spans="9:13" hidden="1" outlineLevel="1" x14ac:dyDescent="0.2">
      <c r="I186" s="363">
        <v>40725</v>
      </c>
      <c r="J186" s="364">
        <f t="shared" si="19"/>
        <v>0</v>
      </c>
      <c r="M186" s="364">
        <f t="shared" si="20"/>
        <v>0</v>
      </c>
    </row>
    <row r="187" spans="9:13" hidden="1" outlineLevel="1" x14ac:dyDescent="0.2">
      <c r="I187" s="363">
        <v>40756</v>
      </c>
      <c r="J187" s="364">
        <f t="shared" si="19"/>
        <v>0</v>
      </c>
      <c r="M187" s="364">
        <f t="shared" si="20"/>
        <v>0</v>
      </c>
    </row>
    <row r="188" spans="9:13" hidden="1" outlineLevel="1" x14ac:dyDescent="0.2">
      <c r="I188" s="363">
        <v>40787</v>
      </c>
      <c r="J188" s="364">
        <f t="shared" si="19"/>
        <v>0</v>
      </c>
      <c r="M188" s="364">
        <f t="shared" si="20"/>
        <v>400167</v>
      </c>
    </row>
    <row r="189" spans="9:13" hidden="1" outlineLevel="1" x14ac:dyDescent="0.2">
      <c r="I189" s="363">
        <v>40817</v>
      </c>
      <c r="J189" s="364">
        <f t="shared" si="19"/>
        <v>110673</v>
      </c>
      <c r="M189" s="364">
        <f t="shared" si="20"/>
        <v>0</v>
      </c>
    </row>
    <row r="190" spans="9:13" hidden="1" outlineLevel="1" x14ac:dyDescent="0.2">
      <c r="I190" s="363">
        <v>40848</v>
      </c>
      <c r="J190" s="364">
        <f t="shared" si="19"/>
        <v>0</v>
      </c>
      <c r="M190" s="364">
        <f t="shared" si="20"/>
        <v>205593</v>
      </c>
    </row>
    <row r="191" spans="9:13" hidden="1" outlineLevel="1" x14ac:dyDescent="0.2">
      <c r="I191" s="363">
        <v>40878</v>
      </c>
      <c r="J191" s="364">
        <f t="shared" si="19"/>
        <v>148954</v>
      </c>
      <c r="M191" s="364">
        <f t="shared" si="20"/>
        <v>0</v>
      </c>
    </row>
    <row r="192" spans="9:13" hidden="1" outlineLevel="1" x14ac:dyDescent="0.2">
      <c r="I192" s="363">
        <v>40909</v>
      </c>
      <c r="J192" s="364">
        <f t="shared" si="19"/>
        <v>0</v>
      </c>
      <c r="M192" s="364">
        <f t="shared" si="20"/>
        <v>0</v>
      </c>
    </row>
    <row r="193" spans="9:13" hidden="1" outlineLevel="1" x14ac:dyDescent="0.2">
      <c r="I193" s="363">
        <v>40940</v>
      </c>
      <c r="J193" s="364">
        <f t="shared" si="19"/>
        <v>731010</v>
      </c>
      <c r="M193" s="364">
        <f t="shared" si="20"/>
        <v>0</v>
      </c>
    </row>
    <row r="194" spans="9:13" hidden="1" outlineLevel="1" x14ac:dyDescent="0.2">
      <c r="I194" s="363">
        <v>40969</v>
      </c>
      <c r="J194" s="364">
        <f t="shared" si="19"/>
        <v>0</v>
      </c>
      <c r="M194" s="364">
        <f t="shared" si="20"/>
        <v>148954</v>
      </c>
    </row>
    <row r="195" spans="9:13" hidden="1" outlineLevel="1" x14ac:dyDescent="0.2">
      <c r="I195" s="363">
        <v>41000</v>
      </c>
      <c r="J195" s="364">
        <f t="shared" si="19"/>
        <v>0</v>
      </c>
      <c r="M195" s="364">
        <f t="shared" si="20"/>
        <v>0</v>
      </c>
    </row>
    <row r="196" spans="9:13" hidden="1" outlineLevel="1" x14ac:dyDescent="0.2">
      <c r="I196" s="363">
        <v>41030</v>
      </c>
      <c r="J196" s="364">
        <f t="shared" si="19"/>
        <v>0</v>
      </c>
      <c r="M196" s="364">
        <f t="shared" si="20"/>
        <v>0</v>
      </c>
    </row>
    <row r="197" spans="9:13" hidden="1" outlineLevel="1" x14ac:dyDescent="0.2">
      <c r="I197" s="363">
        <v>41061</v>
      </c>
      <c r="J197" s="364">
        <f t="shared" si="19"/>
        <v>45966.39</v>
      </c>
      <c r="M197" s="364">
        <f t="shared" si="20"/>
        <v>632190</v>
      </c>
    </row>
    <row r="198" spans="9:13" hidden="1" outlineLevel="1" x14ac:dyDescent="0.2">
      <c r="I198" s="363">
        <v>41091</v>
      </c>
      <c r="J198" s="364">
        <f t="shared" si="19"/>
        <v>0</v>
      </c>
      <c r="M198" s="364">
        <f t="shared" si="20"/>
        <v>0</v>
      </c>
    </row>
    <row r="199" spans="9:13" hidden="1" outlineLevel="1" x14ac:dyDescent="0.2">
      <c r="I199" s="363">
        <v>41122</v>
      </c>
      <c r="J199" s="364">
        <f t="shared" si="19"/>
        <v>289504.73</v>
      </c>
      <c r="M199" s="364">
        <f t="shared" si="20"/>
        <v>0</v>
      </c>
    </row>
    <row r="200" spans="9:13" hidden="1" outlineLevel="1" x14ac:dyDescent="0.2">
      <c r="I200" s="363">
        <v>41153</v>
      </c>
      <c r="J200" s="364">
        <f t="shared" si="19"/>
        <v>0</v>
      </c>
      <c r="M200" s="364">
        <f t="shared" si="20"/>
        <v>45966.39</v>
      </c>
    </row>
    <row r="201" spans="9:13" hidden="1" outlineLevel="1" x14ac:dyDescent="0.2">
      <c r="I201" s="363">
        <v>41183</v>
      </c>
      <c r="J201" s="364">
        <f t="shared" si="19"/>
        <v>193838.18</v>
      </c>
      <c r="M201" s="364">
        <f t="shared" si="20"/>
        <v>218455.73</v>
      </c>
    </row>
    <row r="202" spans="9:13" hidden="1" outlineLevel="1" x14ac:dyDescent="0.2">
      <c r="I202" s="363">
        <v>41214</v>
      </c>
      <c r="J202" s="364">
        <f t="shared" si="19"/>
        <v>0</v>
      </c>
      <c r="M202" s="364">
        <f t="shared" si="20"/>
        <v>70348.05</v>
      </c>
    </row>
    <row r="203" spans="9:13" hidden="1" outlineLevel="1" x14ac:dyDescent="0.2">
      <c r="I203" s="363">
        <v>41244</v>
      </c>
      <c r="J203" s="364">
        <f t="shared" si="19"/>
        <v>0</v>
      </c>
      <c r="M203" s="364">
        <f t="shared" si="20"/>
        <v>169869</v>
      </c>
    </row>
    <row r="204" spans="9:13" hidden="1" outlineLevel="1" x14ac:dyDescent="0.2">
      <c r="I204" s="363">
        <v>41275</v>
      </c>
      <c r="J204" s="364">
        <f t="shared" si="19"/>
        <v>0</v>
      </c>
      <c r="M204" s="364">
        <f t="shared" si="20"/>
        <v>0</v>
      </c>
    </row>
    <row r="205" spans="9:13" hidden="1" outlineLevel="1" x14ac:dyDescent="0.2">
      <c r="I205" s="363">
        <v>41306</v>
      </c>
      <c r="J205" s="364">
        <f t="shared" si="19"/>
        <v>0</v>
      </c>
      <c r="M205" s="364">
        <f t="shared" si="20"/>
        <v>0</v>
      </c>
    </row>
    <row r="206" spans="9:13" hidden="1" outlineLevel="1" x14ac:dyDescent="0.2">
      <c r="I206" s="363">
        <v>41334</v>
      </c>
      <c r="J206" s="364">
        <f t="shared" ref="J206:J237" si="21">SUMPRODUCT((DateAF&lt;&gt;"")*(MONTH(DateAF)=MONTH(I206))*(YEAR(DateAF)=YEAR(I206))*MontantAF)</f>
        <v>187064.11000000002</v>
      </c>
      <c r="M206" s="364">
        <f t="shared" ref="M206:M237" si="22">SUMPRODUCT((DatePmt&lt;&gt;"")*(DatePmt&lt;&gt;"en attente")*(MONTH(DatePmt)=MONTH(I206))*(YEAR(DatePmt)=YEAR(I206))*(ISNUMBER(MontantPaye)),MontantPaye)</f>
        <v>0</v>
      </c>
    </row>
    <row r="207" spans="9:13" hidden="1" outlineLevel="1" x14ac:dyDescent="0.2">
      <c r="I207" s="363">
        <v>41365</v>
      </c>
      <c r="J207" s="364">
        <f t="shared" si="21"/>
        <v>40785.4</v>
      </c>
      <c r="M207" s="364">
        <f t="shared" si="22"/>
        <v>73440</v>
      </c>
    </row>
    <row r="208" spans="9:13" hidden="1" outlineLevel="1" x14ac:dyDescent="0.2">
      <c r="I208" s="363">
        <v>41395</v>
      </c>
      <c r="J208" s="364">
        <f t="shared" si="21"/>
        <v>41989.59</v>
      </c>
      <c r="M208" s="364">
        <f t="shared" si="22"/>
        <v>0</v>
      </c>
    </row>
    <row r="209" spans="9:13" hidden="1" outlineLevel="1" x14ac:dyDescent="0.2">
      <c r="I209" s="363">
        <v>41426</v>
      </c>
      <c r="J209" s="364">
        <f t="shared" si="21"/>
        <v>0</v>
      </c>
      <c r="M209" s="364">
        <f t="shared" si="22"/>
        <v>141937.73000000001</v>
      </c>
    </row>
    <row r="210" spans="9:13" hidden="1" outlineLevel="1" x14ac:dyDescent="0.2">
      <c r="I210" s="363">
        <v>41456</v>
      </c>
      <c r="J210" s="364">
        <f t="shared" si="21"/>
        <v>258660</v>
      </c>
      <c r="M210" s="364">
        <f t="shared" si="22"/>
        <v>0</v>
      </c>
    </row>
    <row r="211" spans="9:13" hidden="1" outlineLevel="1" x14ac:dyDescent="0.2">
      <c r="I211" s="363">
        <v>41487</v>
      </c>
      <c r="J211" s="364">
        <f t="shared" si="21"/>
        <v>0</v>
      </c>
      <c r="M211" s="364">
        <f t="shared" si="22"/>
        <v>45126.38</v>
      </c>
    </row>
    <row r="212" spans="9:13" hidden="1" outlineLevel="1" x14ac:dyDescent="0.2">
      <c r="I212" s="363">
        <v>41518</v>
      </c>
      <c r="J212" s="364">
        <f t="shared" si="21"/>
        <v>0</v>
      </c>
      <c r="M212" s="364">
        <f t="shared" si="22"/>
        <v>0</v>
      </c>
    </row>
    <row r="213" spans="9:13" hidden="1" outlineLevel="1" x14ac:dyDescent="0.2">
      <c r="I213" s="363">
        <v>41548</v>
      </c>
      <c r="J213" s="364">
        <f t="shared" si="21"/>
        <v>427679.27</v>
      </c>
      <c r="M213" s="364">
        <f t="shared" si="22"/>
        <v>341434.99</v>
      </c>
    </row>
    <row r="214" spans="9:13" hidden="1" outlineLevel="1" x14ac:dyDescent="0.2">
      <c r="I214" s="363">
        <v>41579</v>
      </c>
      <c r="J214" s="364">
        <f t="shared" si="21"/>
        <v>1910679.91</v>
      </c>
      <c r="M214" s="364">
        <f t="shared" si="22"/>
        <v>0</v>
      </c>
    </row>
    <row r="215" spans="9:13" hidden="1" outlineLevel="1" x14ac:dyDescent="0.2">
      <c r="I215" s="363">
        <v>41609</v>
      </c>
      <c r="J215" s="364">
        <f t="shared" si="21"/>
        <v>0</v>
      </c>
      <c r="M215" s="364">
        <f t="shared" si="22"/>
        <v>53515.77</v>
      </c>
    </row>
    <row r="216" spans="9:13" hidden="1" outlineLevel="1" x14ac:dyDescent="0.2">
      <c r="I216" s="363">
        <v>41640</v>
      </c>
      <c r="J216" s="364">
        <f t="shared" si="21"/>
        <v>51300</v>
      </c>
      <c r="M216" s="364">
        <f t="shared" si="22"/>
        <v>100365.94</v>
      </c>
    </row>
    <row r="217" spans="9:13" hidden="1" outlineLevel="1" x14ac:dyDescent="0.2">
      <c r="I217" s="363">
        <v>41671</v>
      </c>
      <c r="J217" s="364">
        <f t="shared" si="21"/>
        <v>415351.74</v>
      </c>
      <c r="M217" s="364">
        <f t="shared" si="22"/>
        <v>273797.56</v>
      </c>
    </row>
    <row r="218" spans="9:13" hidden="1" outlineLevel="1" x14ac:dyDescent="0.2">
      <c r="I218" s="363">
        <v>41699</v>
      </c>
      <c r="J218" s="364">
        <f t="shared" si="21"/>
        <v>1013388.83</v>
      </c>
      <c r="M218" s="364">
        <f t="shared" si="22"/>
        <v>0</v>
      </c>
    </row>
    <row r="219" spans="9:13" hidden="1" outlineLevel="1" x14ac:dyDescent="0.2">
      <c r="I219" s="363">
        <v>41730</v>
      </c>
      <c r="J219" s="364">
        <f t="shared" si="21"/>
        <v>433480.41</v>
      </c>
      <c r="M219" s="364">
        <f t="shared" si="22"/>
        <v>626409.25</v>
      </c>
    </row>
    <row r="220" spans="9:13" hidden="1" outlineLevel="1" x14ac:dyDescent="0.2">
      <c r="I220" s="363">
        <v>41760</v>
      </c>
      <c r="J220" s="364">
        <f t="shared" si="21"/>
        <v>0</v>
      </c>
      <c r="M220" s="364">
        <f t="shared" si="22"/>
        <v>853631.32</v>
      </c>
    </row>
    <row r="221" spans="9:13" hidden="1" outlineLevel="1" x14ac:dyDescent="0.2">
      <c r="I221" s="363">
        <v>41791</v>
      </c>
      <c r="J221" s="364">
        <f t="shared" si="21"/>
        <v>0</v>
      </c>
      <c r="M221" s="364">
        <f t="shared" si="22"/>
        <v>2234161.09</v>
      </c>
    </row>
    <row r="222" spans="9:13" hidden="1" outlineLevel="1" x14ac:dyDescent="0.2">
      <c r="I222" s="363">
        <v>41821</v>
      </c>
      <c r="J222" s="364">
        <f t="shared" si="21"/>
        <v>0</v>
      </c>
      <c r="M222" s="364">
        <f t="shared" si="22"/>
        <v>109999.23</v>
      </c>
    </row>
    <row r="223" spans="9:13" hidden="1" outlineLevel="1" x14ac:dyDescent="0.2">
      <c r="I223" s="363">
        <v>41852</v>
      </c>
      <c r="J223" s="364">
        <f t="shared" si="21"/>
        <v>212197.24</v>
      </c>
      <c r="M223" s="364">
        <f t="shared" si="22"/>
        <v>0</v>
      </c>
    </row>
    <row r="224" spans="9:13" hidden="1" outlineLevel="1" x14ac:dyDescent="0.2">
      <c r="I224" s="363">
        <v>41883</v>
      </c>
      <c r="J224" s="364">
        <f t="shared" si="21"/>
        <v>0</v>
      </c>
      <c r="M224" s="364">
        <f t="shared" si="22"/>
        <v>0</v>
      </c>
    </row>
    <row r="225" spans="9:13" hidden="1" outlineLevel="1" x14ac:dyDescent="0.2">
      <c r="I225" s="363">
        <v>41913</v>
      </c>
      <c r="J225" s="364">
        <f t="shared" si="21"/>
        <v>34483.07</v>
      </c>
      <c r="M225" s="364">
        <f t="shared" si="22"/>
        <v>212197.24</v>
      </c>
    </row>
    <row r="226" spans="9:13" hidden="1" outlineLevel="1" x14ac:dyDescent="0.2">
      <c r="I226" s="363">
        <v>41944</v>
      </c>
      <c r="J226" s="364">
        <f t="shared" si="21"/>
        <v>109721.09</v>
      </c>
      <c r="M226" s="364">
        <f t="shared" si="22"/>
        <v>0</v>
      </c>
    </row>
    <row r="227" spans="9:13" hidden="1" outlineLevel="1" x14ac:dyDescent="0.2">
      <c r="I227" s="363">
        <v>41974</v>
      </c>
      <c r="J227" s="364">
        <f t="shared" si="21"/>
        <v>0</v>
      </c>
      <c r="M227" s="364">
        <f t="shared" si="22"/>
        <v>50050.13</v>
      </c>
    </row>
    <row r="228" spans="9:13" hidden="1" outlineLevel="1" x14ac:dyDescent="0.2">
      <c r="I228" s="363">
        <v>42005</v>
      </c>
      <c r="J228" s="364">
        <f t="shared" si="21"/>
        <v>218936.63</v>
      </c>
      <c r="M228" s="364">
        <f t="shared" si="22"/>
        <v>34483.07</v>
      </c>
    </row>
    <row r="229" spans="9:13" hidden="1" outlineLevel="1" x14ac:dyDescent="0.2">
      <c r="I229" s="363">
        <v>42036</v>
      </c>
      <c r="J229" s="364">
        <f t="shared" si="21"/>
        <v>85278.36</v>
      </c>
      <c r="M229" s="364">
        <f t="shared" si="22"/>
        <v>0</v>
      </c>
    </row>
    <row r="230" spans="9:13" hidden="1" outlineLevel="1" x14ac:dyDescent="0.2">
      <c r="I230" s="363">
        <v>42064</v>
      </c>
      <c r="J230" s="364">
        <f t="shared" si="21"/>
        <v>0</v>
      </c>
      <c r="M230" s="364">
        <f t="shared" si="22"/>
        <v>218936.63</v>
      </c>
    </row>
    <row r="231" spans="9:13" hidden="1" outlineLevel="1" x14ac:dyDescent="0.2">
      <c r="I231" s="363">
        <v>42095</v>
      </c>
      <c r="J231" s="364">
        <f t="shared" si="21"/>
        <v>0</v>
      </c>
      <c r="M231" s="364">
        <f t="shared" si="22"/>
        <v>109721.09</v>
      </c>
    </row>
    <row r="232" spans="9:13" hidden="1" outlineLevel="1" x14ac:dyDescent="0.2">
      <c r="I232" s="363">
        <v>42125</v>
      </c>
      <c r="J232" s="364">
        <f t="shared" si="21"/>
        <v>0</v>
      </c>
      <c r="M232" s="364">
        <f t="shared" si="22"/>
        <v>0</v>
      </c>
    </row>
    <row r="233" spans="9:13" hidden="1" outlineLevel="1" x14ac:dyDescent="0.2">
      <c r="I233" s="363">
        <v>42156</v>
      </c>
      <c r="J233" s="364">
        <f t="shared" si="21"/>
        <v>0</v>
      </c>
      <c r="M233" s="364">
        <f t="shared" si="22"/>
        <v>0</v>
      </c>
    </row>
    <row r="234" spans="9:13" hidden="1" outlineLevel="1" x14ac:dyDescent="0.2">
      <c r="I234" s="363">
        <v>42186</v>
      </c>
      <c r="J234" s="364">
        <f t="shared" si="21"/>
        <v>132000</v>
      </c>
      <c r="M234" s="364">
        <f t="shared" si="22"/>
        <v>0</v>
      </c>
    </row>
    <row r="235" spans="9:13" hidden="1" outlineLevel="1" x14ac:dyDescent="0.2">
      <c r="I235" s="363">
        <v>42217</v>
      </c>
      <c r="J235" s="364">
        <f t="shared" si="21"/>
        <v>612508.69999999995</v>
      </c>
      <c r="M235" s="364">
        <f t="shared" si="22"/>
        <v>0</v>
      </c>
    </row>
    <row r="236" spans="9:13" hidden="1" outlineLevel="1" x14ac:dyDescent="0.2">
      <c r="I236" s="363">
        <v>42248</v>
      </c>
      <c r="J236" s="364">
        <f t="shared" si="21"/>
        <v>798731.84000000008</v>
      </c>
      <c r="M236" s="364">
        <f t="shared" si="22"/>
        <v>0</v>
      </c>
    </row>
    <row r="237" spans="9:13" hidden="1" outlineLevel="1" x14ac:dyDescent="0.2">
      <c r="I237" s="363">
        <v>42278</v>
      </c>
      <c r="J237" s="364">
        <f t="shared" si="21"/>
        <v>8025.44</v>
      </c>
      <c r="M237" s="364">
        <f t="shared" si="22"/>
        <v>740603.36</v>
      </c>
    </row>
    <row r="238" spans="9:13" hidden="1" outlineLevel="1" x14ac:dyDescent="0.2">
      <c r="I238" s="363">
        <v>42309</v>
      </c>
      <c r="J238" s="364">
        <f t="shared" ref="J238:J269" si="23">SUMPRODUCT((DateAF&lt;&gt;"")*(MONTH(DateAF)=MONTH(I238))*(YEAR(DateAF)=YEAR(I238))*MontantAF)</f>
        <v>1276587.01</v>
      </c>
      <c r="M238" s="364">
        <f t="shared" ref="M238:M269" si="24">SUMPRODUCT((DatePmt&lt;&gt;"")*(DatePmt&lt;&gt;"en attente")*(MONTH(DatePmt)=MONTH(I238))*(YEAR(DatePmt)=YEAR(I238))*(ISNUMBER(MontantPaye)),MontantPaye)</f>
        <v>665437.87</v>
      </c>
    </row>
    <row r="239" spans="9:13" hidden="1" outlineLevel="1" x14ac:dyDescent="0.2">
      <c r="I239" s="363">
        <v>42339</v>
      </c>
      <c r="J239" s="364">
        <f t="shared" si="23"/>
        <v>132435.64000000001</v>
      </c>
      <c r="M239" s="364">
        <f t="shared" si="24"/>
        <v>0</v>
      </c>
    </row>
    <row r="240" spans="9:13" hidden="1" outlineLevel="1" x14ac:dyDescent="0.2">
      <c r="I240" s="363">
        <v>42370</v>
      </c>
      <c r="J240" s="364">
        <f t="shared" si="23"/>
        <v>747740.59</v>
      </c>
      <c r="M240" s="364">
        <f t="shared" si="24"/>
        <v>1125520</v>
      </c>
    </row>
    <row r="241" spans="9:13" hidden="1" outlineLevel="1" x14ac:dyDescent="0.2">
      <c r="I241" s="363">
        <v>42401</v>
      </c>
      <c r="J241" s="364">
        <f t="shared" si="23"/>
        <v>382280.8</v>
      </c>
      <c r="M241" s="364">
        <f t="shared" si="24"/>
        <v>151067.01</v>
      </c>
    </row>
    <row r="242" spans="9:13" hidden="1" outlineLevel="1" x14ac:dyDescent="0.2">
      <c r="I242" s="363">
        <v>42430</v>
      </c>
      <c r="J242" s="364">
        <f t="shared" si="23"/>
        <v>0</v>
      </c>
      <c r="M242" s="364">
        <f t="shared" si="24"/>
        <v>1223278.3599999999</v>
      </c>
    </row>
    <row r="243" spans="9:13" hidden="1" outlineLevel="1" x14ac:dyDescent="0.2">
      <c r="I243" s="363">
        <v>42461</v>
      </c>
      <c r="J243" s="364">
        <f t="shared" si="23"/>
        <v>12206.74</v>
      </c>
      <c r="M243" s="364">
        <f t="shared" si="24"/>
        <v>266776.44</v>
      </c>
    </row>
    <row r="244" spans="9:13" hidden="1" outlineLevel="1" x14ac:dyDescent="0.2">
      <c r="I244" s="363">
        <v>42491</v>
      </c>
      <c r="J244" s="364">
        <f t="shared" si="23"/>
        <v>67421.97</v>
      </c>
      <c r="M244" s="364">
        <f t="shared" si="24"/>
        <v>0</v>
      </c>
    </row>
    <row r="245" spans="9:13" hidden="1" outlineLevel="1" x14ac:dyDescent="0.2">
      <c r="I245" s="363">
        <v>42522</v>
      </c>
      <c r="J245" s="364">
        <f t="shared" si="23"/>
        <v>819294.5</v>
      </c>
      <c r="M245" s="364">
        <f t="shared" si="24"/>
        <v>0</v>
      </c>
    </row>
    <row r="246" spans="9:13" hidden="1" outlineLevel="1" x14ac:dyDescent="0.2">
      <c r="I246" s="363">
        <v>42552</v>
      </c>
      <c r="J246" s="364">
        <f t="shared" si="23"/>
        <v>0</v>
      </c>
      <c r="M246" s="364">
        <f t="shared" si="24"/>
        <v>897923.21000000008</v>
      </c>
    </row>
    <row r="247" spans="9:13" hidden="1" outlineLevel="1" x14ac:dyDescent="0.2">
      <c r="I247" s="363">
        <v>42583</v>
      </c>
      <c r="J247" s="364">
        <f t="shared" si="23"/>
        <v>118555.58</v>
      </c>
      <c r="M247" s="364">
        <f t="shared" si="24"/>
        <v>0</v>
      </c>
    </row>
    <row r="248" spans="9:13" hidden="1" outlineLevel="1" x14ac:dyDescent="0.2">
      <c r="I248" s="363">
        <v>42614</v>
      </c>
      <c r="J248" s="364">
        <f t="shared" si="23"/>
        <v>114954.43</v>
      </c>
      <c r="M248" s="364">
        <f t="shared" si="24"/>
        <v>0</v>
      </c>
    </row>
    <row r="249" spans="9:13" hidden="1" outlineLevel="1" x14ac:dyDescent="0.2">
      <c r="I249" s="363">
        <v>42644</v>
      </c>
      <c r="J249" s="364">
        <f t="shared" si="23"/>
        <v>0</v>
      </c>
      <c r="M249" s="364">
        <f t="shared" si="24"/>
        <v>233510.01</v>
      </c>
    </row>
    <row r="250" spans="9:13" hidden="1" outlineLevel="1" x14ac:dyDescent="0.2">
      <c r="I250" s="363">
        <v>42675</v>
      </c>
      <c r="J250" s="364">
        <f t="shared" si="23"/>
        <v>793853.57199999993</v>
      </c>
      <c r="M250" s="364">
        <f t="shared" si="24"/>
        <v>0</v>
      </c>
    </row>
    <row r="251" spans="9:13" hidden="1" outlineLevel="1" x14ac:dyDescent="0.2">
      <c r="I251" s="363">
        <v>42705</v>
      </c>
      <c r="J251" s="364">
        <f t="shared" si="23"/>
        <v>71864.31</v>
      </c>
      <c r="M251" s="364">
        <f t="shared" si="24"/>
        <v>0</v>
      </c>
    </row>
    <row r="252" spans="9:13" hidden="1" outlineLevel="1" x14ac:dyDescent="0.2">
      <c r="I252" s="363">
        <v>42736</v>
      </c>
      <c r="J252" s="364">
        <f t="shared" si="23"/>
        <v>253424.69</v>
      </c>
      <c r="M252" s="364">
        <f t="shared" si="24"/>
        <v>793853.57000000007</v>
      </c>
    </row>
    <row r="253" spans="9:13" hidden="1" outlineLevel="1" x14ac:dyDescent="0.2">
      <c r="I253" s="363">
        <v>42767</v>
      </c>
      <c r="J253" s="364">
        <f t="shared" si="23"/>
        <v>129139.31</v>
      </c>
      <c r="M253" s="364">
        <f t="shared" si="24"/>
        <v>159864.31</v>
      </c>
    </row>
    <row r="254" spans="9:13" hidden="1" outlineLevel="1" x14ac:dyDescent="0.2">
      <c r="I254" s="363">
        <v>42795</v>
      </c>
      <c r="J254" s="364">
        <f t="shared" si="23"/>
        <v>32119.929999999993</v>
      </c>
      <c r="M254" s="364">
        <f t="shared" si="24"/>
        <v>165424.69</v>
      </c>
    </row>
    <row r="255" spans="9:13" hidden="1" outlineLevel="1" x14ac:dyDescent="0.2">
      <c r="I255" s="363">
        <v>42826</v>
      </c>
      <c r="J255" s="364">
        <f t="shared" si="23"/>
        <v>0</v>
      </c>
      <c r="M255" s="364">
        <f t="shared" si="24"/>
        <v>161259.14000000001</v>
      </c>
    </row>
    <row r="256" spans="9:13" hidden="1" outlineLevel="1" x14ac:dyDescent="0.2">
      <c r="I256" s="363">
        <v>42856</v>
      </c>
      <c r="J256" s="364">
        <f t="shared" si="23"/>
        <v>0</v>
      </c>
      <c r="M256" s="364">
        <f t="shared" si="24"/>
        <v>0</v>
      </c>
    </row>
    <row r="257" spans="9:13" hidden="1" outlineLevel="1" x14ac:dyDescent="0.2">
      <c r="I257" s="363">
        <v>42887</v>
      </c>
      <c r="J257" s="364">
        <f t="shared" si="23"/>
        <v>259092.98</v>
      </c>
      <c r="M257" s="364">
        <f t="shared" si="24"/>
        <v>0</v>
      </c>
    </row>
    <row r="258" spans="9:13" hidden="1" outlineLevel="1" x14ac:dyDescent="0.2">
      <c r="I258" s="363">
        <v>42917</v>
      </c>
      <c r="J258" s="364">
        <f t="shared" si="23"/>
        <v>295815.45</v>
      </c>
      <c r="M258" s="364">
        <f t="shared" si="24"/>
        <v>125208.48</v>
      </c>
    </row>
    <row r="259" spans="9:13" hidden="1" outlineLevel="1" x14ac:dyDescent="0.2">
      <c r="I259" s="363">
        <v>42948</v>
      </c>
      <c r="J259" s="364">
        <f t="shared" si="23"/>
        <v>344644.14</v>
      </c>
      <c r="M259" s="364">
        <f t="shared" si="24"/>
        <v>0</v>
      </c>
    </row>
    <row r="260" spans="9:13" hidden="1" outlineLevel="1" x14ac:dyDescent="0.2">
      <c r="I260" s="363">
        <v>42979</v>
      </c>
      <c r="J260" s="364">
        <f t="shared" si="23"/>
        <v>76673.78</v>
      </c>
      <c r="M260" s="364">
        <f t="shared" si="24"/>
        <v>415205.44</v>
      </c>
    </row>
    <row r="261" spans="9:13" hidden="1" outlineLevel="1" x14ac:dyDescent="0.2">
      <c r="I261" s="363">
        <v>43009</v>
      </c>
      <c r="J261" s="364">
        <f t="shared" si="23"/>
        <v>0</v>
      </c>
      <c r="M261" s="364">
        <f t="shared" si="24"/>
        <v>225254.15000000002</v>
      </c>
    </row>
    <row r="262" spans="9:13" hidden="1" outlineLevel="1" x14ac:dyDescent="0.2">
      <c r="I262" s="363">
        <v>43040</v>
      </c>
      <c r="J262" s="364">
        <f t="shared" si="23"/>
        <v>81445.3</v>
      </c>
      <c r="M262" s="364">
        <f t="shared" si="24"/>
        <v>0</v>
      </c>
    </row>
    <row r="263" spans="9:13" hidden="1" outlineLevel="1" x14ac:dyDescent="0.2">
      <c r="I263" s="363">
        <v>43070</v>
      </c>
      <c r="J263" s="364">
        <f t="shared" si="23"/>
        <v>158435.5</v>
      </c>
      <c r="M263" s="364">
        <f t="shared" si="24"/>
        <v>169884.5</v>
      </c>
    </row>
    <row r="264" spans="9:13" hidden="1" outlineLevel="1" x14ac:dyDescent="0.2">
      <c r="I264" s="363">
        <v>43101</v>
      </c>
      <c r="J264" s="364">
        <f t="shared" si="23"/>
        <v>0</v>
      </c>
      <c r="M264" s="364">
        <f t="shared" si="24"/>
        <v>81445.3</v>
      </c>
    </row>
    <row r="265" spans="9:13" hidden="1" outlineLevel="1" x14ac:dyDescent="0.2">
      <c r="I265" s="363">
        <v>43132</v>
      </c>
      <c r="J265" s="364">
        <f t="shared" si="23"/>
        <v>0</v>
      </c>
      <c r="M265" s="364">
        <f t="shared" si="24"/>
        <v>0</v>
      </c>
    </row>
    <row r="266" spans="9:13" hidden="1" outlineLevel="1" x14ac:dyDescent="0.2">
      <c r="I266" s="363">
        <v>43160</v>
      </c>
      <c r="J266" s="364">
        <f t="shared" si="23"/>
        <v>136265.43999999994</v>
      </c>
      <c r="M266" s="364">
        <f t="shared" si="24"/>
        <v>0</v>
      </c>
    </row>
    <row r="267" spans="9:13" hidden="1" outlineLevel="1" x14ac:dyDescent="0.2">
      <c r="I267" s="363">
        <v>43191</v>
      </c>
      <c r="J267" s="364">
        <f t="shared" si="23"/>
        <v>0</v>
      </c>
      <c r="M267" s="364">
        <f t="shared" si="24"/>
        <v>158435.5</v>
      </c>
    </row>
    <row r="268" spans="9:13" hidden="1" outlineLevel="1" x14ac:dyDescent="0.2">
      <c r="I268" s="363">
        <v>43221</v>
      </c>
      <c r="J268" s="364">
        <f t="shared" si="23"/>
        <v>456640.33799999999</v>
      </c>
      <c r="M268" s="364">
        <f t="shared" si="24"/>
        <v>0</v>
      </c>
    </row>
    <row r="269" spans="9:13" hidden="1" outlineLevel="1" x14ac:dyDescent="0.2">
      <c r="I269" s="363">
        <v>43252</v>
      </c>
      <c r="J269" s="364">
        <f t="shared" si="23"/>
        <v>270744.06</v>
      </c>
      <c r="M269" s="364">
        <f t="shared" si="24"/>
        <v>0</v>
      </c>
    </row>
    <row r="270" spans="9:13" hidden="1" outlineLevel="1" x14ac:dyDescent="0.2">
      <c r="I270" s="363">
        <v>43282</v>
      </c>
      <c r="J270" s="364">
        <f t="shared" ref="J270:J287" si="25">SUMPRODUCT((DateAF&lt;&gt;"")*(MONTH(DateAF)=MONTH(I270))*(YEAR(DateAF)=YEAR(I270))*MontantAF)</f>
        <v>0</v>
      </c>
      <c r="M270" s="364">
        <f t="shared" ref="M270:M287" si="26">SUMPRODUCT((DatePmt&lt;&gt;"")*(DatePmt&lt;&gt;"en attente")*(MONTH(DatePmt)=MONTH(I270))*(YEAR(DatePmt)=YEAR(I270))*(ISNUMBER(MontantPaye)),MontantPaye)</f>
        <v>517615.65</v>
      </c>
    </row>
    <row r="271" spans="9:13" hidden="1" outlineLevel="1" x14ac:dyDescent="0.2">
      <c r="I271" s="363">
        <v>43313</v>
      </c>
      <c r="J271" s="364">
        <f t="shared" si="25"/>
        <v>56578.880000000005</v>
      </c>
      <c r="M271" s="364">
        <f t="shared" si="26"/>
        <v>0</v>
      </c>
    </row>
    <row r="272" spans="9:13" hidden="1" outlineLevel="1" x14ac:dyDescent="0.2">
      <c r="I272" s="363">
        <v>43344</v>
      </c>
      <c r="J272" s="364">
        <f t="shared" si="25"/>
        <v>0</v>
      </c>
      <c r="M272" s="364">
        <f t="shared" si="26"/>
        <v>196020</v>
      </c>
    </row>
    <row r="273" spans="9:13" hidden="1" outlineLevel="1" x14ac:dyDescent="0.2">
      <c r="I273" s="363">
        <v>43374</v>
      </c>
      <c r="J273" s="364">
        <f t="shared" si="25"/>
        <v>146932.96</v>
      </c>
      <c r="M273" s="364">
        <f t="shared" si="26"/>
        <v>56578.879999999997</v>
      </c>
    </row>
    <row r="274" spans="9:13" hidden="1" outlineLevel="1" x14ac:dyDescent="0.2">
      <c r="I274" s="363">
        <v>43405</v>
      </c>
      <c r="J274" s="364">
        <f t="shared" si="25"/>
        <v>0</v>
      </c>
      <c r="M274" s="364">
        <f t="shared" si="26"/>
        <v>407553.3</v>
      </c>
    </row>
    <row r="275" spans="9:13" hidden="1" outlineLevel="1" x14ac:dyDescent="0.2">
      <c r="I275" s="363">
        <v>43435</v>
      </c>
      <c r="J275" s="364">
        <f t="shared" si="25"/>
        <v>258720.1</v>
      </c>
      <c r="M275" s="364">
        <f t="shared" si="26"/>
        <v>136673.78</v>
      </c>
    </row>
    <row r="276" spans="9:13" collapsed="1" x14ac:dyDescent="0.2">
      <c r="I276" s="363">
        <v>43466</v>
      </c>
      <c r="J276" s="364">
        <f t="shared" si="25"/>
        <v>0</v>
      </c>
      <c r="M276" s="364">
        <f t="shared" si="26"/>
        <v>0</v>
      </c>
    </row>
    <row r="277" spans="9:13" x14ac:dyDescent="0.2">
      <c r="I277" s="363">
        <v>43497</v>
      </c>
      <c r="J277" s="364">
        <f t="shared" si="25"/>
        <v>0</v>
      </c>
      <c r="M277" s="364">
        <f t="shared" si="26"/>
        <v>0</v>
      </c>
    </row>
    <row r="278" spans="9:13" x14ac:dyDescent="0.2">
      <c r="I278" s="363">
        <v>43525</v>
      </c>
      <c r="J278" s="364">
        <f t="shared" si="25"/>
        <v>0</v>
      </c>
      <c r="M278" s="364">
        <f t="shared" si="26"/>
        <v>0</v>
      </c>
    </row>
    <row r="279" spans="9:13" x14ac:dyDescent="0.2">
      <c r="I279" s="363">
        <v>43556</v>
      </c>
      <c r="J279" s="364">
        <f t="shared" si="25"/>
        <v>136252.47999999998</v>
      </c>
      <c r="M279" s="364">
        <f t="shared" si="26"/>
        <v>198720</v>
      </c>
    </row>
    <row r="280" spans="9:13" x14ac:dyDescent="0.2">
      <c r="I280" s="363">
        <v>43586</v>
      </c>
      <c r="J280" s="364">
        <f t="shared" si="25"/>
        <v>0</v>
      </c>
      <c r="M280" s="364">
        <f t="shared" si="26"/>
        <v>0</v>
      </c>
    </row>
    <row r="281" spans="9:13" x14ac:dyDescent="0.2">
      <c r="I281" s="363">
        <v>43617</v>
      </c>
      <c r="J281" s="364">
        <f t="shared" si="25"/>
        <v>0</v>
      </c>
      <c r="M281" s="364">
        <f t="shared" si="26"/>
        <v>0</v>
      </c>
    </row>
    <row r="282" spans="9:13" x14ac:dyDescent="0.2">
      <c r="I282" s="363">
        <v>43647</v>
      </c>
      <c r="J282" s="364">
        <f t="shared" si="25"/>
        <v>0</v>
      </c>
      <c r="M282" s="364">
        <f t="shared" si="26"/>
        <v>0</v>
      </c>
    </row>
    <row r="283" spans="9:13" x14ac:dyDescent="0.2">
      <c r="I283" s="363">
        <v>43678</v>
      </c>
      <c r="J283" s="364">
        <f t="shared" si="25"/>
        <v>224100</v>
      </c>
      <c r="M283" s="364">
        <f t="shared" si="26"/>
        <v>0</v>
      </c>
    </row>
    <row r="284" spans="9:13" x14ac:dyDescent="0.2">
      <c r="I284" s="363">
        <v>43709</v>
      </c>
      <c r="J284" s="364">
        <f t="shared" si="25"/>
        <v>0</v>
      </c>
      <c r="M284" s="364">
        <f t="shared" si="26"/>
        <v>0</v>
      </c>
    </row>
    <row r="285" spans="9:13" x14ac:dyDescent="0.2">
      <c r="I285" s="363">
        <v>43739</v>
      </c>
      <c r="J285" s="364">
        <f t="shared" si="25"/>
        <v>0</v>
      </c>
      <c r="M285" s="364">
        <f t="shared" si="26"/>
        <v>0</v>
      </c>
    </row>
    <row r="286" spans="9:13" x14ac:dyDescent="0.2">
      <c r="I286" s="363">
        <v>43770</v>
      </c>
      <c r="J286" s="364">
        <f t="shared" si="25"/>
        <v>0</v>
      </c>
      <c r="M286" s="364">
        <f t="shared" si="26"/>
        <v>0</v>
      </c>
    </row>
    <row r="287" spans="9:13" x14ac:dyDescent="0.2">
      <c r="I287" s="363">
        <v>43800</v>
      </c>
      <c r="J287" s="364">
        <f t="shared" si="25"/>
        <v>0</v>
      </c>
      <c r="M287" s="364">
        <f t="shared" si="26"/>
        <v>0</v>
      </c>
    </row>
    <row r="288" spans="9:13" x14ac:dyDescent="0.2">
      <c r="J288" s="368">
        <f>SUM(J174:J287)</f>
        <v>19011413.210000005</v>
      </c>
      <c r="K288" s="364"/>
      <c r="L288" s="364"/>
      <c r="M288" s="369">
        <f>SUM(M174:M287)</f>
        <v>18793761.34</v>
      </c>
    </row>
    <row r="289" spans="10:13" x14ac:dyDescent="0.2">
      <c r="J289" s="90">
        <f>J288-J154</f>
        <v>-246871.58999999613</v>
      </c>
      <c r="M289" s="90">
        <f>M288-M154</f>
        <v>0</v>
      </c>
    </row>
  </sheetData>
  <autoFilter ref="A5:S155"/>
  <mergeCells count="11">
    <mergeCell ref="P155:Q155"/>
    <mergeCell ref="A2:P2"/>
    <mergeCell ref="J4:O4"/>
    <mergeCell ref="P4:Q4"/>
    <mergeCell ref="K68:K69"/>
    <mergeCell ref="L68:L69"/>
    <mergeCell ref="M68:M69"/>
    <mergeCell ref="N68:N69"/>
    <mergeCell ref="P68:P69"/>
    <mergeCell ref="K97:K98"/>
    <mergeCell ref="L97:L98"/>
  </mergeCells>
  <pageMargins left="0.7" right="0.7" top="0.75" bottom="0.75" header="0.3" footer="0.3"/>
  <pageSetup paperSize="8" scale="2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  <outlinePr summaryBelow="0"/>
  </sheetPr>
  <dimension ref="A1:U561"/>
  <sheetViews>
    <sheetView tabSelected="1" zoomScaleNormal="100" zoomScaleSheetLayoutView="100" workbookViewId="0">
      <pane xSplit="2" ySplit="5" topLeftCell="G417" activePane="bottomRight" state="frozen"/>
      <selection pane="topRight" activeCell="C1" sqref="C1"/>
      <selection pane="bottomLeft" activeCell="A6" sqref="A6"/>
      <selection pane="bottomRight" activeCell="I398" sqref="I398"/>
    </sheetView>
  </sheetViews>
  <sheetFormatPr baseColWidth="10" defaultColWidth="11.42578125" defaultRowHeight="12" outlineLevelRow="1" outlineLevelCol="1" x14ac:dyDescent="0.2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0" customWidth="1"/>
    <col min="7" max="7" width="16.140625" style="1" customWidth="1"/>
    <col min="8" max="8" width="13" style="1" customWidth="1"/>
    <col min="9" max="10" width="17.5703125" style="1" customWidth="1"/>
    <col min="11" max="11" width="16" style="1" customWidth="1"/>
    <col min="12" max="12" width="4.140625" style="6" bestFit="1" customWidth="1"/>
    <col min="13" max="13" width="10.42578125" style="1" bestFit="1" customWidth="1"/>
    <col min="14" max="14" width="16" style="1" customWidth="1"/>
    <col min="15" max="15" width="20.7109375" style="82" customWidth="1"/>
    <col min="16" max="16" width="18.5703125" style="76" bestFit="1" customWidth="1"/>
    <col min="17" max="17" width="17.5703125" style="1" customWidth="1"/>
    <col min="18" max="19" width="18.7109375" style="1" customWidth="1"/>
    <col min="20" max="20" width="11.42578125" style="165"/>
    <col min="21" max="16384" width="11.42578125" style="1"/>
  </cols>
  <sheetData>
    <row r="1" spans="1:21" x14ac:dyDescent="0.2">
      <c r="K1" s="90" t="e">
        <f>K547</f>
        <v>#VALUE!</v>
      </c>
    </row>
    <row r="2" spans="1:21" x14ac:dyDescent="0.2">
      <c r="A2" s="1066" t="s">
        <v>86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1066"/>
      <c r="O2" s="1066"/>
      <c r="P2" s="1066"/>
      <c r="Q2" s="1066"/>
      <c r="R2" s="9">
        <f ca="1">TODAY()</f>
        <v>43696</v>
      </c>
      <c r="S2" s="9"/>
    </row>
    <row r="3" spans="1:21" x14ac:dyDescent="0.2">
      <c r="Q3" s="90"/>
    </row>
    <row r="4" spans="1:21" s="2" customFormat="1" ht="24" customHeight="1" x14ac:dyDescent="0.2">
      <c r="A4" s="1083" t="s">
        <v>2</v>
      </c>
      <c r="B4" s="1071" t="s">
        <v>0</v>
      </c>
      <c r="C4" s="1071" t="s">
        <v>19</v>
      </c>
      <c r="D4" s="1083" t="s">
        <v>110</v>
      </c>
      <c r="E4" s="376" t="s">
        <v>210</v>
      </c>
      <c r="F4" s="170" t="s">
        <v>87</v>
      </c>
      <c r="G4" s="1083" t="s">
        <v>92</v>
      </c>
      <c r="H4" s="113" t="s">
        <v>88</v>
      </c>
      <c r="I4" s="1071" t="s">
        <v>10</v>
      </c>
      <c r="J4" s="911" t="s">
        <v>386</v>
      </c>
      <c r="K4" s="1067" t="s">
        <v>4</v>
      </c>
      <c r="L4" s="1068"/>
      <c r="M4" s="1068"/>
      <c r="N4" s="1068"/>
      <c r="O4" s="1068"/>
      <c r="P4" s="1069"/>
      <c r="Q4" s="1070" t="s">
        <v>11</v>
      </c>
      <c r="R4" s="1071"/>
      <c r="S4" s="3" t="s">
        <v>84</v>
      </c>
      <c r="T4" s="166"/>
      <c r="U4" s="63"/>
    </row>
    <row r="5" spans="1:21" s="13" customFormat="1" x14ac:dyDescent="0.2">
      <c r="A5" s="1084"/>
      <c r="B5" s="1085"/>
      <c r="C5" s="1085"/>
      <c r="D5" s="1084"/>
      <c r="E5" s="377"/>
      <c r="F5" s="171"/>
      <c r="G5" s="1084"/>
      <c r="H5" s="114"/>
      <c r="I5" s="1085"/>
      <c r="J5" s="936"/>
      <c r="K5" s="10" t="s">
        <v>1</v>
      </c>
      <c r="L5" s="11" t="s">
        <v>3</v>
      </c>
      <c r="M5" s="11" t="s">
        <v>13</v>
      </c>
      <c r="N5" s="12" t="s">
        <v>12</v>
      </c>
      <c r="O5" s="83" t="s">
        <v>13</v>
      </c>
      <c r="P5" s="77" t="s">
        <v>16</v>
      </c>
      <c r="Q5" s="3" t="s">
        <v>18</v>
      </c>
      <c r="R5" s="3" t="s">
        <v>17</v>
      </c>
      <c r="S5" s="3"/>
      <c r="T5" s="167"/>
    </row>
    <row r="6" spans="1:21" s="8" customFormat="1" x14ac:dyDescent="0.2">
      <c r="A6" s="320" t="s">
        <v>32</v>
      </c>
      <c r="B6" s="393"/>
      <c r="C6" s="326">
        <v>40389</v>
      </c>
      <c r="D6" s="321">
        <f>DATE(YEAR(C6),MONTH(C6)+18,DAY(C6))</f>
        <v>40938</v>
      </c>
      <c r="E6" s="321"/>
      <c r="F6" s="419">
        <v>40499</v>
      </c>
      <c r="G6" s="321">
        <f>DATE(YEAR(C6)+4,MONTH(C6),DAY(C6))</f>
        <v>41850</v>
      </c>
      <c r="H6" s="321">
        <v>40910</v>
      </c>
      <c r="I6" s="322">
        <v>832014</v>
      </c>
      <c r="J6" s="322"/>
      <c r="K6" s="323"/>
      <c r="L6" s="395"/>
      <c r="M6" s="327"/>
      <c r="N6" s="325">
        <f>SUM(N7:N12)</f>
        <v>832014</v>
      </c>
      <c r="O6" s="326"/>
      <c r="P6" s="420"/>
      <c r="Q6" s="322">
        <f>SUM(Q7:Q12)</f>
        <v>0</v>
      </c>
      <c r="R6" s="322">
        <f>SUM(R7:R12)</f>
        <v>0</v>
      </c>
      <c r="S6" s="322"/>
      <c r="T6" s="162">
        <f>I6-(N6+Q6+R6)</f>
        <v>0</v>
      </c>
    </row>
    <row r="7" spans="1:21" s="26" customFormat="1" outlineLevel="1" x14ac:dyDescent="0.2">
      <c r="A7" s="329" t="s">
        <v>32</v>
      </c>
      <c r="B7" s="348"/>
      <c r="C7" s="342"/>
      <c r="D7" s="342"/>
      <c r="E7" s="342"/>
      <c r="F7" s="421"/>
      <c r="G7" s="342"/>
      <c r="H7" s="941"/>
      <c r="I7" s="408"/>
      <c r="J7" s="343">
        <f>K7/$I$6</f>
        <v>0.3</v>
      </c>
      <c r="K7" s="344">
        <v>249604.2</v>
      </c>
      <c r="L7" s="345">
        <v>1</v>
      </c>
      <c r="M7" s="347">
        <v>40519</v>
      </c>
      <c r="N7" s="344">
        <v>249604.2</v>
      </c>
      <c r="O7" s="347">
        <v>40632</v>
      </c>
      <c r="P7" s="405">
        <f t="shared" ref="P7:P12" si="0">IF(O7="",$R$2-M7,O7-M7)</f>
        <v>113</v>
      </c>
      <c r="Q7" s="349" t="str">
        <f t="shared" ref="Q7:Q12" si="1">IF(N7="en attente",K7,"")</f>
        <v/>
      </c>
      <c r="R7" s="349">
        <f t="shared" ref="R7:R12" si="2">IF(M7="",K7-N7,0)</f>
        <v>0</v>
      </c>
      <c r="S7" s="349"/>
      <c r="T7" s="162"/>
    </row>
    <row r="8" spans="1:21" s="26" customFormat="1" outlineLevel="1" x14ac:dyDescent="0.2">
      <c r="A8" s="329" t="s">
        <v>32</v>
      </c>
      <c r="B8" s="348"/>
      <c r="C8" s="342"/>
      <c r="D8" s="342"/>
      <c r="E8" s="342"/>
      <c r="F8" s="421"/>
      <c r="G8" s="342"/>
      <c r="H8" s="941"/>
      <c r="I8" s="408"/>
      <c r="J8" s="343">
        <f>K8/$I$6+J7</f>
        <v>0.41229999735581369</v>
      </c>
      <c r="K8" s="344">
        <v>93435.17</v>
      </c>
      <c r="L8" s="345">
        <v>2</v>
      </c>
      <c r="M8" s="342">
        <v>40711</v>
      </c>
      <c r="N8" s="344">
        <v>93435.17</v>
      </c>
      <c r="O8" s="347">
        <v>40779</v>
      </c>
      <c r="P8" s="405">
        <f t="shared" si="0"/>
        <v>68</v>
      </c>
      <c r="Q8" s="349" t="str">
        <f t="shared" si="1"/>
        <v/>
      </c>
      <c r="R8" s="349">
        <f t="shared" si="2"/>
        <v>0</v>
      </c>
      <c r="S8" s="349"/>
      <c r="T8" s="162"/>
    </row>
    <row r="9" spans="1:21" s="26" customFormat="1" outlineLevel="1" x14ac:dyDescent="0.2">
      <c r="A9" s="329" t="s">
        <v>32</v>
      </c>
      <c r="B9" s="348"/>
      <c r="C9" s="342"/>
      <c r="D9" s="342"/>
      <c r="E9" s="342"/>
      <c r="F9" s="421"/>
      <c r="G9" s="342"/>
      <c r="H9" s="941"/>
      <c r="I9" s="408"/>
      <c r="J9" s="343">
        <f>K9/$I$6+J8</f>
        <v>0.60449999639429142</v>
      </c>
      <c r="K9" s="344">
        <v>159913.09</v>
      </c>
      <c r="L9" s="345">
        <v>3</v>
      </c>
      <c r="M9" s="342">
        <v>40799</v>
      </c>
      <c r="N9" s="346">
        <v>159913.09</v>
      </c>
      <c r="O9" s="347">
        <v>40969</v>
      </c>
      <c r="P9" s="405">
        <f t="shared" si="0"/>
        <v>170</v>
      </c>
      <c r="Q9" s="349" t="str">
        <f t="shared" si="1"/>
        <v/>
      </c>
      <c r="R9" s="349">
        <f t="shared" si="2"/>
        <v>0</v>
      </c>
      <c r="S9" s="349"/>
      <c r="T9" s="162"/>
    </row>
    <row r="10" spans="1:21" s="26" customFormat="1" outlineLevel="1" x14ac:dyDescent="0.2">
      <c r="A10" s="329" t="s">
        <v>32</v>
      </c>
      <c r="B10" s="348"/>
      <c r="C10" s="342"/>
      <c r="D10" s="342"/>
      <c r="E10" s="342"/>
      <c r="F10" s="421"/>
      <c r="G10" s="342"/>
      <c r="H10" s="941"/>
      <c r="I10" s="408"/>
      <c r="J10" s="343">
        <f>K10/$I$6+J9</f>
        <v>0.66970000504799199</v>
      </c>
      <c r="K10" s="344">
        <v>54247.319999999992</v>
      </c>
      <c r="L10" s="345">
        <v>4</v>
      </c>
      <c r="M10" s="342">
        <v>40826</v>
      </c>
      <c r="N10" s="346">
        <v>54247.319999999992</v>
      </c>
      <c r="O10" s="347">
        <v>40969</v>
      </c>
      <c r="P10" s="405">
        <f t="shared" si="0"/>
        <v>143</v>
      </c>
      <c r="Q10" s="349" t="str">
        <f t="shared" si="1"/>
        <v/>
      </c>
      <c r="R10" s="349">
        <f t="shared" si="2"/>
        <v>0</v>
      </c>
      <c r="S10" s="349"/>
      <c r="T10" s="162"/>
    </row>
    <row r="11" spans="1:21" s="26" customFormat="1" outlineLevel="1" x14ac:dyDescent="0.2">
      <c r="A11" s="329" t="s">
        <v>32</v>
      </c>
      <c r="B11" s="348"/>
      <c r="C11" s="342"/>
      <c r="D11" s="342"/>
      <c r="E11" s="342"/>
      <c r="F11" s="421"/>
      <c r="G11" s="342"/>
      <c r="H11" s="941"/>
      <c r="I11" s="408"/>
      <c r="J11" s="343">
        <f>K11/$I$6+J10</f>
        <v>0.8</v>
      </c>
      <c r="K11" s="344">
        <v>108411.42</v>
      </c>
      <c r="L11" s="345">
        <v>5</v>
      </c>
      <c r="M11" s="342">
        <v>40947</v>
      </c>
      <c r="N11" s="346">
        <v>108411.42</v>
      </c>
      <c r="O11" s="347">
        <v>40994</v>
      </c>
      <c r="P11" s="405">
        <f t="shared" si="0"/>
        <v>47</v>
      </c>
      <c r="Q11" s="349" t="str">
        <f t="shared" si="1"/>
        <v/>
      </c>
      <c r="R11" s="349">
        <f t="shared" si="2"/>
        <v>0</v>
      </c>
      <c r="S11" s="349"/>
      <c r="T11" s="162"/>
    </row>
    <row r="12" spans="1:21" s="26" customFormat="1" outlineLevel="1" x14ac:dyDescent="0.2">
      <c r="A12" s="351" t="s">
        <v>32</v>
      </c>
      <c r="B12" s="358"/>
      <c r="C12" s="353"/>
      <c r="D12" s="353"/>
      <c r="E12" s="353"/>
      <c r="F12" s="422"/>
      <c r="G12" s="353"/>
      <c r="H12" s="942"/>
      <c r="I12" s="408"/>
      <c r="J12" s="423">
        <f>K12/$I$6+J11</f>
        <v>1</v>
      </c>
      <c r="K12" s="354">
        <v>166402.79999999999</v>
      </c>
      <c r="L12" s="355">
        <v>5</v>
      </c>
      <c r="M12" s="353">
        <v>42179</v>
      </c>
      <c r="N12" s="356">
        <v>166402.79999999999</v>
      </c>
      <c r="O12" s="357">
        <v>42254</v>
      </c>
      <c r="P12" s="424">
        <f t="shared" si="0"/>
        <v>75</v>
      </c>
      <c r="Q12" s="432" t="str">
        <f t="shared" si="1"/>
        <v/>
      </c>
      <c r="R12" s="359">
        <f t="shared" si="2"/>
        <v>0</v>
      </c>
      <c r="S12" s="359"/>
      <c r="T12" s="162"/>
    </row>
    <row r="13" spans="1:21" s="26" customFormat="1" x14ac:dyDescent="0.2">
      <c r="A13" s="397" t="s">
        <v>33</v>
      </c>
      <c r="B13" s="348"/>
      <c r="C13" s="342">
        <v>40361</v>
      </c>
      <c r="D13" s="342"/>
      <c r="E13" s="342"/>
      <c r="F13" s="421"/>
      <c r="G13" s="342"/>
      <c r="H13" s="941"/>
      <c r="I13" s="323">
        <v>1425198</v>
      </c>
      <c r="J13" s="404"/>
      <c r="K13" s="344"/>
      <c r="L13" s="345"/>
      <c r="M13" s="342"/>
      <c r="N13" s="402">
        <f>SUM(N14:N22)</f>
        <v>1425198</v>
      </c>
      <c r="O13" s="347"/>
      <c r="P13" s="405"/>
      <c r="Q13" s="349">
        <f>+IF(M13="",0,K13-N13)</f>
        <v>0</v>
      </c>
      <c r="R13" s="349">
        <f>SUM(R14:R22)</f>
        <v>0</v>
      </c>
      <c r="S13" s="349"/>
      <c r="T13" s="162"/>
    </row>
    <row r="14" spans="1:21" s="26" customFormat="1" outlineLevel="1" x14ac:dyDescent="0.2">
      <c r="A14" s="329" t="s">
        <v>33</v>
      </c>
      <c r="B14" s="417"/>
      <c r="C14" s="407"/>
      <c r="D14" s="407"/>
      <c r="E14" s="407"/>
      <c r="F14" s="418"/>
      <c r="G14" s="407"/>
      <c r="H14" s="943"/>
      <c r="I14" s="481"/>
      <c r="J14" s="433"/>
      <c r="K14" s="344">
        <v>427559.4</v>
      </c>
      <c r="L14" s="345">
        <v>1</v>
      </c>
      <c r="M14" s="342">
        <v>40484</v>
      </c>
      <c r="N14" s="346">
        <v>427559.4</v>
      </c>
      <c r="O14" s="347">
        <v>40613</v>
      </c>
      <c r="P14" s="405">
        <f t="shared" ref="P14:P22" si="3">IF(O14="",$R$2-M14,O14-M14)</f>
        <v>129</v>
      </c>
      <c r="Q14" s="349">
        <f t="shared" ref="Q14:Q22" si="4">+IF(M14="",0,K14-N14)</f>
        <v>0</v>
      </c>
      <c r="R14" s="349">
        <f t="shared" ref="R14:R22" si="5">IF(M14="",K14-N14,0)</f>
        <v>0</v>
      </c>
      <c r="S14" s="349"/>
      <c r="T14" s="162"/>
    </row>
    <row r="15" spans="1:21" outlineLevel="1" x14ac:dyDescent="0.2">
      <c r="A15" s="329" t="s">
        <v>33</v>
      </c>
      <c r="B15" s="330"/>
      <c r="C15" s="342"/>
      <c r="D15" s="342"/>
      <c r="E15" s="342"/>
      <c r="F15" s="421"/>
      <c r="G15" s="342"/>
      <c r="H15" s="941"/>
      <c r="I15" s="344"/>
      <c r="J15" s="350"/>
      <c r="K15" s="344">
        <v>94205.59</v>
      </c>
      <c r="L15" s="345">
        <v>2</v>
      </c>
      <c r="M15" s="342">
        <v>40763</v>
      </c>
      <c r="N15" s="346">
        <v>94205.59</v>
      </c>
      <c r="O15" s="347">
        <v>40828</v>
      </c>
      <c r="P15" s="405">
        <f t="shared" si="3"/>
        <v>65</v>
      </c>
      <c r="Q15" s="349">
        <f t="shared" si="4"/>
        <v>0</v>
      </c>
      <c r="R15" s="349">
        <f t="shared" si="5"/>
        <v>0</v>
      </c>
      <c r="S15" s="349"/>
      <c r="T15" s="162"/>
    </row>
    <row r="16" spans="1:21" outlineLevel="1" x14ac:dyDescent="0.2">
      <c r="A16" s="329" t="s">
        <v>33</v>
      </c>
      <c r="B16" s="348"/>
      <c r="C16" s="342"/>
      <c r="D16" s="342"/>
      <c r="E16" s="342"/>
      <c r="F16" s="421"/>
      <c r="G16" s="342"/>
      <c r="H16" s="941"/>
      <c r="I16" s="344"/>
      <c r="J16" s="350"/>
      <c r="K16" s="344">
        <v>65131.54</v>
      </c>
      <c r="L16" s="345">
        <v>3</v>
      </c>
      <c r="M16" s="342">
        <v>40800</v>
      </c>
      <c r="N16" s="346">
        <v>65131.54</v>
      </c>
      <c r="O16" s="347">
        <v>40868</v>
      </c>
      <c r="P16" s="405">
        <f t="shared" si="3"/>
        <v>68</v>
      </c>
      <c r="Q16" s="349">
        <f t="shared" si="4"/>
        <v>0</v>
      </c>
      <c r="R16" s="349">
        <f t="shared" si="5"/>
        <v>0</v>
      </c>
      <c r="S16" s="349"/>
      <c r="T16" s="162"/>
    </row>
    <row r="17" spans="1:20" outlineLevel="1" x14ac:dyDescent="0.2">
      <c r="A17" s="329" t="s">
        <v>33</v>
      </c>
      <c r="B17" s="348"/>
      <c r="C17" s="342"/>
      <c r="D17" s="342"/>
      <c r="E17" s="342"/>
      <c r="F17" s="421"/>
      <c r="G17" s="342"/>
      <c r="H17" s="941"/>
      <c r="I17" s="344"/>
      <c r="J17" s="350"/>
      <c r="K17" s="344">
        <v>151213.51</v>
      </c>
      <c r="L17" s="345">
        <v>4</v>
      </c>
      <c r="M17" s="342">
        <v>40826</v>
      </c>
      <c r="N17" s="346">
        <v>151213.51</v>
      </c>
      <c r="O17" s="347">
        <v>40871</v>
      </c>
      <c r="P17" s="405">
        <f t="shared" si="3"/>
        <v>45</v>
      </c>
      <c r="Q17" s="349">
        <f t="shared" si="4"/>
        <v>0</v>
      </c>
      <c r="R17" s="349">
        <f t="shared" si="5"/>
        <v>0</v>
      </c>
      <c r="S17" s="349"/>
      <c r="T17" s="162"/>
    </row>
    <row r="18" spans="1:20" outlineLevel="1" x14ac:dyDescent="0.2">
      <c r="A18" s="329" t="s">
        <v>33</v>
      </c>
      <c r="B18" s="348"/>
      <c r="C18" s="342"/>
      <c r="D18" s="342"/>
      <c r="E18" s="342"/>
      <c r="F18" s="421"/>
      <c r="G18" s="342"/>
      <c r="H18" s="941"/>
      <c r="I18" s="344"/>
      <c r="J18" s="350"/>
      <c r="K18" s="344">
        <v>97483.55</v>
      </c>
      <c r="L18" s="345">
        <v>5</v>
      </c>
      <c r="M18" s="342">
        <v>40883</v>
      </c>
      <c r="N18" s="346">
        <v>97483.55</v>
      </c>
      <c r="O18" s="347">
        <v>40995</v>
      </c>
      <c r="P18" s="405">
        <f t="shared" si="3"/>
        <v>112</v>
      </c>
      <c r="Q18" s="349">
        <f t="shared" si="4"/>
        <v>0</v>
      </c>
      <c r="R18" s="349">
        <f t="shared" si="5"/>
        <v>0</v>
      </c>
      <c r="S18" s="349"/>
      <c r="T18" s="162"/>
    </row>
    <row r="19" spans="1:20" outlineLevel="1" x14ac:dyDescent="0.2">
      <c r="A19" s="329" t="s">
        <v>33</v>
      </c>
      <c r="B19" s="348"/>
      <c r="C19" s="342"/>
      <c r="D19" s="342"/>
      <c r="E19" s="342"/>
      <c r="F19" s="421"/>
      <c r="G19" s="342"/>
      <c r="H19" s="941"/>
      <c r="I19" s="344"/>
      <c r="J19" s="350"/>
      <c r="K19" s="344">
        <v>99193.78</v>
      </c>
      <c r="L19" s="345">
        <v>6</v>
      </c>
      <c r="M19" s="342">
        <v>40945</v>
      </c>
      <c r="N19" s="346">
        <v>99193.78</v>
      </c>
      <c r="O19" s="347">
        <v>41023</v>
      </c>
      <c r="P19" s="405">
        <f t="shared" si="3"/>
        <v>78</v>
      </c>
      <c r="Q19" s="349">
        <f t="shared" si="4"/>
        <v>0</v>
      </c>
      <c r="R19" s="349">
        <f t="shared" si="5"/>
        <v>0</v>
      </c>
      <c r="S19" s="349"/>
      <c r="T19" s="162"/>
    </row>
    <row r="20" spans="1:20" outlineLevel="1" x14ac:dyDescent="0.2">
      <c r="A20" s="329" t="s">
        <v>33</v>
      </c>
      <c r="B20" s="348"/>
      <c r="C20" s="342"/>
      <c r="D20" s="342"/>
      <c r="E20" s="342"/>
      <c r="F20" s="421"/>
      <c r="G20" s="342"/>
      <c r="H20" s="941"/>
      <c r="I20" s="344"/>
      <c r="J20" s="350"/>
      <c r="K20" s="344">
        <v>129693.01999999999</v>
      </c>
      <c r="L20" s="345">
        <v>7</v>
      </c>
      <c r="M20" s="342">
        <v>41038</v>
      </c>
      <c r="N20" s="346">
        <v>129693.01999999999</v>
      </c>
      <c r="O20" s="347">
        <v>41093</v>
      </c>
      <c r="P20" s="405">
        <f t="shared" si="3"/>
        <v>55</v>
      </c>
      <c r="Q20" s="349">
        <f t="shared" si="4"/>
        <v>0</v>
      </c>
      <c r="R20" s="349">
        <f t="shared" si="5"/>
        <v>0</v>
      </c>
      <c r="S20" s="349"/>
      <c r="T20" s="162"/>
    </row>
    <row r="21" spans="1:20" outlineLevel="1" x14ac:dyDescent="0.2">
      <c r="A21" s="329" t="s">
        <v>33</v>
      </c>
      <c r="B21" s="348"/>
      <c r="C21" s="342"/>
      <c r="D21" s="342"/>
      <c r="E21" s="342"/>
      <c r="F21" s="421"/>
      <c r="G21" s="342"/>
      <c r="H21" s="941"/>
      <c r="I21" s="344"/>
      <c r="J21" s="350"/>
      <c r="K21" s="344">
        <v>75678.009999999995</v>
      </c>
      <c r="L21" s="345">
        <v>8</v>
      </c>
      <c r="M21" s="342">
        <v>41129</v>
      </c>
      <c r="N21" s="346">
        <v>75678.009999999995</v>
      </c>
      <c r="O21" s="347">
        <v>41185</v>
      </c>
      <c r="P21" s="405">
        <f t="shared" si="3"/>
        <v>56</v>
      </c>
      <c r="Q21" s="349">
        <f t="shared" si="4"/>
        <v>0</v>
      </c>
      <c r="R21" s="349">
        <f t="shared" si="5"/>
        <v>0</v>
      </c>
      <c r="S21" s="349"/>
      <c r="T21" s="162"/>
    </row>
    <row r="22" spans="1:20" outlineLevel="1" x14ac:dyDescent="0.2">
      <c r="A22" s="329" t="s">
        <v>33</v>
      </c>
      <c r="B22" s="348"/>
      <c r="C22" s="342"/>
      <c r="D22" s="342"/>
      <c r="E22" s="342"/>
      <c r="F22" s="421"/>
      <c r="G22" s="342"/>
      <c r="H22" s="941"/>
      <c r="I22" s="344"/>
      <c r="J22" s="350"/>
      <c r="K22" s="344">
        <v>285039.59999999998</v>
      </c>
      <c r="L22" s="345">
        <v>9</v>
      </c>
      <c r="M22" s="342">
        <v>41969</v>
      </c>
      <c r="N22" s="346">
        <v>285039.59999999998</v>
      </c>
      <c r="O22" s="347">
        <v>42153</v>
      </c>
      <c r="P22" s="405">
        <f t="shared" si="3"/>
        <v>184</v>
      </c>
      <c r="Q22" s="349">
        <f t="shared" si="4"/>
        <v>0</v>
      </c>
      <c r="R22" s="349">
        <f t="shared" si="5"/>
        <v>0</v>
      </c>
      <c r="S22" s="349"/>
      <c r="T22" s="162"/>
    </row>
    <row r="23" spans="1:20" s="106" customFormat="1" x14ac:dyDescent="0.2">
      <c r="A23" s="320" t="s">
        <v>34</v>
      </c>
      <c r="B23" s="327"/>
      <c r="C23" s="321">
        <v>39818</v>
      </c>
      <c r="D23" s="321">
        <f>DATE(YEAR(C23),MONTH(C23)+18,DAY(C23))</f>
        <v>40364</v>
      </c>
      <c r="E23" s="321"/>
      <c r="F23" s="419">
        <v>39986</v>
      </c>
      <c r="G23" s="321">
        <f>DATE(YEAR(C23)+4,MONTH(C23),DAY(C23))</f>
        <v>41279</v>
      </c>
      <c r="H23" s="944">
        <v>40749</v>
      </c>
      <c r="I23" s="323">
        <v>2766905</v>
      </c>
      <c r="J23" s="322"/>
      <c r="K23" s="323"/>
      <c r="L23" s="324"/>
      <c r="M23" s="321"/>
      <c r="N23" s="325">
        <f>SUM(N24:N33)</f>
        <v>2766905</v>
      </c>
      <c r="O23" s="326"/>
      <c r="P23" s="420"/>
      <c r="Q23" s="328">
        <f>SUM(Q24:Q33)</f>
        <v>0</v>
      </c>
      <c r="R23" s="328">
        <f>SUM(R24:R33)</f>
        <v>0</v>
      </c>
      <c r="S23" s="328"/>
      <c r="T23" s="162">
        <f>I23-(N23+Q23+R23)</f>
        <v>0</v>
      </c>
    </row>
    <row r="24" spans="1:20" s="26" customFormat="1" outlineLevel="1" x14ac:dyDescent="0.2">
      <c r="A24" s="329" t="s">
        <v>34</v>
      </c>
      <c r="B24" s="348"/>
      <c r="C24" s="342"/>
      <c r="D24" s="342"/>
      <c r="E24" s="342"/>
      <c r="F24" s="421"/>
      <c r="G24" s="342"/>
      <c r="H24" s="941"/>
      <c r="I24" s="408"/>
      <c r="J24" s="343">
        <f>K24/$I$23</f>
        <v>0.3</v>
      </c>
      <c r="K24" s="344">
        <v>830071.5</v>
      </c>
      <c r="L24" s="345">
        <v>1</v>
      </c>
      <c r="M24" s="342">
        <v>40483</v>
      </c>
      <c r="N24" s="346">
        <v>830071.5</v>
      </c>
      <c r="O24" s="347">
        <v>40038</v>
      </c>
      <c r="P24" s="405"/>
      <c r="Q24" s="349" t="str">
        <f t="shared" ref="Q24:Q33" si="6">IF(N24="en attente",K24,"")</f>
        <v/>
      </c>
      <c r="R24" s="349">
        <f t="shared" ref="R24:R33" si="7">IF(M24="",K24-N24,0)</f>
        <v>0</v>
      </c>
      <c r="S24" s="349"/>
      <c r="T24" s="162"/>
    </row>
    <row r="25" spans="1:20" s="26" customFormat="1" outlineLevel="1" x14ac:dyDescent="0.2">
      <c r="A25" s="329" t="s">
        <v>34</v>
      </c>
      <c r="B25" s="348"/>
      <c r="C25" s="342"/>
      <c r="D25" s="342"/>
      <c r="E25" s="342"/>
      <c r="F25" s="421"/>
      <c r="G25" s="342"/>
      <c r="H25" s="941"/>
      <c r="I25" s="408"/>
      <c r="J25" s="343">
        <f t="shared" ref="J25:J33" si="8">K25/$I$23+J24</f>
        <v>0.32679999855434139</v>
      </c>
      <c r="K25" s="344">
        <v>74153.05</v>
      </c>
      <c r="L25" s="345">
        <v>2</v>
      </c>
      <c r="M25" s="342">
        <v>40483</v>
      </c>
      <c r="N25" s="346">
        <v>74153.05</v>
      </c>
      <c r="O25" s="347">
        <v>40315</v>
      </c>
      <c r="P25" s="405"/>
      <c r="Q25" s="349" t="str">
        <f t="shared" si="6"/>
        <v/>
      </c>
      <c r="R25" s="349">
        <f t="shared" si="7"/>
        <v>0</v>
      </c>
      <c r="S25" s="349"/>
      <c r="T25" s="162"/>
    </row>
    <row r="26" spans="1:20" s="26" customFormat="1" outlineLevel="1" x14ac:dyDescent="0.2">
      <c r="A26" s="329" t="s">
        <v>34</v>
      </c>
      <c r="B26" s="417"/>
      <c r="C26" s="407"/>
      <c r="D26" s="407"/>
      <c r="E26" s="407"/>
      <c r="F26" s="418"/>
      <c r="G26" s="407"/>
      <c r="H26" s="943"/>
      <c r="I26" s="408"/>
      <c r="J26" s="343">
        <f t="shared" si="8"/>
        <v>0.35899999819292672</v>
      </c>
      <c r="K26" s="344">
        <v>89094.34</v>
      </c>
      <c r="L26" s="345">
        <v>3</v>
      </c>
      <c r="M26" s="342">
        <v>40483</v>
      </c>
      <c r="N26" s="346">
        <v>89094.34</v>
      </c>
      <c r="O26" s="347">
        <v>40347</v>
      </c>
      <c r="P26" s="405"/>
      <c r="Q26" s="349" t="str">
        <f t="shared" si="6"/>
        <v/>
      </c>
      <c r="R26" s="349">
        <f t="shared" si="7"/>
        <v>0</v>
      </c>
      <c r="S26" s="349"/>
      <c r="T26" s="162"/>
    </row>
    <row r="27" spans="1:20" s="26" customFormat="1" outlineLevel="1" x14ac:dyDescent="0.2">
      <c r="A27" s="329" t="s">
        <v>34</v>
      </c>
      <c r="B27" s="417"/>
      <c r="C27" s="407"/>
      <c r="D27" s="407"/>
      <c r="E27" s="407"/>
      <c r="F27" s="418"/>
      <c r="G27" s="407"/>
      <c r="H27" s="943"/>
      <c r="I27" s="408"/>
      <c r="J27" s="343">
        <f t="shared" si="8"/>
        <v>0.41320000144565855</v>
      </c>
      <c r="K27" s="344">
        <v>149966.26</v>
      </c>
      <c r="L27" s="345">
        <v>4</v>
      </c>
      <c r="M27" s="342">
        <v>40483</v>
      </c>
      <c r="N27" s="346">
        <v>149966.26</v>
      </c>
      <c r="O27" s="347">
        <v>40366</v>
      </c>
      <c r="P27" s="405"/>
      <c r="Q27" s="349" t="str">
        <f t="shared" si="6"/>
        <v/>
      </c>
      <c r="R27" s="349">
        <f t="shared" si="7"/>
        <v>0</v>
      </c>
      <c r="S27" s="349"/>
      <c r="T27" s="162"/>
    </row>
    <row r="28" spans="1:20" s="26" customFormat="1" outlineLevel="1" x14ac:dyDescent="0.2">
      <c r="A28" s="329" t="s">
        <v>34</v>
      </c>
      <c r="B28" s="417"/>
      <c r="C28" s="407"/>
      <c r="D28" s="407"/>
      <c r="E28" s="407"/>
      <c r="F28" s="418"/>
      <c r="G28" s="407"/>
      <c r="H28" s="943"/>
      <c r="I28" s="408"/>
      <c r="J28" s="343">
        <f t="shared" si="8"/>
        <v>0.4773000012649512</v>
      </c>
      <c r="K28" s="344">
        <v>177358.61000000002</v>
      </c>
      <c r="L28" s="345">
        <v>5</v>
      </c>
      <c r="M28" s="342">
        <v>40483</v>
      </c>
      <c r="N28" s="346">
        <v>177358.61000000002</v>
      </c>
      <c r="O28" s="347">
        <v>40396</v>
      </c>
      <c r="P28" s="405"/>
      <c r="Q28" s="349" t="str">
        <f t="shared" si="6"/>
        <v/>
      </c>
      <c r="R28" s="349">
        <f t="shared" si="7"/>
        <v>0</v>
      </c>
      <c r="S28" s="349"/>
      <c r="T28" s="162"/>
    </row>
    <row r="29" spans="1:20" s="26" customFormat="1" outlineLevel="1" x14ac:dyDescent="0.2">
      <c r="A29" s="329" t="s">
        <v>34</v>
      </c>
      <c r="B29" s="417"/>
      <c r="C29" s="407"/>
      <c r="D29" s="407"/>
      <c r="E29" s="407"/>
      <c r="F29" s="418"/>
      <c r="G29" s="407"/>
      <c r="H29" s="943"/>
      <c r="I29" s="408"/>
      <c r="J29" s="343">
        <f t="shared" si="8"/>
        <v>0.61120000144565845</v>
      </c>
      <c r="K29" s="344">
        <v>370488.57999999996</v>
      </c>
      <c r="L29" s="345">
        <v>6</v>
      </c>
      <c r="M29" s="342">
        <v>40483</v>
      </c>
      <c r="N29" s="346">
        <v>370488.57999999996</v>
      </c>
      <c r="O29" s="347">
        <v>40497</v>
      </c>
      <c r="P29" s="405"/>
      <c r="Q29" s="349" t="str">
        <f t="shared" si="6"/>
        <v/>
      </c>
      <c r="R29" s="349">
        <f t="shared" si="7"/>
        <v>0</v>
      </c>
      <c r="S29" s="349"/>
      <c r="T29" s="162"/>
    </row>
    <row r="30" spans="1:20" s="26" customFormat="1" outlineLevel="1" x14ac:dyDescent="0.2">
      <c r="A30" s="329" t="s">
        <v>34</v>
      </c>
      <c r="B30" s="417"/>
      <c r="C30" s="407"/>
      <c r="D30" s="407"/>
      <c r="E30" s="407"/>
      <c r="F30" s="418"/>
      <c r="G30" s="407"/>
      <c r="H30" s="943"/>
      <c r="I30" s="408"/>
      <c r="J30" s="343">
        <f t="shared" si="8"/>
        <v>0.68710000162636575</v>
      </c>
      <c r="K30" s="344">
        <v>210008.09</v>
      </c>
      <c r="L30" s="345">
        <v>7</v>
      </c>
      <c r="M30" s="342">
        <v>40483</v>
      </c>
      <c r="N30" s="346">
        <v>210008.09</v>
      </c>
      <c r="O30" s="347">
        <v>40528</v>
      </c>
      <c r="P30" s="405"/>
      <c r="Q30" s="349" t="str">
        <f t="shared" si="6"/>
        <v/>
      </c>
      <c r="R30" s="349">
        <f t="shared" si="7"/>
        <v>0</v>
      </c>
      <c r="S30" s="349"/>
      <c r="T30" s="162"/>
    </row>
    <row r="31" spans="1:20" s="26" customFormat="1" outlineLevel="1" x14ac:dyDescent="0.2">
      <c r="A31" s="329" t="s">
        <v>34</v>
      </c>
      <c r="B31" s="417"/>
      <c r="C31" s="407"/>
      <c r="D31" s="407"/>
      <c r="E31" s="407"/>
      <c r="F31" s="418"/>
      <c r="G31" s="407"/>
      <c r="H31" s="943"/>
      <c r="I31" s="408"/>
      <c r="J31" s="343">
        <f t="shared" si="8"/>
        <v>0.78140000108424379</v>
      </c>
      <c r="K31" s="344">
        <v>260919.13999999998</v>
      </c>
      <c r="L31" s="345">
        <v>8</v>
      </c>
      <c r="M31" s="342">
        <v>40591</v>
      </c>
      <c r="N31" s="346">
        <v>260919.13999999998</v>
      </c>
      <c r="O31" s="347">
        <v>40687</v>
      </c>
      <c r="P31" s="405">
        <f>IF(O31="",$R$2-M31,O31-M31)</f>
        <v>96</v>
      </c>
      <c r="Q31" s="349" t="str">
        <f t="shared" si="6"/>
        <v/>
      </c>
      <c r="R31" s="349">
        <f t="shared" si="7"/>
        <v>0</v>
      </c>
      <c r="S31" s="349"/>
      <c r="T31" s="162"/>
    </row>
    <row r="32" spans="1:20" s="26" customFormat="1" outlineLevel="1" x14ac:dyDescent="0.2">
      <c r="A32" s="329" t="s">
        <v>34</v>
      </c>
      <c r="B32" s="417"/>
      <c r="C32" s="407"/>
      <c r="D32" s="407"/>
      <c r="E32" s="407"/>
      <c r="F32" s="418"/>
      <c r="G32" s="407"/>
      <c r="H32" s="943"/>
      <c r="I32" s="408"/>
      <c r="J32" s="343">
        <f t="shared" si="8"/>
        <v>0.79999999999999982</v>
      </c>
      <c r="K32" s="344">
        <v>51464.43</v>
      </c>
      <c r="L32" s="345">
        <v>9</v>
      </c>
      <c r="M32" s="342">
        <v>40641</v>
      </c>
      <c r="N32" s="346">
        <v>51464.43</v>
      </c>
      <c r="O32" s="347">
        <v>40716</v>
      </c>
      <c r="P32" s="405">
        <f>IF(O32="",$R$2-M32,O32-M32)</f>
        <v>75</v>
      </c>
      <c r="Q32" s="349" t="str">
        <f t="shared" si="6"/>
        <v/>
      </c>
      <c r="R32" s="349">
        <f t="shared" si="7"/>
        <v>0</v>
      </c>
      <c r="S32" s="349"/>
      <c r="T32" s="162"/>
    </row>
    <row r="33" spans="1:20" s="26" customFormat="1" outlineLevel="1" x14ac:dyDescent="0.2">
      <c r="A33" s="329" t="s">
        <v>34</v>
      </c>
      <c r="B33" s="417"/>
      <c r="C33" s="407"/>
      <c r="D33" s="407"/>
      <c r="E33" s="407"/>
      <c r="F33" s="418"/>
      <c r="G33" s="407"/>
      <c r="H33" s="943"/>
      <c r="I33" s="408"/>
      <c r="J33" s="343">
        <f t="shared" si="8"/>
        <v>0.99999999999999978</v>
      </c>
      <c r="K33" s="344">
        <v>553381</v>
      </c>
      <c r="L33" s="345">
        <v>10</v>
      </c>
      <c r="M33" s="342">
        <v>42149</v>
      </c>
      <c r="N33" s="346">
        <v>553381</v>
      </c>
      <c r="O33" s="347">
        <v>42222</v>
      </c>
      <c r="P33" s="405">
        <f>IF(O33="",$R$2-M33,O33-M33)</f>
        <v>73</v>
      </c>
      <c r="Q33" s="349" t="str">
        <f t="shared" si="6"/>
        <v/>
      </c>
      <c r="R33" s="349">
        <f t="shared" si="7"/>
        <v>0</v>
      </c>
      <c r="S33" s="349"/>
      <c r="T33" s="162"/>
    </row>
    <row r="34" spans="1:20" s="106" customFormat="1" x14ac:dyDescent="0.2">
      <c r="A34" s="320" t="s">
        <v>38</v>
      </c>
      <c r="B34" s="327"/>
      <c r="C34" s="321">
        <v>40491</v>
      </c>
      <c r="D34" s="321">
        <f>DATE(YEAR(C34),MONTH(C34)+18,DAY(C34))</f>
        <v>41038</v>
      </c>
      <c r="E34" s="321"/>
      <c r="F34" s="419">
        <v>40945</v>
      </c>
      <c r="G34" s="321">
        <f>DATE(YEAR(C34)+4,MONTH(C34),DAY(C34))</f>
        <v>41952</v>
      </c>
      <c r="H34" s="944">
        <v>41670</v>
      </c>
      <c r="I34" s="323">
        <v>1269605</v>
      </c>
      <c r="J34" s="322"/>
      <c r="K34" s="323"/>
      <c r="L34" s="324"/>
      <c r="M34" s="321"/>
      <c r="N34" s="325">
        <f>SUM(N35:N43)</f>
        <v>1269605</v>
      </c>
      <c r="O34" s="326"/>
      <c r="P34" s="420"/>
      <c r="Q34" s="328">
        <f>SUM(Q35:Q43)</f>
        <v>0</v>
      </c>
      <c r="R34" s="328">
        <f>SUM(R35:R43)</f>
        <v>0</v>
      </c>
      <c r="S34" s="328"/>
      <c r="T34" s="162">
        <f>I34-(N34+Q34+R34)</f>
        <v>0</v>
      </c>
    </row>
    <row r="35" spans="1:20" s="26" customFormat="1" outlineLevel="1" x14ac:dyDescent="0.2">
      <c r="A35" s="329" t="s">
        <v>38</v>
      </c>
      <c r="B35" s="348"/>
      <c r="C35" s="342"/>
      <c r="D35" s="342"/>
      <c r="E35" s="342"/>
      <c r="F35" s="421"/>
      <c r="G35" s="342"/>
      <c r="H35" s="941"/>
      <c r="I35" s="408"/>
      <c r="J35" s="343">
        <f>K35/$I$34</f>
        <v>0.3</v>
      </c>
      <c r="K35" s="344">
        <v>380881.5</v>
      </c>
      <c r="L35" s="345">
        <v>1</v>
      </c>
      <c r="M35" s="342">
        <v>40966</v>
      </c>
      <c r="N35" s="346">
        <v>380881.5</v>
      </c>
      <c r="O35" s="347">
        <v>41092</v>
      </c>
      <c r="P35" s="405">
        <f t="shared" ref="P35:P43" si="9">IF(O35="",$R$2-M35,O35-M35)</f>
        <v>126</v>
      </c>
      <c r="Q35" s="349" t="str">
        <f t="shared" ref="Q35:Q43" si="10">IF(N35="en attente",K35,"")</f>
        <v/>
      </c>
      <c r="R35" s="349">
        <f t="shared" ref="R35:R43" si="11">IF(M35="",K35-N35,0)</f>
        <v>0</v>
      </c>
      <c r="S35" s="349"/>
      <c r="T35" s="162"/>
    </row>
    <row r="36" spans="1:20" s="26" customFormat="1" outlineLevel="1" x14ac:dyDescent="0.2">
      <c r="A36" s="329" t="s">
        <v>38</v>
      </c>
      <c r="B36" s="348"/>
      <c r="C36" s="342"/>
      <c r="D36" s="342"/>
      <c r="E36" s="342"/>
      <c r="F36" s="421"/>
      <c r="G36" s="342"/>
      <c r="H36" s="941"/>
      <c r="I36" s="408"/>
      <c r="J36" s="343">
        <f t="shared" ref="J36:J43" si="12">K36/$I$34+J35</f>
        <v>0.33439999842470691</v>
      </c>
      <c r="K36" s="344">
        <v>43674.409999999996</v>
      </c>
      <c r="L36" s="345">
        <v>2</v>
      </c>
      <c r="M36" s="342">
        <v>41211</v>
      </c>
      <c r="N36" s="346">
        <v>43674.409999999996</v>
      </c>
      <c r="O36" s="347">
        <v>41243</v>
      </c>
      <c r="P36" s="405">
        <f t="shared" si="9"/>
        <v>32</v>
      </c>
      <c r="Q36" s="349" t="str">
        <f t="shared" si="10"/>
        <v/>
      </c>
      <c r="R36" s="349">
        <f t="shared" si="11"/>
        <v>0</v>
      </c>
      <c r="S36" s="349"/>
      <c r="T36" s="162"/>
    </row>
    <row r="37" spans="1:20" s="26" customFormat="1" outlineLevel="1" x14ac:dyDescent="0.2">
      <c r="A37" s="329" t="s">
        <v>38</v>
      </c>
      <c r="B37" s="348"/>
      <c r="C37" s="342"/>
      <c r="D37" s="342"/>
      <c r="E37" s="342"/>
      <c r="F37" s="421"/>
      <c r="G37" s="342"/>
      <c r="H37" s="941"/>
      <c r="I37" s="408"/>
      <c r="J37" s="343">
        <f t="shared" si="12"/>
        <v>0.40370000118146987</v>
      </c>
      <c r="K37" s="344">
        <v>87983.63</v>
      </c>
      <c r="L37" s="345">
        <v>3</v>
      </c>
      <c r="M37" s="342">
        <v>41240</v>
      </c>
      <c r="N37" s="346">
        <v>87983.63</v>
      </c>
      <c r="O37" s="347">
        <v>41391</v>
      </c>
      <c r="P37" s="405">
        <f t="shared" si="9"/>
        <v>151</v>
      </c>
      <c r="Q37" s="349" t="str">
        <f t="shared" si="10"/>
        <v/>
      </c>
      <c r="R37" s="349">
        <f t="shared" si="11"/>
        <v>0</v>
      </c>
      <c r="S37" s="349"/>
      <c r="T37" s="162"/>
    </row>
    <row r="38" spans="1:20" s="26" customFormat="1" outlineLevel="1" x14ac:dyDescent="0.2">
      <c r="A38" s="329" t="s">
        <v>38</v>
      </c>
      <c r="B38" s="348"/>
      <c r="C38" s="342"/>
      <c r="D38" s="342"/>
      <c r="E38" s="342"/>
      <c r="F38" s="421"/>
      <c r="G38" s="342"/>
      <c r="H38" s="941"/>
      <c r="I38" s="408"/>
      <c r="J38" s="343">
        <f t="shared" si="12"/>
        <v>0.47900000393823278</v>
      </c>
      <c r="K38" s="344">
        <v>95601.26</v>
      </c>
      <c r="L38" s="345">
        <v>4</v>
      </c>
      <c r="M38" s="342">
        <v>41313</v>
      </c>
      <c r="N38" s="346">
        <v>95601.26</v>
      </c>
      <c r="O38" s="347">
        <v>41416</v>
      </c>
      <c r="P38" s="405">
        <f t="shared" si="9"/>
        <v>103</v>
      </c>
      <c r="Q38" s="349" t="str">
        <f t="shared" si="10"/>
        <v/>
      </c>
      <c r="R38" s="349">
        <f t="shared" si="11"/>
        <v>0</v>
      </c>
      <c r="S38" s="349"/>
      <c r="T38" s="162"/>
    </row>
    <row r="39" spans="1:20" s="26" customFormat="1" outlineLevel="1" x14ac:dyDescent="0.2">
      <c r="A39" s="329" t="s">
        <v>38</v>
      </c>
      <c r="B39" s="348"/>
      <c r="C39" s="342"/>
      <c r="D39" s="342"/>
      <c r="E39" s="342"/>
      <c r="F39" s="421"/>
      <c r="G39" s="342"/>
      <c r="H39" s="941"/>
      <c r="I39" s="408"/>
      <c r="J39" s="343">
        <f t="shared" si="12"/>
        <v>0.54780000078764657</v>
      </c>
      <c r="K39" s="344">
        <v>87348.819999999992</v>
      </c>
      <c r="L39" s="345">
        <v>5</v>
      </c>
      <c r="M39" s="342">
        <v>41360</v>
      </c>
      <c r="N39" s="346">
        <v>87348.819999999992</v>
      </c>
      <c r="O39" s="347">
        <v>41430</v>
      </c>
      <c r="P39" s="405">
        <f t="shared" si="9"/>
        <v>70</v>
      </c>
      <c r="Q39" s="349" t="str">
        <f t="shared" si="10"/>
        <v/>
      </c>
      <c r="R39" s="349">
        <f t="shared" si="11"/>
        <v>0</v>
      </c>
      <c r="S39" s="349"/>
      <c r="T39" s="162"/>
    </row>
    <row r="40" spans="1:20" s="26" customFormat="1" outlineLevel="1" x14ac:dyDescent="0.2">
      <c r="A40" s="329" t="s">
        <v>38</v>
      </c>
      <c r="B40" s="348"/>
      <c r="C40" s="342"/>
      <c r="D40" s="342"/>
      <c r="E40" s="342"/>
      <c r="F40" s="421"/>
      <c r="G40" s="342"/>
      <c r="H40" s="941"/>
      <c r="I40" s="408"/>
      <c r="J40" s="343">
        <f t="shared" si="12"/>
        <v>0.61859999763706042</v>
      </c>
      <c r="K40" s="344">
        <v>89888.03</v>
      </c>
      <c r="L40" s="345">
        <v>6</v>
      </c>
      <c r="M40" s="342">
        <v>41422</v>
      </c>
      <c r="N40" s="346">
        <v>89888.03</v>
      </c>
      <c r="O40" s="347">
        <v>41473</v>
      </c>
      <c r="P40" s="405">
        <f t="shared" si="9"/>
        <v>51</v>
      </c>
      <c r="Q40" s="349" t="str">
        <f t="shared" si="10"/>
        <v/>
      </c>
      <c r="R40" s="349">
        <f t="shared" si="11"/>
        <v>0</v>
      </c>
      <c r="S40" s="349"/>
      <c r="T40" s="162"/>
    </row>
    <row r="41" spans="1:20" s="26" customFormat="1" outlineLevel="1" x14ac:dyDescent="0.2">
      <c r="A41" s="329" t="s">
        <v>38</v>
      </c>
      <c r="B41" s="348"/>
      <c r="C41" s="342"/>
      <c r="D41" s="342"/>
      <c r="E41" s="342"/>
      <c r="F41" s="421"/>
      <c r="G41" s="342"/>
      <c r="H41" s="941"/>
      <c r="I41" s="408"/>
      <c r="J41" s="343">
        <f t="shared" si="12"/>
        <v>0.7272000031505863</v>
      </c>
      <c r="K41" s="344">
        <v>137879.11000000002</v>
      </c>
      <c r="L41" s="345">
        <v>7</v>
      </c>
      <c r="M41" s="342">
        <v>41466</v>
      </c>
      <c r="N41" s="346">
        <v>137879.11000000002</v>
      </c>
      <c r="O41" s="347">
        <v>41533</v>
      </c>
      <c r="P41" s="405">
        <f t="shared" si="9"/>
        <v>67</v>
      </c>
      <c r="Q41" s="349" t="str">
        <f t="shared" si="10"/>
        <v/>
      </c>
      <c r="R41" s="349">
        <f t="shared" si="11"/>
        <v>0</v>
      </c>
      <c r="S41" s="349"/>
      <c r="T41" s="162"/>
    </row>
    <row r="42" spans="1:20" s="26" customFormat="1" outlineLevel="1" x14ac:dyDescent="0.2">
      <c r="A42" s="329" t="s">
        <v>38</v>
      </c>
      <c r="B42" s="348"/>
      <c r="C42" s="342"/>
      <c r="D42" s="342"/>
      <c r="E42" s="342"/>
      <c r="F42" s="421"/>
      <c r="G42" s="342"/>
      <c r="H42" s="941"/>
      <c r="I42" s="408"/>
      <c r="J42" s="343">
        <f t="shared" si="12"/>
        <v>0.8</v>
      </c>
      <c r="K42" s="344">
        <v>92427.24</v>
      </c>
      <c r="L42" s="345">
        <v>8</v>
      </c>
      <c r="M42" s="342">
        <v>41547</v>
      </c>
      <c r="N42" s="346">
        <v>92427.24</v>
      </c>
      <c r="O42" s="347">
        <v>41584</v>
      </c>
      <c r="P42" s="405">
        <f t="shared" si="9"/>
        <v>37</v>
      </c>
      <c r="Q42" s="349" t="str">
        <f t="shared" si="10"/>
        <v/>
      </c>
      <c r="R42" s="349">
        <f t="shared" si="11"/>
        <v>0</v>
      </c>
      <c r="S42" s="349"/>
      <c r="T42" s="162"/>
    </row>
    <row r="43" spans="1:20" s="26" customFormat="1" outlineLevel="1" x14ac:dyDescent="0.2">
      <c r="A43" s="329" t="s">
        <v>38</v>
      </c>
      <c r="B43" s="348"/>
      <c r="C43" s="342"/>
      <c r="D43" s="342"/>
      <c r="E43" s="342"/>
      <c r="F43" s="421"/>
      <c r="G43" s="342"/>
      <c r="H43" s="941"/>
      <c r="I43" s="408"/>
      <c r="J43" s="343">
        <f t="shared" si="12"/>
        <v>1</v>
      </c>
      <c r="K43" s="344">
        <v>253921</v>
      </c>
      <c r="L43" s="345">
        <v>9</v>
      </c>
      <c r="M43" s="342">
        <v>42262</v>
      </c>
      <c r="N43" s="346">
        <v>253921</v>
      </c>
      <c r="O43" s="347">
        <v>42325</v>
      </c>
      <c r="P43" s="405">
        <f t="shared" si="9"/>
        <v>63</v>
      </c>
      <c r="Q43" s="349" t="str">
        <f t="shared" si="10"/>
        <v/>
      </c>
      <c r="R43" s="349">
        <f t="shared" si="11"/>
        <v>0</v>
      </c>
      <c r="S43" s="349"/>
      <c r="T43" s="162"/>
    </row>
    <row r="44" spans="1:20" s="106" customFormat="1" x14ac:dyDescent="0.2">
      <c r="A44" s="320" t="s">
        <v>39</v>
      </c>
      <c r="B44" s="327" t="s">
        <v>205</v>
      </c>
      <c r="C44" s="321">
        <v>40491</v>
      </c>
      <c r="D44" s="321">
        <f>DATE(YEAR(C44),MONTH(C44)+18,DAY(C44))</f>
        <v>41038</v>
      </c>
      <c r="E44" s="321">
        <v>40721</v>
      </c>
      <c r="F44" s="419">
        <v>40721</v>
      </c>
      <c r="G44" s="321">
        <f>DATE(YEAR(C44)+4,MONTH(C44),DAY(C44))</f>
        <v>41952</v>
      </c>
      <c r="H44" s="944">
        <v>41479</v>
      </c>
      <c r="I44" s="323">
        <v>1173028</v>
      </c>
      <c r="J44" s="322"/>
      <c r="K44" s="323"/>
      <c r="L44" s="324"/>
      <c r="M44" s="321"/>
      <c r="N44" s="325">
        <f>SUM(N45:N53)</f>
        <v>1173028</v>
      </c>
      <c r="O44" s="326"/>
      <c r="P44" s="420"/>
      <c r="Q44" s="328">
        <f>SUM(Q45:Q53)</f>
        <v>0</v>
      </c>
      <c r="R44" s="328">
        <f>SUM(R45:R53)</f>
        <v>0</v>
      </c>
      <c r="S44" s="328"/>
      <c r="T44" s="165">
        <f>I44-(N44+Q44+R44)</f>
        <v>0</v>
      </c>
    </row>
    <row r="45" spans="1:20" s="26" customFormat="1" outlineLevel="1" x14ac:dyDescent="0.2">
      <c r="A45" s="329" t="s">
        <v>39</v>
      </c>
      <c r="B45" s="348"/>
      <c r="C45" s="407" t="s">
        <v>197</v>
      </c>
      <c r="D45" s="342"/>
      <c r="E45" s="342"/>
      <c r="F45" s="421"/>
      <c r="G45" s="342"/>
      <c r="H45" s="941"/>
      <c r="I45" s="408"/>
      <c r="J45" s="343">
        <f>K45/$I$44</f>
        <v>0.30000000000000004</v>
      </c>
      <c r="K45" s="344">
        <v>351908.4</v>
      </c>
      <c r="L45" s="345">
        <v>1</v>
      </c>
      <c r="M45" s="342">
        <v>40756</v>
      </c>
      <c r="N45" s="346">
        <v>351908.4</v>
      </c>
      <c r="O45" s="347">
        <v>40836</v>
      </c>
      <c r="P45" s="405">
        <f t="shared" ref="P45:P53" si="13">IF(O45="",$R$2-M45,O45-M45)</f>
        <v>80</v>
      </c>
      <c r="Q45" s="349" t="str">
        <f t="shared" ref="Q45:Q53" si="14">IF(N45="en attente",K45,"")</f>
        <v/>
      </c>
      <c r="R45" s="349">
        <f t="shared" ref="R45:R53" si="15">IF(M45="",K45-N45,0)</f>
        <v>0</v>
      </c>
      <c r="S45" s="349"/>
      <c r="T45" s="162"/>
    </row>
    <row r="46" spans="1:20" s="26" customFormat="1" outlineLevel="1" x14ac:dyDescent="0.2">
      <c r="A46" s="329" t="s">
        <v>39</v>
      </c>
      <c r="B46" s="348"/>
      <c r="C46" s="342"/>
      <c r="D46" s="342"/>
      <c r="E46" s="342"/>
      <c r="F46" s="421"/>
      <c r="G46" s="342"/>
      <c r="H46" s="941"/>
      <c r="I46" s="408"/>
      <c r="J46" s="343">
        <f t="shared" ref="J46:J53" si="16">K46/$I$44+J45</f>
        <v>0.36240000238698483</v>
      </c>
      <c r="K46" s="344">
        <v>73196.95</v>
      </c>
      <c r="L46" s="345">
        <v>2</v>
      </c>
      <c r="M46" s="342">
        <v>41038</v>
      </c>
      <c r="N46" s="346">
        <v>73196.95</v>
      </c>
      <c r="O46" s="347">
        <v>41142</v>
      </c>
      <c r="P46" s="405">
        <f t="shared" si="13"/>
        <v>104</v>
      </c>
      <c r="Q46" s="349" t="str">
        <f t="shared" si="14"/>
        <v/>
      </c>
      <c r="R46" s="349">
        <f t="shared" si="15"/>
        <v>0</v>
      </c>
      <c r="S46" s="349"/>
      <c r="T46" s="162"/>
    </row>
    <row r="47" spans="1:20" s="26" customFormat="1" outlineLevel="1" x14ac:dyDescent="0.2">
      <c r="A47" s="329" t="s">
        <v>39</v>
      </c>
      <c r="B47" s="348"/>
      <c r="C47" s="342"/>
      <c r="D47" s="342"/>
      <c r="E47" s="342"/>
      <c r="F47" s="421"/>
      <c r="G47" s="342"/>
      <c r="H47" s="941"/>
      <c r="I47" s="408"/>
      <c r="J47" s="343">
        <f t="shared" si="16"/>
        <v>0.42009999761301525</v>
      </c>
      <c r="K47" s="344">
        <v>67683.709999999992</v>
      </c>
      <c r="L47" s="345">
        <v>3</v>
      </c>
      <c r="M47" s="342">
        <v>41072</v>
      </c>
      <c r="N47" s="346">
        <v>67683.709999999992</v>
      </c>
      <c r="O47" s="347">
        <v>41142</v>
      </c>
      <c r="P47" s="405">
        <f t="shared" si="13"/>
        <v>70</v>
      </c>
      <c r="Q47" s="349" t="str">
        <f t="shared" si="14"/>
        <v/>
      </c>
      <c r="R47" s="349">
        <f t="shared" si="15"/>
        <v>0</v>
      </c>
      <c r="S47" s="349"/>
      <c r="T47" s="162"/>
    </row>
    <row r="48" spans="1:20" s="26" customFormat="1" outlineLevel="1" x14ac:dyDescent="0.2">
      <c r="A48" s="329" t="s">
        <v>39</v>
      </c>
      <c r="B48" s="348"/>
      <c r="C48" s="342"/>
      <c r="D48" s="342"/>
      <c r="E48" s="342"/>
      <c r="F48" s="421"/>
      <c r="G48" s="342"/>
      <c r="H48" s="941"/>
      <c r="I48" s="408"/>
      <c r="J48" s="343">
        <f t="shared" si="16"/>
        <v>0.50420000204598703</v>
      </c>
      <c r="K48" s="344">
        <v>98651.66</v>
      </c>
      <c r="L48" s="345">
        <v>4</v>
      </c>
      <c r="M48" s="342">
        <v>41129</v>
      </c>
      <c r="N48" s="346">
        <v>98651.66</v>
      </c>
      <c r="O48" s="347">
        <v>41170</v>
      </c>
      <c r="P48" s="405">
        <f t="shared" si="13"/>
        <v>41</v>
      </c>
      <c r="Q48" s="349" t="str">
        <f t="shared" si="14"/>
        <v/>
      </c>
      <c r="R48" s="349">
        <f t="shared" si="15"/>
        <v>0</v>
      </c>
      <c r="S48" s="349"/>
      <c r="T48" s="162"/>
    </row>
    <row r="49" spans="1:20" s="26" customFormat="1" outlineLevel="1" x14ac:dyDescent="0.2">
      <c r="A49" s="329" t="s">
        <v>39</v>
      </c>
      <c r="B49" s="348"/>
      <c r="C49" s="342"/>
      <c r="D49" s="342"/>
      <c r="E49" s="342"/>
      <c r="F49" s="421"/>
      <c r="G49" s="342"/>
      <c r="H49" s="941"/>
      <c r="I49" s="408"/>
      <c r="J49" s="343">
        <f t="shared" si="16"/>
        <v>0.57100000170498921</v>
      </c>
      <c r="K49" s="344">
        <v>78358.26999999999</v>
      </c>
      <c r="L49" s="345">
        <v>5</v>
      </c>
      <c r="M49" s="342">
        <v>41190</v>
      </c>
      <c r="N49" s="346">
        <v>78358.26999999999</v>
      </c>
      <c r="O49" s="347">
        <v>41219</v>
      </c>
      <c r="P49" s="405">
        <f t="shared" si="13"/>
        <v>29</v>
      </c>
      <c r="Q49" s="349" t="str">
        <f t="shared" si="14"/>
        <v/>
      </c>
      <c r="R49" s="349">
        <f t="shared" si="15"/>
        <v>0</v>
      </c>
      <c r="S49" s="349"/>
      <c r="T49" s="162"/>
    </row>
    <row r="50" spans="1:20" s="26" customFormat="1" outlineLevel="1" x14ac:dyDescent="0.2">
      <c r="A50" s="329" t="s">
        <v>39</v>
      </c>
      <c r="B50" s="348"/>
      <c r="C50" s="342"/>
      <c r="D50" s="342"/>
      <c r="E50" s="342"/>
      <c r="F50" s="421"/>
      <c r="G50" s="342"/>
      <c r="H50" s="941"/>
      <c r="I50" s="408"/>
      <c r="J50" s="343">
        <f t="shared" si="16"/>
        <v>0.6235000017049892</v>
      </c>
      <c r="K50" s="344">
        <v>61583.969999999994</v>
      </c>
      <c r="L50" s="345">
        <v>6</v>
      </c>
      <c r="M50" s="342">
        <v>41360</v>
      </c>
      <c r="N50" s="346">
        <v>61583.969999999994</v>
      </c>
      <c r="O50" s="347">
        <v>41430</v>
      </c>
      <c r="P50" s="405">
        <f t="shared" si="13"/>
        <v>70</v>
      </c>
      <c r="Q50" s="349" t="str">
        <f t="shared" si="14"/>
        <v/>
      </c>
      <c r="R50" s="349">
        <f t="shared" si="15"/>
        <v>0</v>
      </c>
      <c r="S50" s="349"/>
      <c r="T50" s="162"/>
    </row>
    <row r="51" spans="1:20" s="26" customFormat="1" outlineLevel="1" x14ac:dyDescent="0.2">
      <c r="A51" s="329" t="s">
        <v>39</v>
      </c>
      <c r="B51" s="348"/>
      <c r="C51" s="342"/>
      <c r="D51" s="342"/>
      <c r="E51" s="342"/>
      <c r="F51" s="421"/>
      <c r="G51" s="342"/>
      <c r="H51" s="941"/>
      <c r="I51" s="408"/>
      <c r="J51" s="343">
        <f t="shared" si="16"/>
        <v>0.7225999976130153</v>
      </c>
      <c r="K51" s="344">
        <v>116247.06999999999</v>
      </c>
      <c r="L51" s="345">
        <v>7</v>
      </c>
      <c r="M51" s="342">
        <v>41305</v>
      </c>
      <c r="N51" s="346">
        <v>116247.06999999999</v>
      </c>
      <c r="O51" s="347">
        <v>41444</v>
      </c>
      <c r="P51" s="405">
        <f t="shared" si="13"/>
        <v>139</v>
      </c>
      <c r="Q51" s="349" t="str">
        <f t="shared" si="14"/>
        <v/>
      </c>
      <c r="R51" s="349">
        <f t="shared" si="15"/>
        <v>0</v>
      </c>
      <c r="S51" s="349"/>
      <c r="T51" s="162"/>
    </row>
    <row r="52" spans="1:20" s="26" customFormat="1" outlineLevel="1" x14ac:dyDescent="0.2">
      <c r="A52" s="329" t="s">
        <v>39</v>
      </c>
      <c r="B52" s="348"/>
      <c r="C52" s="342"/>
      <c r="D52" s="342"/>
      <c r="E52" s="342"/>
      <c r="F52" s="421"/>
      <c r="G52" s="342"/>
      <c r="H52" s="941"/>
      <c r="I52" s="408"/>
      <c r="J52" s="343">
        <f t="shared" si="16"/>
        <v>0.8</v>
      </c>
      <c r="K52" s="344">
        <v>90792.37</v>
      </c>
      <c r="L52" s="345">
        <v>8</v>
      </c>
      <c r="M52" s="342">
        <v>41463</v>
      </c>
      <c r="N52" s="346">
        <v>90792.37</v>
      </c>
      <c r="O52" s="347">
        <v>41505</v>
      </c>
      <c r="P52" s="405">
        <f t="shared" si="13"/>
        <v>42</v>
      </c>
      <c r="Q52" s="349" t="str">
        <f t="shared" si="14"/>
        <v/>
      </c>
      <c r="R52" s="349">
        <f t="shared" si="15"/>
        <v>0</v>
      </c>
      <c r="S52" s="349"/>
      <c r="T52" s="162"/>
    </row>
    <row r="53" spans="1:20" s="26" customFormat="1" outlineLevel="1" x14ac:dyDescent="0.2">
      <c r="A53" s="351" t="s">
        <v>39</v>
      </c>
      <c r="B53" s="358"/>
      <c r="C53" s="353"/>
      <c r="D53" s="353"/>
      <c r="E53" s="353"/>
      <c r="F53" s="422"/>
      <c r="G53" s="353"/>
      <c r="H53" s="942"/>
      <c r="I53" s="408"/>
      <c r="J53" s="423">
        <f t="shared" si="16"/>
        <v>1</v>
      </c>
      <c r="K53" s="354">
        <v>234605.6</v>
      </c>
      <c r="L53" s="355">
        <v>9</v>
      </c>
      <c r="M53" s="353">
        <v>42166</v>
      </c>
      <c r="N53" s="356">
        <v>234605.6</v>
      </c>
      <c r="O53" s="357">
        <v>42614</v>
      </c>
      <c r="P53" s="405">
        <f t="shared" si="13"/>
        <v>448</v>
      </c>
      <c r="Q53" s="359" t="str">
        <f t="shared" si="14"/>
        <v/>
      </c>
      <c r="R53" s="359">
        <f t="shared" si="15"/>
        <v>0</v>
      </c>
      <c r="S53" s="359"/>
      <c r="T53" s="162"/>
    </row>
    <row r="54" spans="1:20" s="106" customFormat="1" x14ac:dyDescent="0.2">
      <c r="A54" s="397" t="s">
        <v>37</v>
      </c>
      <c r="B54" s="401" t="s">
        <v>207</v>
      </c>
      <c r="C54" s="409">
        <v>40730</v>
      </c>
      <c r="D54" s="321">
        <f>DATE(YEAR(C54),MONTH(C54)+18,DAY(C54))</f>
        <v>41280</v>
      </c>
      <c r="E54" s="409">
        <v>40889</v>
      </c>
      <c r="F54" s="414">
        <v>40939</v>
      </c>
      <c r="G54" s="321">
        <f>DATE(YEAR(C54)+4,MONTH(C54),DAY(C54))</f>
        <v>42191</v>
      </c>
      <c r="H54" s="944">
        <v>41689</v>
      </c>
      <c r="I54" s="323">
        <v>119398</v>
      </c>
      <c r="J54" s="404"/>
      <c r="K54" s="399"/>
      <c r="L54" s="410"/>
      <c r="M54" s="409"/>
      <c r="N54" s="402">
        <f>SUM(N55:N61)</f>
        <v>119398</v>
      </c>
      <c r="O54" s="415"/>
      <c r="P54" s="416"/>
      <c r="Q54" s="411">
        <f>SUM(Q55:Q61)</f>
        <v>0</v>
      </c>
      <c r="R54" s="411">
        <f>SUM(R55:R61)</f>
        <v>0</v>
      </c>
      <c r="S54" s="411"/>
      <c r="T54" s="162">
        <f>I54-(N54+Q54+R54)</f>
        <v>0</v>
      </c>
    </row>
    <row r="55" spans="1:20" s="31" customFormat="1" outlineLevel="1" x14ac:dyDescent="0.2">
      <c r="A55" s="329" t="s">
        <v>37</v>
      </c>
      <c r="B55" s="417"/>
      <c r="C55" s="407" t="s">
        <v>197</v>
      </c>
      <c r="D55" s="407"/>
      <c r="E55" s="407"/>
      <c r="F55" s="418"/>
      <c r="G55" s="407"/>
      <c r="H55" s="943"/>
      <c r="I55" s="957"/>
      <c r="J55" s="343">
        <f>K55/I54</f>
        <v>0.3</v>
      </c>
      <c r="K55" s="344">
        <v>35819.4</v>
      </c>
      <c r="L55" s="345">
        <v>1</v>
      </c>
      <c r="M55" s="342">
        <v>40953</v>
      </c>
      <c r="N55" s="346">
        <v>35819.4</v>
      </c>
      <c r="O55" s="347">
        <v>41023</v>
      </c>
      <c r="P55" s="405">
        <f t="shared" ref="P55:P61" si="17">IF(O55="",$R$2-M55,O55-M55)</f>
        <v>70</v>
      </c>
      <c r="Q55" s="349" t="str">
        <f t="shared" ref="Q55:Q61" si="18">IF(N55="en attente",K55,"")</f>
        <v/>
      </c>
      <c r="R55" s="349">
        <f t="shared" ref="R55:R61" si="19">IF(M55="",K55-N55,0)</f>
        <v>0</v>
      </c>
      <c r="S55" s="349"/>
      <c r="T55" s="168"/>
    </row>
    <row r="56" spans="1:20" s="31" customFormat="1" outlineLevel="1" x14ac:dyDescent="0.2">
      <c r="A56" s="329" t="s">
        <v>37</v>
      </c>
      <c r="B56" s="417"/>
      <c r="C56" s="407"/>
      <c r="D56" s="407"/>
      <c r="E56" s="407"/>
      <c r="F56" s="418"/>
      <c r="G56" s="407"/>
      <c r="H56" s="943"/>
      <c r="I56" s="957"/>
      <c r="J56" s="343">
        <f t="shared" ref="J56:J61" si="20">K56/$I$54+J55</f>
        <v>0.36399998324930061</v>
      </c>
      <c r="K56" s="344">
        <v>7641.4699999999993</v>
      </c>
      <c r="L56" s="345">
        <v>2</v>
      </c>
      <c r="M56" s="342">
        <v>41227</v>
      </c>
      <c r="N56" s="346">
        <v>7641.4699999999993</v>
      </c>
      <c r="O56" s="347">
        <v>41317</v>
      </c>
      <c r="P56" s="405">
        <f t="shared" si="17"/>
        <v>90</v>
      </c>
      <c r="Q56" s="349" t="str">
        <f t="shared" si="18"/>
        <v/>
      </c>
      <c r="R56" s="349">
        <f t="shared" si="19"/>
        <v>0</v>
      </c>
      <c r="S56" s="349"/>
      <c r="T56" s="168"/>
    </row>
    <row r="57" spans="1:20" s="31" customFormat="1" outlineLevel="1" x14ac:dyDescent="0.2">
      <c r="A57" s="329" t="s">
        <v>37</v>
      </c>
      <c r="B57" s="417"/>
      <c r="C57" s="407"/>
      <c r="D57" s="407"/>
      <c r="E57" s="407"/>
      <c r="F57" s="418"/>
      <c r="G57" s="407"/>
      <c r="H57" s="943"/>
      <c r="I57" s="957"/>
      <c r="J57" s="343">
        <f t="shared" si="20"/>
        <v>0.49319996984874115</v>
      </c>
      <c r="K57" s="344">
        <v>15426.220000000001</v>
      </c>
      <c r="L57" s="345">
        <v>3</v>
      </c>
      <c r="M57" s="342">
        <v>41348</v>
      </c>
      <c r="N57" s="346">
        <v>15426.220000000001</v>
      </c>
      <c r="O57" s="347">
        <v>41416</v>
      </c>
      <c r="P57" s="405">
        <f t="shared" si="17"/>
        <v>68</v>
      </c>
      <c r="Q57" s="349" t="str">
        <f t="shared" si="18"/>
        <v/>
      </c>
      <c r="R57" s="349">
        <f t="shared" si="19"/>
        <v>0</v>
      </c>
      <c r="S57" s="349"/>
      <c r="T57" s="168"/>
    </row>
    <row r="58" spans="1:20" s="31" customFormat="1" outlineLevel="1" x14ac:dyDescent="0.2">
      <c r="A58" s="329" t="s">
        <v>37</v>
      </c>
      <c r="B58" s="417"/>
      <c r="C58" s="407"/>
      <c r="D58" s="407"/>
      <c r="E58" s="407"/>
      <c r="F58" s="418"/>
      <c r="G58" s="407"/>
      <c r="H58" s="943"/>
      <c r="I58" s="957"/>
      <c r="J58" s="343">
        <f t="shared" si="20"/>
        <v>0.63489999832493005</v>
      </c>
      <c r="K58" s="344">
        <v>16918.7</v>
      </c>
      <c r="L58" s="345">
        <v>4</v>
      </c>
      <c r="M58" s="342">
        <v>41463</v>
      </c>
      <c r="N58" s="346">
        <v>16918.7</v>
      </c>
      <c r="O58" s="347">
        <v>41522</v>
      </c>
      <c r="P58" s="405">
        <f t="shared" si="17"/>
        <v>59</v>
      </c>
      <c r="Q58" s="349" t="str">
        <f t="shared" si="18"/>
        <v/>
      </c>
      <c r="R58" s="349">
        <f t="shared" si="19"/>
        <v>0</v>
      </c>
      <c r="S58" s="349"/>
      <c r="T58" s="168"/>
    </row>
    <row r="59" spans="1:20" s="31" customFormat="1" outlineLevel="1" x14ac:dyDescent="0.2">
      <c r="A59" s="329" t="s">
        <v>37</v>
      </c>
      <c r="B59" s="417"/>
      <c r="C59" s="407"/>
      <c r="D59" s="407"/>
      <c r="E59" s="407"/>
      <c r="F59" s="418"/>
      <c r="G59" s="407"/>
      <c r="H59" s="943"/>
      <c r="I59" s="957"/>
      <c r="J59" s="343">
        <f t="shared" si="20"/>
        <v>0.72769996147339144</v>
      </c>
      <c r="K59" s="344">
        <v>11080.130000000001</v>
      </c>
      <c r="L59" s="345">
        <v>5</v>
      </c>
      <c r="M59" s="342">
        <v>41547</v>
      </c>
      <c r="N59" s="346">
        <v>11080.130000000001</v>
      </c>
      <c r="O59" s="347">
        <v>41582</v>
      </c>
      <c r="P59" s="405">
        <f t="shared" si="17"/>
        <v>35</v>
      </c>
      <c r="Q59" s="349" t="str">
        <f t="shared" si="18"/>
        <v/>
      </c>
      <c r="R59" s="349">
        <f t="shared" si="19"/>
        <v>0</v>
      </c>
      <c r="S59" s="349"/>
      <c r="T59" s="168"/>
    </row>
    <row r="60" spans="1:20" s="31" customFormat="1" outlineLevel="1" x14ac:dyDescent="0.2">
      <c r="A60" s="329" t="s">
        <v>37</v>
      </c>
      <c r="B60" s="417"/>
      <c r="C60" s="407"/>
      <c r="D60" s="407"/>
      <c r="E60" s="407"/>
      <c r="F60" s="418"/>
      <c r="G60" s="407"/>
      <c r="H60" s="943"/>
      <c r="I60" s="957"/>
      <c r="J60" s="343">
        <f t="shared" si="20"/>
        <v>0.79999999999999993</v>
      </c>
      <c r="K60" s="344">
        <v>8632.48</v>
      </c>
      <c r="L60" s="345">
        <v>6</v>
      </c>
      <c r="M60" s="342">
        <v>41697</v>
      </c>
      <c r="N60" s="346">
        <v>8632.48</v>
      </c>
      <c r="O60" s="347">
        <v>41859</v>
      </c>
      <c r="P60" s="405">
        <f t="shared" si="17"/>
        <v>162</v>
      </c>
      <c r="Q60" s="349" t="str">
        <f t="shared" si="18"/>
        <v/>
      </c>
      <c r="R60" s="349">
        <f t="shared" si="19"/>
        <v>0</v>
      </c>
      <c r="S60" s="349"/>
      <c r="T60" s="168"/>
    </row>
    <row r="61" spans="1:20" s="31" customFormat="1" outlineLevel="1" x14ac:dyDescent="0.2">
      <c r="A61" s="329" t="s">
        <v>37</v>
      </c>
      <c r="B61" s="417"/>
      <c r="C61" s="407"/>
      <c r="D61" s="407"/>
      <c r="E61" s="407"/>
      <c r="F61" s="418"/>
      <c r="G61" s="407"/>
      <c r="H61" s="943"/>
      <c r="I61" s="957"/>
      <c r="J61" s="343">
        <f t="shared" si="20"/>
        <v>0.99999999999999989</v>
      </c>
      <c r="K61" s="344">
        <f>I54-SUM(K55:K60)</f>
        <v>23879.599999999991</v>
      </c>
      <c r="L61" s="345">
        <v>7</v>
      </c>
      <c r="M61" s="342">
        <v>42423</v>
      </c>
      <c r="N61" s="346">
        <v>23879.599999999999</v>
      </c>
      <c r="O61" s="347">
        <v>42520</v>
      </c>
      <c r="P61" s="405">
        <f t="shared" si="17"/>
        <v>97</v>
      </c>
      <c r="Q61" s="349" t="str">
        <f t="shared" si="18"/>
        <v/>
      </c>
      <c r="R61" s="349">
        <f t="shared" si="19"/>
        <v>0</v>
      </c>
      <c r="S61" s="349"/>
      <c r="T61" s="168"/>
    </row>
    <row r="62" spans="1:20" s="8" customFormat="1" x14ac:dyDescent="0.2">
      <c r="A62" s="320" t="s">
        <v>37</v>
      </c>
      <c r="B62" s="393" t="s">
        <v>208</v>
      </c>
      <c r="C62" s="321">
        <v>40722</v>
      </c>
      <c r="D62" s="321">
        <f>DATE(YEAR(C62),MONTH(C62)+18,DAY(C62))</f>
        <v>41271</v>
      </c>
      <c r="E62" s="321">
        <v>40889</v>
      </c>
      <c r="F62" s="419">
        <v>40939</v>
      </c>
      <c r="G62" s="321">
        <f>DATE(YEAR(C62)+4,MONTH(C62),DAY(C62))</f>
        <v>42183</v>
      </c>
      <c r="H62" s="944">
        <v>41689</v>
      </c>
      <c r="I62" s="323">
        <v>380000</v>
      </c>
      <c r="J62" s="322"/>
      <c r="K62" s="323"/>
      <c r="L62" s="324"/>
      <c r="M62" s="327"/>
      <c r="N62" s="325">
        <f>SUM(N63:N69)</f>
        <v>380000</v>
      </c>
      <c r="O62" s="326"/>
      <c r="P62" s="420"/>
      <c r="Q62" s="328">
        <f>SUM(Q63:Q69)</f>
        <v>0</v>
      </c>
      <c r="R62" s="328">
        <f>SUM(R63:R69)</f>
        <v>0</v>
      </c>
      <c r="S62" s="328"/>
      <c r="T62" s="165">
        <f>I62-(N62+Q62+R62)</f>
        <v>0</v>
      </c>
    </row>
    <row r="63" spans="1:20" s="26" customFormat="1" outlineLevel="1" x14ac:dyDescent="0.2">
      <c r="A63" s="329" t="s">
        <v>37</v>
      </c>
      <c r="B63" s="348"/>
      <c r="C63" s="407" t="s">
        <v>197</v>
      </c>
      <c r="D63" s="342"/>
      <c r="E63" s="342"/>
      <c r="F63" s="421"/>
      <c r="G63" s="342"/>
      <c r="H63" s="941"/>
      <c r="I63" s="408"/>
      <c r="J63" s="343">
        <f>K63/$I$62</f>
        <v>0.3</v>
      </c>
      <c r="K63" s="344">
        <v>114000</v>
      </c>
      <c r="L63" s="345">
        <v>1</v>
      </c>
      <c r="M63" s="342">
        <v>40953</v>
      </c>
      <c r="N63" s="346">
        <v>114000</v>
      </c>
      <c r="O63" s="347">
        <v>41023</v>
      </c>
      <c r="P63" s="405">
        <f t="shared" ref="P63:P69" si="21">IF(O63="",$R$2-M63,O63-M63)</f>
        <v>70</v>
      </c>
      <c r="Q63" s="349" t="str">
        <f t="shared" ref="Q63:Q69" si="22">IF(N63="en attente",K63,"")</f>
        <v/>
      </c>
      <c r="R63" s="349">
        <f t="shared" ref="R63:R69" si="23">IF(M63="",K63-N63,0)</f>
        <v>0</v>
      </c>
      <c r="S63" s="349"/>
      <c r="T63" s="162"/>
    </row>
    <row r="64" spans="1:20" s="26" customFormat="1" outlineLevel="1" x14ac:dyDescent="0.2">
      <c r="A64" s="329" t="s">
        <v>37</v>
      </c>
      <c r="B64" s="348"/>
      <c r="C64" s="342"/>
      <c r="D64" s="342"/>
      <c r="E64" s="342"/>
      <c r="F64" s="421"/>
      <c r="G64" s="342"/>
      <c r="H64" s="941"/>
      <c r="I64" s="408"/>
      <c r="J64" s="343">
        <f t="shared" ref="J64:J69" si="24">K64/$I$62+J63</f>
        <v>0.36399999999999999</v>
      </c>
      <c r="K64" s="344">
        <v>24320</v>
      </c>
      <c r="L64" s="345">
        <v>2</v>
      </c>
      <c r="M64" s="342">
        <v>41227</v>
      </c>
      <c r="N64" s="346">
        <v>24320</v>
      </c>
      <c r="O64" s="347">
        <v>41317</v>
      </c>
      <c r="P64" s="405">
        <f t="shared" si="21"/>
        <v>90</v>
      </c>
      <c r="Q64" s="349" t="str">
        <f t="shared" si="22"/>
        <v/>
      </c>
      <c r="R64" s="349">
        <f t="shared" si="23"/>
        <v>0</v>
      </c>
      <c r="S64" s="349"/>
      <c r="T64" s="162"/>
    </row>
    <row r="65" spans="1:20" s="26" customFormat="1" outlineLevel="1" x14ac:dyDescent="0.2">
      <c r="A65" s="329" t="s">
        <v>37</v>
      </c>
      <c r="B65" s="348"/>
      <c r="C65" s="342"/>
      <c r="D65" s="342"/>
      <c r="E65" s="342"/>
      <c r="F65" s="421"/>
      <c r="G65" s="342"/>
      <c r="H65" s="941"/>
      <c r="I65" s="408"/>
      <c r="J65" s="343">
        <f t="shared" si="24"/>
        <v>0.49670000000000003</v>
      </c>
      <c r="K65" s="344">
        <v>50426</v>
      </c>
      <c r="L65" s="345">
        <v>3</v>
      </c>
      <c r="M65" s="342">
        <v>41348</v>
      </c>
      <c r="N65" s="346">
        <v>50426</v>
      </c>
      <c r="O65" s="347">
        <v>41416</v>
      </c>
      <c r="P65" s="405">
        <f t="shared" si="21"/>
        <v>68</v>
      </c>
      <c r="Q65" s="349" t="str">
        <f t="shared" si="22"/>
        <v/>
      </c>
      <c r="R65" s="349">
        <f t="shared" si="23"/>
        <v>0</v>
      </c>
      <c r="S65" s="349"/>
      <c r="T65" s="162"/>
    </row>
    <row r="66" spans="1:20" s="26" customFormat="1" outlineLevel="1" x14ac:dyDescent="0.2">
      <c r="A66" s="329" t="s">
        <v>37</v>
      </c>
      <c r="B66" s="348"/>
      <c r="C66" s="342"/>
      <c r="D66" s="342"/>
      <c r="E66" s="342"/>
      <c r="F66" s="421"/>
      <c r="G66" s="342"/>
      <c r="H66" s="941"/>
      <c r="I66" s="408"/>
      <c r="J66" s="343">
        <f t="shared" si="24"/>
        <v>0.63929999999999998</v>
      </c>
      <c r="K66" s="344">
        <v>54188</v>
      </c>
      <c r="L66" s="345">
        <v>4</v>
      </c>
      <c r="M66" s="342">
        <v>41463</v>
      </c>
      <c r="N66" s="346">
        <v>54188</v>
      </c>
      <c r="O66" s="347">
        <v>41522</v>
      </c>
      <c r="P66" s="405">
        <f t="shared" si="21"/>
        <v>59</v>
      </c>
      <c r="Q66" s="349" t="str">
        <f t="shared" si="22"/>
        <v/>
      </c>
      <c r="R66" s="349">
        <f t="shared" si="23"/>
        <v>0</v>
      </c>
      <c r="S66" s="349"/>
      <c r="T66" s="162"/>
    </row>
    <row r="67" spans="1:20" s="26" customFormat="1" outlineLevel="1" x14ac:dyDescent="0.2">
      <c r="A67" s="329" t="s">
        <v>37</v>
      </c>
      <c r="B67" s="348"/>
      <c r="C67" s="342"/>
      <c r="D67" s="342"/>
      <c r="E67" s="342"/>
      <c r="F67" s="421"/>
      <c r="G67" s="342"/>
      <c r="H67" s="941"/>
      <c r="I67" s="408"/>
      <c r="J67" s="343">
        <f t="shared" si="24"/>
        <v>0.73280000000000001</v>
      </c>
      <c r="K67" s="344">
        <v>35530</v>
      </c>
      <c r="L67" s="345">
        <v>5</v>
      </c>
      <c r="M67" s="342">
        <v>41547</v>
      </c>
      <c r="N67" s="346">
        <v>35530</v>
      </c>
      <c r="O67" s="347">
        <v>41582</v>
      </c>
      <c r="P67" s="405">
        <f t="shared" si="21"/>
        <v>35</v>
      </c>
      <c r="Q67" s="349" t="str">
        <f t="shared" si="22"/>
        <v/>
      </c>
      <c r="R67" s="349">
        <f t="shared" si="23"/>
        <v>0</v>
      </c>
      <c r="S67" s="349"/>
      <c r="T67" s="162"/>
    </row>
    <row r="68" spans="1:20" s="26" customFormat="1" outlineLevel="1" x14ac:dyDescent="0.2">
      <c r="A68" s="329" t="s">
        <v>37</v>
      </c>
      <c r="B68" s="348"/>
      <c r="C68" s="342"/>
      <c r="D68" s="342"/>
      <c r="E68" s="342"/>
      <c r="F68" s="421"/>
      <c r="G68" s="342"/>
      <c r="H68" s="941"/>
      <c r="I68" s="408"/>
      <c r="J68" s="343">
        <f t="shared" si="24"/>
        <v>0.8</v>
      </c>
      <c r="K68" s="344">
        <v>25536</v>
      </c>
      <c r="L68" s="345">
        <v>6</v>
      </c>
      <c r="M68" s="342">
        <v>41697</v>
      </c>
      <c r="N68" s="346">
        <v>25536</v>
      </c>
      <c r="O68" s="347">
        <v>41859</v>
      </c>
      <c r="P68" s="405">
        <f t="shared" si="21"/>
        <v>162</v>
      </c>
      <c r="Q68" s="349" t="str">
        <f t="shared" si="22"/>
        <v/>
      </c>
      <c r="R68" s="349">
        <f t="shared" si="23"/>
        <v>0</v>
      </c>
      <c r="S68" s="349"/>
      <c r="T68" s="162"/>
    </row>
    <row r="69" spans="1:20" s="26" customFormat="1" outlineLevel="1" x14ac:dyDescent="0.2">
      <c r="A69" s="351" t="s">
        <v>37</v>
      </c>
      <c r="B69" s="358"/>
      <c r="C69" s="353"/>
      <c r="D69" s="353"/>
      <c r="E69" s="353"/>
      <c r="F69" s="422"/>
      <c r="G69" s="353"/>
      <c r="H69" s="942"/>
      <c r="I69" s="408"/>
      <c r="J69" s="423">
        <f t="shared" si="24"/>
        <v>1</v>
      </c>
      <c r="K69" s="354">
        <v>76000</v>
      </c>
      <c r="L69" s="355">
        <v>7</v>
      </c>
      <c r="M69" s="353">
        <v>42423</v>
      </c>
      <c r="N69" s="356">
        <v>76000</v>
      </c>
      <c r="O69" s="357">
        <v>42520</v>
      </c>
      <c r="P69" s="424">
        <f t="shared" si="21"/>
        <v>97</v>
      </c>
      <c r="Q69" s="359" t="str">
        <f t="shared" si="22"/>
        <v/>
      </c>
      <c r="R69" s="359">
        <f t="shared" si="23"/>
        <v>0</v>
      </c>
      <c r="S69" s="359"/>
      <c r="T69" s="162"/>
    </row>
    <row r="70" spans="1:20" s="106" customFormat="1" x14ac:dyDescent="0.2">
      <c r="A70" s="397" t="s">
        <v>40</v>
      </c>
      <c r="B70" s="401" t="s">
        <v>206</v>
      </c>
      <c r="C70" s="409">
        <v>40884</v>
      </c>
      <c r="D70" s="321">
        <f>DATE(YEAR(C70),MONTH(C70)+18,DAY(C70))</f>
        <v>41432</v>
      </c>
      <c r="E70" s="409">
        <v>40903</v>
      </c>
      <c r="F70" s="414">
        <v>40970</v>
      </c>
      <c r="G70" s="321">
        <f>DATE(YEAR(C70)+4,MONTH(C70),DAY(C70))</f>
        <v>42345</v>
      </c>
      <c r="H70" s="944">
        <v>41627</v>
      </c>
      <c r="I70" s="323">
        <v>620464</v>
      </c>
      <c r="J70" s="404"/>
      <c r="K70" s="399"/>
      <c r="L70" s="410"/>
      <c r="M70" s="409"/>
      <c r="N70" s="402">
        <f>SUM(N71:N77)</f>
        <v>620464</v>
      </c>
      <c r="O70" s="415"/>
      <c r="P70" s="416"/>
      <c r="Q70" s="411">
        <f>SUM(Q71:Q77)</f>
        <v>0</v>
      </c>
      <c r="R70" s="411">
        <f>SUM(R71:R77)</f>
        <v>0</v>
      </c>
      <c r="S70" s="411"/>
      <c r="T70" s="165">
        <f>I70-(N70+Q70+R70)</f>
        <v>0</v>
      </c>
    </row>
    <row r="71" spans="1:20" s="26" customFormat="1" outlineLevel="1" x14ac:dyDescent="0.2">
      <c r="A71" s="329" t="s">
        <v>40</v>
      </c>
      <c r="B71" s="348"/>
      <c r="C71" s="407" t="s">
        <v>197</v>
      </c>
      <c r="D71" s="342"/>
      <c r="E71" s="342"/>
      <c r="F71" s="421"/>
      <c r="G71" s="342"/>
      <c r="H71" s="941"/>
      <c r="I71" s="408"/>
      <c r="J71" s="343">
        <f>K71/$I$70</f>
        <v>0.30000000000000004</v>
      </c>
      <c r="K71" s="344">
        <v>186139.2</v>
      </c>
      <c r="L71" s="345">
        <v>1</v>
      </c>
      <c r="M71" s="342">
        <v>41003</v>
      </c>
      <c r="N71" s="346">
        <v>186139.2</v>
      </c>
      <c r="O71" s="347">
        <v>41065</v>
      </c>
      <c r="P71" s="405">
        <f t="shared" ref="P71:P77" si="25">IF(O71="",$R$2-M71,O71-M71)</f>
        <v>62</v>
      </c>
      <c r="Q71" s="349" t="str">
        <f t="shared" ref="Q71:Q77" si="26">IF(N71="en attente",K71,"")</f>
        <v/>
      </c>
      <c r="R71" s="349">
        <f t="shared" ref="R71:R77" si="27">IF(M71="",K71-N71,0)</f>
        <v>0</v>
      </c>
      <c r="S71" s="349"/>
      <c r="T71" s="162"/>
    </row>
    <row r="72" spans="1:20" s="26" customFormat="1" outlineLevel="1" x14ac:dyDescent="0.2">
      <c r="A72" s="329" t="s">
        <v>40</v>
      </c>
      <c r="B72" s="348"/>
      <c r="C72" s="342"/>
      <c r="D72" s="342"/>
      <c r="E72" s="342"/>
      <c r="F72" s="421"/>
      <c r="G72" s="342"/>
      <c r="H72" s="941"/>
      <c r="I72" s="408"/>
      <c r="J72" s="343">
        <f t="shared" ref="J72:J77" si="28">K72/$I$70+J71</f>
        <v>0.37989999419789067</v>
      </c>
      <c r="K72" s="344">
        <v>49575.07</v>
      </c>
      <c r="L72" s="345">
        <v>2</v>
      </c>
      <c r="M72" s="342">
        <v>41235</v>
      </c>
      <c r="N72" s="346">
        <v>49575.07</v>
      </c>
      <c r="O72" s="347">
        <v>41317</v>
      </c>
      <c r="P72" s="405">
        <f t="shared" si="25"/>
        <v>82</v>
      </c>
      <c r="Q72" s="349" t="str">
        <f t="shared" si="26"/>
        <v/>
      </c>
      <c r="R72" s="349">
        <f t="shared" si="27"/>
        <v>0</v>
      </c>
      <c r="S72" s="349"/>
      <c r="T72" s="162"/>
    </row>
    <row r="73" spans="1:20" s="26" customFormat="1" outlineLevel="1" x14ac:dyDescent="0.2">
      <c r="A73" s="329" t="s">
        <v>40</v>
      </c>
      <c r="B73" s="348"/>
      <c r="C73" s="342"/>
      <c r="D73" s="342"/>
      <c r="E73" s="342"/>
      <c r="F73" s="421"/>
      <c r="G73" s="342"/>
      <c r="H73" s="941"/>
      <c r="I73" s="408"/>
      <c r="J73" s="343">
        <f t="shared" si="28"/>
        <v>0.52579999806596356</v>
      </c>
      <c r="K73" s="344">
        <v>90525.7</v>
      </c>
      <c r="L73" s="345">
        <v>3</v>
      </c>
      <c r="M73" s="342">
        <v>41313</v>
      </c>
      <c r="N73" s="346">
        <v>90525.7</v>
      </c>
      <c r="O73" s="347">
        <v>41388</v>
      </c>
      <c r="P73" s="405">
        <f t="shared" si="25"/>
        <v>75</v>
      </c>
      <c r="Q73" s="349" t="str">
        <f t="shared" si="26"/>
        <v/>
      </c>
      <c r="R73" s="349">
        <f t="shared" si="27"/>
        <v>0</v>
      </c>
      <c r="S73" s="349"/>
      <c r="T73" s="162"/>
    </row>
    <row r="74" spans="1:20" s="26" customFormat="1" outlineLevel="1" x14ac:dyDescent="0.2">
      <c r="A74" s="329" t="s">
        <v>40</v>
      </c>
      <c r="B74" s="348"/>
      <c r="C74" s="342"/>
      <c r="D74" s="342"/>
      <c r="E74" s="342"/>
      <c r="F74" s="421"/>
      <c r="G74" s="342"/>
      <c r="H74" s="941"/>
      <c r="I74" s="408"/>
      <c r="J74" s="343">
        <f t="shared" si="28"/>
        <v>0.59159999613192715</v>
      </c>
      <c r="K74" s="344">
        <v>40826.53</v>
      </c>
      <c r="L74" s="345">
        <v>4</v>
      </c>
      <c r="M74" s="342">
        <v>41361</v>
      </c>
      <c r="N74" s="346">
        <v>40826.53</v>
      </c>
      <c r="O74" s="347">
        <v>41416</v>
      </c>
      <c r="P74" s="405">
        <f t="shared" si="25"/>
        <v>55</v>
      </c>
      <c r="Q74" s="349" t="str">
        <f t="shared" si="26"/>
        <v/>
      </c>
      <c r="R74" s="349">
        <f t="shared" si="27"/>
        <v>0</v>
      </c>
      <c r="S74" s="349"/>
      <c r="T74" s="162"/>
    </row>
    <row r="75" spans="1:20" s="26" customFormat="1" outlineLevel="1" x14ac:dyDescent="0.2">
      <c r="A75" s="329" t="s">
        <v>40</v>
      </c>
      <c r="B75" s="348"/>
      <c r="C75" s="342"/>
      <c r="D75" s="342"/>
      <c r="E75" s="342"/>
      <c r="F75" s="421"/>
      <c r="G75" s="342"/>
      <c r="H75" s="941"/>
      <c r="I75" s="408"/>
      <c r="J75" s="343">
        <f t="shared" si="28"/>
        <v>0.69980000451275182</v>
      </c>
      <c r="K75" s="344">
        <v>67134.209999999992</v>
      </c>
      <c r="L75" s="345">
        <v>5</v>
      </c>
      <c r="M75" s="342">
        <v>41423</v>
      </c>
      <c r="N75" s="346">
        <v>67134.209999999992</v>
      </c>
      <c r="O75" s="347">
        <v>41473</v>
      </c>
      <c r="P75" s="405">
        <f t="shared" si="25"/>
        <v>50</v>
      </c>
      <c r="Q75" s="349" t="str">
        <f t="shared" si="26"/>
        <v/>
      </c>
      <c r="R75" s="349">
        <f t="shared" si="27"/>
        <v>0</v>
      </c>
      <c r="S75" s="349"/>
      <c r="T75" s="162"/>
    </row>
    <row r="76" spans="1:20" s="26" customFormat="1" outlineLevel="1" x14ac:dyDescent="0.2">
      <c r="A76" s="329" t="s">
        <v>40</v>
      </c>
      <c r="B76" s="348"/>
      <c r="C76" s="342"/>
      <c r="D76" s="342"/>
      <c r="E76" s="342"/>
      <c r="F76" s="421"/>
      <c r="G76" s="342"/>
      <c r="H76" s="941"/>
      <c r="I76" s="408"/>
      <c r="J76" s="343">
        <f t="shared" si="28"/>
        <v>0.8</v>
      </c>
      <c r="K76" s="344">
        <v>62170.490000000005</v>
      </c>
      <c r="L76" s="345">
        <v>6</v>
      </c>
      <c r="M76" s="342">
        <v>41463</v>
      </c>
      <c r="N76" s="346">
        <v>62170.490000000005</v>
      </c>
      <c r="O76" s="347">
        <v>41522</v>
      </c>
      <c r="P76" s="405">
        <f t="shared" si="25"/>
        <v>59</v>
      </c>
      <c r="Q76" s="349" t="str">
        <f t="shared" si="26"/>
        <v/>
      </c>
      <c r="R76" s="349">
        <f t="shared" si="27"/>
        <v>0</v>
      </c>
      <c r="S76" s="349"/>
      <c r="T76" s="162"/>
    </row>
    <row r="77" spans="1:20" s="26" customFormat="1" outlineLevel="1" x14ac:dyDescent="0.2">
      <c r="A77" s="329" t="s">
        <v>40</v>
      </c>
      <c r="B77" s="348"/>
      <c r="C77" s="342"/>
      <c r="D77" s="342"/>
      <c r="E77" s="342"/>
      <c r="F77" s="421"/>
      <c r="G77" s="342"/>
      <c r="H77" s="941"/>
      <c r="I77" s="408"/>
      <c r="J77" s="343">
        <f t="shared" si="28"/>
        <v>1</v>
      </c>
      <c r="K77" s="344">
        <v>124092.8</v>
      </c>
      <c r="L77" s="345">
        <v>7</v>
      </c>
      <c r="M77" s="342">
        <v>42318</v>
      </c>
      <c r="N77" s="346">
        <v>124092.8</v>
      </c>
      <c r="O77" s="347">
        <v>42558</v>
      </c>
      <c r="P77" s="405">
        <f t="shared" si="25"/>
        <v>240</v>
      </c>
      <c r="Q77" s="349" t="str">
        <f t="shared" si="26"/>
        <v/>
      </c>
      <c r="R77" s="349">
        <f t="shared" si="27"/>
        <v>0</v>
      </c>
      <c r="S77" s="349"/>
      <c r="T77" s="162"/>
    </row>
    <row r="78" spans="1:20" s="106" customFormat="1" x14ac:dyDescent="0.2">
      <c r="A78" s="320" t="s">
        <v>42</v>
      </c>
      <c r="B78" s="327"/>
      <c r="C78" s="321">
        <v>40848</v>
      </c>
      <c r="D78" s="321">
        <f>DATE(YEAR(C78),MONTH(C78)+18,DAY(C78))</f>
        <v>41395</v>
      </c>
      <c r="E78" s="321"/>
      <c r="F78" s="419">
        <v>40924</v>
      </c>
      <c r="G78" s="321">
        <f>DATE(YEAR(C78)+4,MONTH(C78),DAY(C78))</f>
        <v>42309</v>
      </c>
      <c r="H78" s="944">
        <v>41429</v>
      </c>
      <c r="I78" s="323">
        <v>355000</v>
      </c>
      <c r="J78" s="322"/>
      <c r="K78" s="323"/>
      <c r="L78" s="324"/>
      <c r="M78" s="321"/>
      <c r="N78" s="325">
        <f>SUM(N79:N83)</f>
        <v>355000</v>
      </c>
      <c r="O78" s="326"/>
      <c r="P78" s="420"/>
      <c r="Q78" s="328">
        <f>SUM(Q79:Q83)</f>
        <v>0</v>
      </c>
      <c r="R78" s="328">
        <f>SUM(R79:R83)</f>
        <v>0</v>
      </c>
      <c r="S78" s="328"/>
      <c r="T78" s="165">
        <f>I78-(N78+Q78+R78)</f>
        <v>0</v>
      </c>
    </row>
    <row r="79" spans="1:20" s="26" customFormat="1" outlineLevel="1" x14ac:dyDescent="0.2">
      <c r="A79" s="329" t="s">
        <v>42</v>
      </c>
      <c r="B79" s="348"/>
      <c r="C79" s="342"/>
      <c r="D79" s="342"/>
      <c r="E79" s="342"/>
      <c r="F79" s="421"/>
      <c r="G79" s="342"/>
      <c r="H79" s="941"/>
      <c r="I79" s="408"/>
      <c r="J79" s="343">
        <f>K79/$I$78</f>
        <v>0.3</v>
      </c>
      <c r="K79" s="344">
        <v>106500</v>
      </c>
      <c r="L79" s="345">
        <v>1</v>
      </c>
      <c r="M79" s="342">
        <v>41052</v>
      </c>
      <c r="N79" s="346">
        <v>106500</v>
      </c>
      <c r="O79" s="347">
        <v>41102</v>
      </c>
      <c r="P79" s="405">
        <f>IF(O79="",$R$2-M79,O79-M79)</f>
        <v>50</v>
      </c>
      <c r="Q79" s="349" t="str">
        <f>IF(N79="en attente",K79,"")</f>
        <v/>
      </c>
      <c r="R79" s="349">
        <f>IF(M79="",K79-N79,0)</f>
        <v>0</v>
      </c>
      <c r="S79" s="349"/>
      <c r="T79" s="162"/>
    </row>
    <row r="80" spans="1:20" s="26" customFormat="1" outlineLevel="1" x14ac:dyDescent="0.2">
      <c r="A80" s="329" t="s">
        <v>42</v>
      </c>
      <c r="B80" s="348"/>
      <c r="C80" s="342"/>
      <c r="D80" s="342"/>
      <c r="E80" s="342"/>
      <c r="F80" s="421"/>
      <c r="G80" s="342"/>
      <c r="H80" s="941"/>
      <c r="I80" s="408"/>
      <c r="J80" s="343">
        <f>K80/$I$78+J79</f>
        <v>0.55659999999999998</v>
      </c>
      <c r="K80" s="344">
        <v>91093</v>
      </c>
      <c r="L80" s="345">
        <v>2</v>
      </c>
      <c r="M80" s="342">
        <v>41200</v>
      </c>
      <c r="N80" s="346">
        <v>91093</v>
      </c>
      <c r="O80" s="347">
        <v>41243</v>
      </c>
      <c r="P80" s="405">
        <f>IF(O80="",$R$2-M80,O80-M80)</f>
        <v>43</v>
      </c>
      <c r="Q80" s="349" t="str">
        <f>IF(N80="en attente",K80,"")</f>
        <v/>
      </c>
      <c r="R80" s="349">
        <f>IF(M80="",K80-N80,0)</f>
        <v>0</v>
      </c>
      <c r="S80" s="349"/>
      <c r="T80" s="162"/>
    </row>
    <row r="81" spans="1:20" s="26" customFormat="1" outlineLevel="1" x14ac:dyDescent="0.2">
      <c r="A81" s="329" t="s">
        <v>42</v>
      </c>
      <c r="B81" s="348"/>
      <c r="C81" s="342"/>
      <c r="D81" s="342"/>
      <c r="E81" s="342"/>
      <c r="F81" s="421"/>
      <c r="G81" s="342"/>
      <c r="H81" s="941"/>
      <c r="I81" s="408"/>
      <c r="J81" s="343">
        <f>K81/$I$78+J80</f>
        <v>0.65239999999999998</v>
      </c>
      <c r="K81" s="344">
        <v>34009</v>
      </c>
      <c r="L81" s="345">
        <v>3</v>
      </c>
      <c r="M81" s="342">
        <v>41362</v>
      </c>
      <c r="N81" s="346">
        <v>34009</v>
      </c>
      <c r="O81" s="347">
        <v>41444</v>
      </c>
      <c r="P81" s="405">
        <f>IF(O81="",$R$2-M81,O81-M81)</f>
        <v>82</v>
      </c>
      <c r="Q81" s="349" t="str">
        <f>IF(N81="en attente",K81,"")</f>
        <v/>
      </c>
      <c r="R81" s="349">
        <f>IF(M81="",K81-N81,0)</f>
        <v>0</v>
      </c>
      <c r="S81" s="349"/>
      <c r="T81" s="162"/>
    </row>
    <row r="82" spans="1:20" s="26" customFormat="1" outlineLevel="1" x14ac:dyDescent="0.2">
      <c r="A82" s="329" t="s">
        <v>42</v>
      </c>
      <c r="B82" s="348"/>
      <c r="C82" s="342"/>
      <c r="D82" s="342"/>
      <c r="E82" s="342"/>
      <c r="F82" s="421"/>
      <c r="G82" s="342"/>
      <c r="H82" s="941"/>
      <c r="I82" s="408"/>
      <c r="J82" s="343">
        <f>K82/$I$78+J81</f>
        <v>0.8</v>
      </c>
      <c r="K82" s="344">
        <v>52398</v>
      </c>
      <c r="L82" s="345">
        <v>4</v>
      </c>
      <c r="M82" s="342">
        <v>41466</v>
      </c>
      <c r="N82" s="346">
        <v>52398</v>
      </c>
      <c r="O82" s="347">
        <v>41522</v>
      </c>
      <c r="P82" s="405">
        <f>IF(O82="",$R$2-M82,O82-M82)</f>
        <v>56</v>
      </c>
      <c r="Q82" s="349" t="str">
        <f>IF(N82="en attente",K82,"")</f>
        <v/>
      </c>
      <c r="R82" s="349">
        <f>IF(M82="",K82-N82,0)</f>
        <v>0</v>
      </c>
      <c r="S82" s="349"/>
      <c r="T82" s="162"/>
    </row>
    <row r="83" spans="1:20" s="26" customFormat="1" outlineLevel="1" x14ac:dyDescent="0.2">
      <c r="A83" s="351" t="s">
        <v>42</v>
      </c>
      <c r="B83" s="358"/>
      <c r="C83" s="353"/>
      <c r="D83" s="353"/>
      <c r="E83" s="353"/>
      <c r="F83" s="422"/>
      <c r="G83" s="353"/>
      <c r="H83" s="942"/>
      <c r="I83" s="408"/>
      <c r="J83" s="423">
        <f>K83/$I$78+J82</f>
        <v>1</v>
      </c>
      <c r="K83" s="354">
        <v>71000</v>
      </c>
      <c r="L83" s="355">
        <v>5</v>
      </c>
      <c r="M83" s="353">
        <v>42271</v>
      </c>
      <c r="N83" s="356">
        <v>71000</v>
      </c>
      <c r="O83" s="357">
        <v>42325</v>
      </c>
      <c r="P83" s="424">
        <f>IF(O83="",$R$2-M83,O83-M83)</f>
        <v>54</v>
      </c>
      <c r="Q83" s="359" t="str">
        <f>IF(N83="en attente",K83,"")</f>
        <v/>
      </c>
      <c r="R83" s="359">
        <f>IF(M83="",K83-N83,0)</f>
        <v>0</v>
      </c>
      <c r="S83" s="359"/>
      <c r="T83" s="162"/>
    </row>
    <row r="84" spans="1:20" s="106" customFormat="1" x14ac:dyDescent="0.2">
      <c r="A84" s="397" t="s">
        <v>397</v>
      </c>
      <c r="B84" s="401"/>
      <c r="C84" s="409">
        <v>40848</v>
      </c>
      <c r="D84" s="321">
        <f>DATE(YEAR(C84),MONTH(C84)+18,DAY(C84))</f>
        <v>41395</v>
      </c>
      <c r="E84" s="409"/>
      <c r="F84" s="414">
        <v>40910</v>
      </c>
      <c r="G84" s="321">
        <f>DATE(YEAR(C84)+4,MONTH(C84),DAY(C84))</f>
        <v>42309</v>
      </c>
      <c r="H84" s="944">
        <v>41606</v>
      </c>
      <c r="I84" s="323">
        <v>300000</v>
      </c>
      <c r="J84" s="404"/>
      <c r="K84" s="399"/>
      <c r="L84" s="410"/>
      <c r="M84" s="409"/>
      <c r="N84" s="402">
        <f>SUM(N85:N88)</f>
        <v>300000</v>
      </c>
      <c r="O84" s="415"/>
      <c r="P84" s="425"/>
      <c r="Q84" s="411">
        <f>SUM(Q85:Q88)</f>
        <v>0</v>
      </c>
      <c r="R84" s="411">
        <f>SUM(R85:R88)</f>
        <v>0</v>
      </c>
      <c r="S84" s="411"/>
      <c r="T84" s="165">
        <f>I84-(N84+Q84+R84)</f>
        <v>0</v>
      </c>
    </row>
    <row r="85" spans="1:20" s="26" customFormat="1" outlineLevel="1" x14ac:dyDescent="0.2">
      <c r="A85" s="329" t="s">
        <v>397</v>
      </c>
      <c r="B85" s="348"/>
      <c r="C85" s="342"/>
      <c r="D85" s="342"/>
      <c r="E85" s="342"/>
      <c r="F85" s="421"/>
      <c r="G85" s="342"/>
      <c r="H85" s="941"/>
      <c r="I85" s="408"/>
      <c r="J85" s="343">
        <f>K85/$I$84</f>
        <v>0.3</v>
      </c>
      <c r="K85" s="344">
        <v>90000</v>
      </c>
      <c r="L85" s="345">
        <v>1</v>
      </c>
      <c r="M85" s="342">
        <v>41038</v>
      </c>
      <c r="N85" s="346">
        <v>90000</v>
      </c>
      <c r="O85" s="347">
        <v>41102</v>
      </c>
      <c r="P85" s="405">
        <f>IF(O85="",$R$2-M85,O85-M85)</f>
        <v>64</v>
      </c>
      <c r="Q85" s="349" t="str">
        <f>IF(N85="en attente",K85,"")</f>
        <v/>
      </c>
      <c r="R85" s="349">
        <f>IF(M85="",K85-N85,0)</f>
        <v>0</v>
      </c>
      <c r="S85" s="349"/>
      <c r="T85" s="162"/>
    </row>
    <row r="86" spans="1:20" s="26" customFormat="1" outlineLevel="1" x14ac:dyDescent="0.2">
      <c r="A86" s="329" t="s">
        <v>397</v>
      </c>
      <c r="B86" s="348"/>
      <c r="C86" s="342"/>
      <c r="D86" s="342"/>
      <c r="E86" s="342"/>
      <c r="F86" s="421"/>
      <c r="G86" s="342"/>
      <c r="H86" s="941"/>
      <c r="I86" s="408"/>
      <c r="J86" s="343">
        <f>K86/$I$84+J85</f>
        <v>0.60060000000000002</v>
      </c>
      <c r="K86" s="344">
        <v>90180</v>
      </c>
      <c r="L86" s="345">
        <v>2</v>
      </c>
      <c r="M86" s="342">
        <v>41240</v>
      </c>
      <c r="N86" s="346">
        <v>90180</v>
      </c>
      <c r="O86" s="347">
        <v>41416</v>
      </c>
      <c r="P86" s="405">
        <f>IF(O86="",$R$2-M86,O86-M86)</f>
        <v>176</v>
      </c>
      <c r="Q86" s="349" t="str">
        <f>IF(N86="en attente",K86,"")</f>
        <v/>
      </c>
      <c r="R86" s="349">
        <f>IF(M86="",K86-N86,0)</f>
        <v>0</v>
      </c>
      <c r="S86" s="349"/>
      <c r="T86" s="162"/>
    </row>
    <row r="87" spans="1:20" s="26" customFormat="1" outlineLevel="1" x14ac:dyDescent="0.2">
      <c r="A87" s="329" t="s">
        <v>397</v>
      </c>
      <c r="B87" s="348"/>
      <c r="C87" s="342"/>
      <c r="D87" s="342"/>
      <c r="E87" s="342"/>
      <c r="F87" s="421"/>
      <c r="G87" s="342"/>
      <c r="H87" s="941"/>
      <c r="I87" s="408"/>
      <c r="J87" s="343">
        <f>K87/$I$84+J86</f>
        <v>0.8</v>
      </c>
      <c r="K87" s="344">
        <v>59820</v>
      </c>
      <c r="L87" s="345">
        <v>3</v>
      </c>
      <c r="M87" s="342">
        <v>41423</v>
      </c>
      <c r="N87" s="346">
        <v>59820</v>
      </c>
      <c r="O87" s="347">
        <v>41505</v>
      </c>
      <c r="P87" s="405">
        <f>IF(O87="",$R$2-M87,O87-M87)</f>
        <v>82</v>
      </c>
      <c r="Q87" s="349" t="str">
        <f>IF(N87="en attente",K87,"")</f>
        <v/>
      </c>
      <c r="R87" s="349">
        <f>IF(M87="",K87-N87,0)</f>
        <v>0</v>
      </c>
      <c r="S87" s="349"/>
      <c r="T87" s="162"/>
    </row>
    <row r="88" spans="1:20" s="26" customFormat="1" outlineLevel="1" x14ac:dyDescent="0.2">
      <c r="A88" s="329" t="s">
        <v>397</v>
      </c>
      <c r="B88" s="348"/>
      <c r="C88" s="342"/>
      <c r="D88" s="342"/>
      <c r="E88" s="342"/>
      <c r="F88" s="421"/>
      <c r="G88" s="342"/>
      <c r="H88" s="941"/>
      <c r="I88" s="408"/>
      <c r="J88" s="343">
        <f>K88/$I$84+J87</f>
        <v>1</v>
      </c>
      <c r="K88" s="344">
        <v>60000</v>
      </c>
      <c r="L88" s="345">
        <v>4</v>
      </c>
      <c r="M88" s="342">
        <v>42278</v>
      </c>
      <c r="N88" s="346">
        <v>60000</v>
      </c>
      <c r="O88" s="347">
        <v>42325</v>
      </c>
      <c r="P88" s="405">
        <f>IF(O88="",$R$2-M88,O88-M88)</f>
        <v>47</v>
      </c>
      <c r="Q88" s="349" t="str">
        <f>IF(N88="en attente",K88,"")</f>
        <v/>
      </c>
      <c r="R88" s="349">
        <f>IF(M88="",K88-N88,0)</f>
        <v>0</v>
      </c>
      <c r="S88" s="349"/>
      <c r="T88" s="162"/>
    </row>
    <row r="89" spans="1:20" s="106" customFormat="1" x14ac:dyDescent="0.2">
      <c r="A89" s="320" t="s">
        <v>397</v>
      </c>
      <c r="B89" s="327"/>
      <c r="C89" s="321">
        <v>40848</v>
      </c>
      <c r="D89" s="321">
        <f>DATE(YEAR(C89),MONTH(C89)+18,DAY(C89))</f>
        <v>41395</v>
      </c>
      <c r="E89" s="321"/>
      <c r="F89" s="419">
        <v>40910</v>
      </c>
      <c r="G89" s="321">
        <f>DATE(YEAR(C89)+4,MONTH(C89),DAY(C89))</f>
        <v>42309</v>
      </c>
      <c r="H89" s="944">
        <v>41606</v>
      </c>
      <c r="I89" s="323">
        <v>100000</v>
      </c>
      <c r="J89" s="322"/>
      <c r="K89" s="323"/>
      <c r="L89" s="324"/>
      <c r="M89" s="321"/>
      <c r="N89" s="325">
        <f>SUM(N90:N93)</f>
        <v>100000</v>
      </c>
      <c r="O89" s="326"/>
      <c r="P89" s="420"/>
      <c r="Q89" s="328">
        <f>SUM(Q90:Q93)</f>
        <v>0</v>
      </c>
      <c r="R89" s="328">
        <f>SUM(R90:R93)</f>
        <v>0</v>
      </c>
      <c r="S89" s="328"/>
      <c r="T89" s="165">
        <f>I89-(N89+Q89+R89)</f>
        <v>0</v>
      </c>
    </row>
    <row r="90" spans="1:20" s="26" customFormat="1" outlineLevel="1" x14ac:dyDescent="0.2">
      <c r="A90" s="329" t="s">
        <v>397</v>
      </c>
      <c r="B90" s="348"/>
      <c r="C90" s="342"/>
      <c r="D90" s="342"/>
      <c r="E90" s="342"/>
      <c r="F90" s="421"/>
      <c r="G90" s="342"/>
      <c r="H90" s="941"/>
      <c r="I90" s="408"/>
      <c r="J90" s="343">
        <f>K90/$I$89</f>
        <v>0.3</v>
      </c>
      <c r="K90" s="344">
        <v>30000</v>
      </c>
      <c r="L90" s="345">
        <v>1</v>
      </c>
      <c r="M90" s="342">
        <v>41038</v>
      </c>
      <c r="N90" s="346">
        <v>30000</v>
      </c>
      <c r="O90" s="347">
        <v>41102</v>
      </c>
      <c r="P90" s="405">
        <f>IF(O90="",$R$2-M90,O90-M90)</f>
        <v>64</v>
      </c>
      <c r="Q90" s="349" t="str">
        <f>IF(N90="en attente",K90,"")</f>
        <v/>
      </c>
      <c r="R90" s="349">
        <f>IF(M90="",K90-N90,0)</f>
        <v>0</v>
      </c>
      <c r="S90" s="349"/>
      <c r="T90" s="162"/>
    </row>
    <row r="91" spans="1:20" s="26" customFormat="1" outlineLevel="1" x14ac:dyDescent="0.2">
      <c r="A91" s="329" t="s">
        <v>397</v>
      </c>
      <c r="B91" s="348"/>
      <c r="C91" s="342"/>
      <c r="D91" s="342"/>
      <c r="E91" s="342"/>
      <c r="F91" s="421"/>
      <c r="G91" s="342"/>
      <c r="H91" s="941"/>
      <c r="I91" s="408"/>
      <c r="J91" s="343">
        <f>K91/$I$89+J90</f>
        <v>0.60099999999999998</v>
      </c>
      <c r="K91" s="344">
        <v>30100</v>
      </c>
      <c r="L91" s="345">
        <v>2</v>
      </c>
      <c r="M91" s="342">
        <v>41240</v>
      </c>
      <c r="N91" s="346">
        <v>30100</v>
      </c>
      <c r="O91" s="347">
        <v>41416</v>
      </c>
      <c r="P91" s="405">
        <f>IF(O91="",$R$2-M91,O91-M91)</f>
        <v>176</v>
      </c>
      <c r="Q91" s="349" t="str">
        <f>IF(N91="en attente",K91,"")</f>
        <v/>
      </c>
      <c r="R91" s="349">
        <f>IF(M91="",K91-N91,0)</f>
        <v>0</v>
      </c>
      <c r="S91" s="349"/>
      <c r="T91" s="162"/>
    </row>
    <row r="92" spans="1:20" s="26" customFormat="1" outlineLevel="1" x14ac:dyDescent="0.2">
      <c r="A92" s="329" t="s">
        <v>397</v>
      </c>
      <c r="B92" s="348"/>
      <c r="C92" s="342"/>
      <c r="D92" s="342"/>
      <c r="E92" s="342"/>
      <c r="F92" s="421"/>
      <c r="G92" s="342"/>
      <c r="H92" s="941"/>
      <c r="I92" s="408"/>
      <c r="J92" s="343">
        <f>K92/$I$89+J91</f>
        <v>0.8</v>
      </c>
      <c r="K92" s="344">
        <v>19900</v>
      </c>
      <c r="L92" s="345">
        <v>3</v>
      </c>
      <c r="M92" s="342">
        <v>41423</v>
      </c>
      <c r="N92" s="346">
        <v>19900</v>
      </c>
      <c r="O92" s="347">
        <v>41505</v>
      </c>
      <c r="P92" s="405">
        <f>IF(O92="",$R$2-M92,O92-M92)</f>
        <v>82</v>
      </c>
      <c r="Q92" s="349" t="str">
        <f>IF(N92="en attente",K92,"")</f>
        <v/>
      </c>
      <c r="R92" s="349">
        <f>IF(M92="",K92-N92,0)</f>
        <v>0</v>
      </c>
      <c r="S92" s="349"/>
      <c r="T92" s="162"/>
    </row>
    <row r="93" spans="1:20" s="26" customFormat="1" outlineLevel="1" x14ac:dyDescent="0.2">
      <c r="A93" s="351" t="s">
        <v>397</v>
      </c>
      <c r="B93" s="358"/>
      <c r="C93" s="353"/>
      <c r="D93" s="353"/>
      <c r="E93" s="353"/>
      <c r="F93" s="422"/>
      <c r="G93" s="353"/>
      <c r="H93" s="942"/>
      <c r="I93" s="408"/>
      <c r="J93" s="423">
        <f>K93/$I$89+J92</f>
        <v>1</v>
      </c>
      <c r="K93" s="354">
        <v>20000</v>
      </c>
      <c r="L93" s="355">
        <v>4</v>
      </c>
      <c r="M93" s="353">
        <v>42278</v>
      </c>
      <c r="N93" s="356">
        <v>20000</v>
      </c>
      <c r="O93" s="357">
        <v>42312</v>
      </c>
      <c r="P93" s="424">
        <f>IF(O93="",$R$2-M93,O93-M93)</f>
        <v>34</v>
      </c>
      <c r="Q93" s="359" t="str">
        <f>IF(N93="en attente",K93,"")</f>
        <v/>
      </c>
      <c r="R93" s="359">
        <f>IF(M93="",K93-N93,0)</f>
        <v>0</v>
      </c>
      <c r="S93" s="359"/>
      <c r="T93" s="162"/>
    </row>
    <row r="94" spans="1:20" s="8" customFormat="1" x14ac:dyDescent="0.2">
      <c r="A94" s="320" t="s">
        <v>35</v>
      </c>
      <c r="B94" s="327" t="s">
        <v>166</v>
      </c>
      <c r="C94" s="321">
        <v>41081</v>
      </c>
      <c r="D94" s="321">
        <f>DATE(YEAR(C94),MONTH(C94)+18,DAY(C94))</f>
        <v>41629</v>
      </c>
      <c r="E94" s="321">
        <v>41253</v>
      </c>
      <c r="F94" s="419">
        <v>41309</v>
      </c>
      <c r="G94" s="321">
        <f>DATE(YEAR(C94)+4,MONTH(C94),DAY(C94))</f>
        <v>42542</v>
      </c>
      <c r="H94" s="944">
        <v>41992</v>
      </c>
      <c r="I94" s="323">
        <v>60000</v>
      </c>
      <c r="J94" s="322"/>
      <c r="K94" s="323"/>
      <c r="L94" s="324"/>
      <c r="M94" s="327"/>
      <c r="N94" s="325">
        <f>SUM(N95:N97)</f>
        <v>60000</v>
      </c>
      <c r="O94" s="326"/>
      <c r="P94" s="420"/>
      <c r="Q94" s="328">
        <f>SUM(Q95:Q97)</f>
        <v>0</v>
      </c>
      <c r="R94" s="328">
        <f>SUM(R95:R97)</f>
        <v>0</v>
      </c>
      <c r="S94" s="328"/>
      <c r="T94" s="165">
        <f>I94-(N94+Q94+R94)</f>
        <v>0</v>
      </c>
    </row>
    <row r="95" spans="1:20" s="26" customFormat="1" outlineLevel="1" x14ac:dyDescent="0.2">
      <c r="A95" s="329" t="s">
        <v>35</v>
      </c>
      <c r="B95" s="348"/>
      <c r="C95" s="407" t="s">
        <v>197</v>
      </c>
      <c r="D95" s="342"/>
      <c r="E95" s="342"/>
      <c r="F95" s="421"/>
      <c r="G95" s="342"/>
      <c r="H95" s="941"/>
      <c r="I95" s="408"/>
      <c r="J95" s="343">
        <f>K95/I94</f>
        <v>0.3</v>
      </c>
      <c r="K95" s="344">
        <v>18000</v>
      </c>
      <c r="L95" s="345">
        <v>1</v>
      </c>
      <c r="M95" s="342">
        <v>41313</v>
      </c>
      <c r="N95" s="346">
        <v>18000</v>
      </c>
      <c r="O95" s="347">
        <v>41388</v>
      </c>
      <c r="P95" s="405">
        <f>IF(O95="",$R$2-M95,O95-M95)</f>
        <v>75</v>
      </c>
      <c r="Q95" s="411" t="str">
        <f>IF(N95="en attente",K95,"")</f>
        <v/>
      </c>
      <c r="R95" s="349">
        <f>IF(M95="",K95-N95,0)</f>
        <v>0</v>
      </c>
      <c r="S95" s="452" t="s">
        <v>255</v>
      </c>
      <c r="T95" s="162"/>
    </row>
    <row r="96" spans="1:20" s="26" customFormat="1" outlineLevel="1" x14ac:dyDescent="0.2">
      <c r="A96" s="329" t="s">
        <v>35</v>
      </c>
      <c r="B96" s="348"/>
      <c r="C96" s="407"/>
      <c r="D96" s="342"/>
      <c r="E96" s="342"/>
      <c r="F96" s="421"/>
      <c r="G96" s="342"/>
      <c r="H96" s="941"/>
      <c r="I96" s="408"/>
      <c r="J96" s="343">
        <v>0.8</v>
      </c>
      <c r="K96" s="344">
        <f>I94*J96-K95</f>
        <v>30000</v>
      </c>
      <c r="L96" s="345">
        <v>2</v>
      </c>
      <c r="M96" s="342">
        <v>42803</v>
      </c>
      <c r="N96" s="346">
        <v>30000</v>
      </c>
      <c r="O96" s="347">
        <v>42886</v>
      </c>
      <c r="P96" s="405">
        <f>IF(O96="",$R$2-M96,O96-M96)</f>
        <v>83</v>
      </c>
      <c r="Q96" s="349" t="str">
        <f>IF(N96="en attente",K96,"")</f>
        <v/>
      </c>
      <c r="R96" s="349">
        <f>IF(M96="",K96-N96,0)</f>
        <v>0</v>
      </c>
      <c r="S96" s="452"/>
      <c r="T96" s="162"/>
    </row>
    <row r="97" spans="1:20" s="26" customFormat="1" outlineLevel="1" x14ac:dyDescent="0.2">
      <c r="A97" s="329" t="s">
        <v>35</v>
      </c>
      <c r="B97" s="348"/>
      <c r="C97" s="342"/>
      <c r="D97" s="342"/>
      <c r="E97" s="342"/>
      <c r="F97" s="421"/>
      <c r="G97" s="342"/>
      <c r="H97" s="941"/>
      <c r="I97" s="408"/>
      <c r="J97" s="343">
        <v>1</v>
      </c>
      <c r="K97" s="344">
        <f>I94-K95-K96</f>
        <v>12000</v>
      </c>
      <c r="L97" s="345">
        <v>3</v>
      </c>
      <c r="M97" s="342">
        <v>43077</v>
      </c>
      <c r="N97" s="346">
        <v>12000</v>
      </c>
      <c r="O97" s="357">
        <v>43186</v>
      </c>
      <c r="P97" s="405"/>
      <c r="Q97" s="411" t="str">
        <f>IF(N97="en attente",K97,"")</f>
        <v/>
      </c>
      <c r="R97" s="349">
        <f>IF(M97="",K97-N97,0)</f>
        <v>0</v>
      </c>
      <c r="S97" s="452"/>
      <c r="T97" s="162"/>
    </row>
    <row r="98" spans="1:20" s="106" customFormat="1" x14ac:dyDescent="0.2">
      <c r="A98" s="320" t="s">
        <v>35</v>
      </c>
      <c r="B98" s="327" t="s">
        <v>165</v>
      </c>
      <c r="C98" s="321">
        <v>41053</v>
      </c>
      <c r="D98" s="321">
        <f>DATE(YEAR(C98),MONTH(C98)+18,DAY(C98))</f>
        <v>41602</v>
      </c>
      <c r="E98" s="321">
        <v>41253</v>
      </c>
      <c r="F98" s="419">
        <v>41309</v>
      </c>
      <c r="G98" s="321">
        <f>DATE(YEAR(C98)+4,MONTH(C98),DAY(C98))</f>
        <v>42514</v>
      </c>
      <c r="H98" s="944">
        <v>41992</v>
      </c>
      <c r="I98" s="323">
        <v>1</v>
      </c>
      <c r="J98" s="322"/>
      <c r="K98" s="323"/>
      <c r="L98" s="324"/>
      <c r="M98" s="321"/>
      <c r="N98" s="325">
        <f>SUM(N99)</f>
        <v>0</v>
      </c>
      <c r="O98" s="326"/>
      <c r="P98" s="420"/>
      <c r="Q98" s="328">
        <f>SUM(Q99)</f>
        <v>0</v>
      </c>
      <c r="R98" s="328">
        <f>SUM(R99)</f>
        <v>0</v>
      </c>
      <c r="S98" s="328"/>
      <c r="T98" s="162">
        <f>I98-(N98+Q98+R98)</f>
        <v>1</v>
      </c>
    </row>
    <row r="99" spans="1:20" s="31" customFormat="1" x14ac:dyDescent="0.2">
      <c r="A99" s="329" t="s">
        <v>35</v>
      </c>
      <c r="B99" s="417"/>
      <c r="C99" s="407" t="s">
        <v>197</v>
      </c>
      <c r="D99" s="407"/>
      <c r="E99" s="407"/>
      <c r="F99" s="418"/>
      <c r="G99" s="407"/>
      <c r="H99" s="943"/>
      <c r="I99" s="481"/>
      <c r="J99" s="433"/>
      <c r="K99" s="344">
        <v>1</v>
      </c>
      <c r="L99" s="345">
        <v>1</v>
      </c>
      <c r="M99" s="342">
        <v>43077</v>
      </c>
      <c r="N99" s="346" t="s">
        <v>351</v>
      </c>
      <c r="O99" s="347"/>
      <c r="P99" s="405"/>
      <c r="Q99" s="411" t="str">
        <f>IF(N99="en attente",K99,"")</f>
        <v/>
      </c>
      <c r="R99" s="349">
        <f>IF(M99="",K99-N99,0)</f>
        <v>0</v>
      </c>
      <c r="S99" s="349"/>
      <c r="T99" s="168"/>
    </row>
    <row r="100" spans="1:20" s="106" customFormat="1" x14ac:dyDescent="0.2">
      <c r="A100" s="320" t="s">
        <v>7</v>
      </c>
      <c r="B100" s="327" t="s">
        <v>209</v>
      </c>
      <c r="C100" s="321">
        <v>41177</v>
      </c>
      <c r="D100" s="321">
        <f>DATE(YEAR(C100),MONTH(C100)+18,DAY(C100))</f>
        <v>41723</v>
      </c>
      <c r="E100" s="321">
        <v>41256</v>
      </c>
      <c r="F100" s="419">
        <v>41295</v>
      </c>
      <c r="G100" s="321">
        <f>DATE(YEAR(C100)+4,MONTH(C100),DAY(C100))</f>
        <v>42638</v>
      </c>
      <c r="H100" s="944">
        <v>42326</v>
      </c>
      <c r="I100" s="323">
        <v>558000</v>
      </c>
      <c r="J100" s="322"/>
      <c r="K100" s="323"/>
      <c r="L100" s="324"/>
      <c r="M100" s="321"/>
      <c r="N100" s="325">
        <f>SUM(N101:N107)</f>
        <v>558000</v>
      </c>
      <c r="O100" s="326"/>
      <c r="P100" s="420"/>
      <c r="Q100" s="328">
        <f>SUM(Q101:Q107)</f>
        <v>0</v>
      </c>
      <c r="R100" s="328">
        <f>SUM(R101:R107)</f>
        <v>0</v>
      </c>
      <c r="S100" s="328"/>
      <c r="T100" s="165">
        <f>I100-(N100+Q100+R100)</f>
        <v>0</v>
      </c>
    </row>
    <row r="101" spans="1:20" s="26" customFormat="1" outlineLevel="1" x14ac:dyDescent="0.2">
      <c r="A101" s="329" t="s">
        <v>7</v>
      </c>
      <c r="B101" s="348"/>
      <c r="C101" s="407" t="s">
        <v>197</v>
      </c>
      <c r="D101" s="342"/>
      <c r="E101" s="342"/>
      <c r="F101" s="421"/>
      <c r="G101" s="342"/>
      <c r="H101" s="941"/>
      <c r="I101" s="408"/>
      <c r="J101" s="343">
        <f>K101/$I$100</f>
        <v>0.3</v>
      </c>
      <c r="K101" s="344">
        <v>167400</v>
      </c>
      <c r="L101" s="345">
        <v>1</v>
      </c>
      <c r="M101" s="342">
        <v>41281</v>
      </c>
      <c r="N101" s="346">
        <v>167400</v>
      </c>
      <c r="O101" s="347">
        <v>41415</v>
      </c>
      <c r="P101" s="405">
        <f t="shared" ref="P101:P130" si="29">IF(O101="",$R$2-M101,O101-M101)</f>
        <v>134</v>
      </c>
      <c r="Q101" s="411" t="str">
        <f t="shared" ref="Q101:Q107" si="30">IF(N101="en attente",K101,"")</f>
        <v/>
      </c>
      <c r="R101" s="349">
        <f t="shared" ref="R101:R112" si="31">IF(M101="",K101-N101,0)</f>
        <v>0</v>
      </c>
      <c r="S101" s="349"/>
      <c r="T101" s="162"/>
    </row>
    <row r="102" spans="1:20" s="26" customFormat="1" outlineLevel="1" x14ac:dyDescent="0.2">
      <c r="A102" s="329" t="s">
        <v>7</v>
      </c>
      <c r="B102" s="348"/>
      <c r="C102" s="342"/>
      <c r="D102" s="342"/>
      <c r="E102" s="342"/>
      <c r="F102" s="421"/>
      <c r="G102" s="342"/>
      <c r="H102" s="941"/>
      <c r="I102" s="408"/>
      <c r="J102" s="343">
        <f t="shared" ref="J102:J107" si="32">K102/$I$100+J101</f>
        <v>0.35589999999999999</v>
      </c>
      <c r="K102" s="344">
        <v>31192.2</v>
      </c>
      <c r="L102" s="345">
        <v>2</v>
      </c>
      <c r="M102" s="342">
        <v>41281</v>
      </c>
      <c r="N102" s="346">
        <v>31192.2</v>
      </c>
      <c r="O102" s="347">
        <v>41745</v>
      </c>
      <c r="P102" s="405">
        <f t="shared" si="29"/>
        <v>464</v>
      </c>
      <c r="Q102" s="411" t="str">
        <f t="shared" si="30"/>
        <v/>
      </c>
      <c r="R102" s="349">
        <f t="shared" si="31"/>
        <v>0</v>
      </c>
      <c r="S102" s="349"/>
      <c r="T102" s="162"/>
    </row>
    <row r="103" spans="1:20" s="26" customFormat="1" outlineLevel="1" x14ac:dyDescent="0.2">
      <c r="A103" s="329" t="s">
        <v>7</v>
      </c>
      <c r="B103" s="348"/>
      <c r="C103" s="342"/>
      <c r="D103" s="342"/>
      <c r="E103" s="342"/>
      <c r="F103" s="421"/>
      <c r="G103" s="342"/>
      <c r="H103" s="941"/>
      <c r="I103" s="408"/>
      <c r="J103" s="343">
        <f t="shared" si="32"/>
        <v>0.4375</v>
      </c>
      <c r="K103" s="344">
        <v>45532.800000000003</v>
      </c>
      <c r="L103" s="345">
        <v>3</v>
      </c>
      <c r="M103" s="342">
        <v>41702</v>
      </c>
      <c r="N103" s="346">
        <v>45532.800000000003</v>
      </c>
      <c r="O103" s="347">
        <v>41745</v>
      </c>
      <c r="P103" s="405">
        <f t="shared" si="29"/>
        <v>43</v>
      </c>
      <c r="Q103" s="411" t="str">
        <f t="shared" si="30"/>
        <v/>
      </c>
      <c r="R103" s="349">
        <f t="shared" si="31"/>
        <v>0</v>
      </c>
      <c r="S103" s="349"/>
      <c r="T103" s="162"/>
    </row>
    <row r="104" spans="1:20" s="26" customFormat="1" outlineLevel="1" x14ac:dyDescent="0.2">
      <c r="A104" s="329" t="s">
        <v>7</v>
      </c>
      <c r="B104" s="348"/>
      <c r="C104" s="342"/>
      <c r="D104" s="342"/>
      <c r="E104" s="342"/>
      <c r="F104" s="421"/>
      <c r="G104" s="342"/>
      <c r="H104" s="941"/>
      <c r="I104" s="408"/>
      <c r="J104" s="343">
        <f t="shared" si="32"/>
        <v>0.50639999999999996</v>
      </c>
      <c r="K104" s="344">
        <v>38446.199999999997</v>
      </c>
      <c r="L104" s="345">
        <v>4</v>
      </c>
      <c r="M104" s="342">
        <v>41778</v>
      </c>
      <c r="N104" s="346">
        <v>38446.199999999997</v>
      </c>
      <c r="O104" s="347">
        <v>41863</v>
      </c>
      <c r="P104" s="405">
        <f t="shared" si="29"/>
        <v>85</v>
      </c>
      <c r="Q104" s="411" t="str">
        <f t="shared" si="30"/>
        <v/>
      </c>
      <c r="R104" s="349">
        <f t="shared" si="31"/>
        <v>0</v>
      </c>
      <c r="S104" s="349"/>
      <c r="T104" s="162"/>
    </row>
    <row r="105" spans="1:20" s="26" customFormat="1" outlineLevel="1" x14ac:dyDescent="0.2">
      <c r="A105" s="329" t="s">
        <v>7</v>
      </c>
      <c r="B105" s="348"/>
      <c r="C105" s="342"/>
      <c r="D105" s="342"/>
      <c r="E105" s="342"/>
      <c r="F105" s="421"/>
      <c r="G105" s="342"/>
      <c r="H105" s="941"/>
      <c r="I105" s="408"/>
      <c r="J105" s="343">
        <f t="shared" si="32"/>
        <v>0.57089999999999996</v>
      </c>
      <c r="K105" s="344">
        <v>35991</v>
      </c>
      <c r="L105" s="345">
        <v>5</v>
      </c>
      <c r="M105" s="342">
        <v>41865</v>
      </c>
      <c r="N105" s="346">
        <v>35991</v>
      </c>
      <c r="O105" s="347">
        <v>41921</v>
      </c>
      <c r="P105" s="405">
        <f t="shared" si="29"/>
        <v>56</v>
      </c>
      <c r="Q105" s="411" t="str">
        <f t="shared" si="30"/>
        <v/>
      </c>
      <c r="R105" s="349">
        <f t="shared" si="31"/>
        <v>0</v>
      </c>
      <c r="S105" s="349"/>
      <c r="T105" s="162"/>
    </row>
    <row r="106" spans="1:20" s="26" customFormat="1" outlineLevel="1" x14ac:dyDescent="0.2">
      <c r="A106" s="329" t="s">
        <v>7</v>
      </c>
      <c r="B106" s="348"/>
      <c r="C106" s="342"/>
      <c r="D106" s="342"/>
      <c r="E106" s="342"/>
      <c r="F106" s="421"/>
      <c r="G106" s="342"/>
      <c r="H106" s="941"/>
      <c r="I106" s="408"/>
      <c r="J106" s="545">
        <f t="shared" si="32"/>
        <v>0.78709999999999991</v>
      </c>
      <c r="K106" s="344">
        <v>120639.6</v>
      </c>
      <c r="L106" s="345">
        <v>6</v>
      </c>
      <c r="M106" s="342">
        <v>42221</v>
      </c>
      <c r="N106" s="346">
        <v>120639.6</v>
      </c>
      <c r="O106" s="347">
        <v>42303</v>
      </c>
      <c r="P106" s="405">
        <f t="shared" si="29"/>
        <v>82</v>
      </c>
      <c r="Q106" s="411" t="str">
        <f t="shared" si="30"/>
        <v/>
      </c>
      <c r="R106" s="349">
        <f t="shared" si="31"/>
        <v>0</v>
      </c>
      <c r="S106" s="349" t="s">
        <v>116</v>
      </c>
      <c r="T106" s="162"/>
    </row>
    <row r="107" spans="1:20" s="26" customFormat="1" outlineLevel="1" x14ac:dyDescent="0.2">
      <c r="A107" s="351" t="s">
        <v>7</v>
      </c>
      <c r="B107" s="358"/>
      <c r="C107" s="353"/>
      <c r="D107" s="353"/>
      <c r="E107" s="353"/>
      <c r="F107" s="422"/>
      <c r="G107" s="353"/>
      <c r="H107" s="942"/>
      <c r="I107" s="408"/>
      <c r="J107" s="343">
        <f t="shared" si="32"/>
        <v>0.99999999999999989</v>
      </c>
      <c r="K107" s="354">
        <v>118798.2</v>
      </c>
      <c r="L107" s="355">
        <v>6</v>
      </c>
      <c r="M107" s="353">
        <v>42696</v>
      </c>
      <c r="N107" s="356">
        <v>118798.2</v>
      </c>
      <c r="O107" s="357">
        <v>42920</v>
      </c>
      <c r="P107" s="424">
        <f t="shared" si="29"/>
        <v>224</v>
      </c>
      <c r="Q107" s="411" t="str">
        <f t="shared" si="30"/>
        <v/>
      </c>
      <c r="R107" s="359">
        <f t="shared" si="31"/>
        <v>0</v>
      </c>
      <c r="S107" s="359"/>
      <c r="T107" s="162"/>
    </row>
    <row r="108" spans="1:20" s="106" customFormat="1" x14ac:dyDescent="0.2">
      <c r="A108" s="397" t="s">
        <v>41</v>
      </c>
      <c r="B108" s="401" t="s">
        <v>167</v>
      </c>
      <c r="C108" s="409">
        <v>41170</v>
      </c>
      <c r="D108" s="321">
        <f>DATE(YEAR(C108),MONTH(C108)+18,DAY(C108))</f>
        <v>41716</v>
      </c>
      <c r="E108" s="409">
        <v>41253</v>
      </c>
      <c r="F108" s="414">
        <v>41309</v>
      </c>
      <c r="G108" s="608">
        <v>43360</v>
      </c>
      <c r="H108" s="944">
        <v>42788</v>
      </c>
      <c r="I108" s="323">
        <v>254997</v>
      </c>
      <c r="J108" s="323"/>
      <c r="K108" s="399"/>
      <c r="L108" s="410"/>
      <c r="M108" s="409"/>
      <c r="N108" s="411">
        <f>SUM(N109:N114)</f>
        <v>254997</v>
      </c>
      <c r="O108" s="415"/>
      <c r="P108" s="425"/>
      <c r="Q108" s="412">
        <f>SUM(Q109:Q114)</f>
        <v>0</v>
      </c>
      <c r="R108" s="411">
        <f>SUM(R109:R114)</f>
        <v>0</v>
      </c>
      <c r="S108" s="411"/>
      <c r="T108" s="165">
        <f>I108-(N108+Q108+R108)</f>
        <v>0</v>
      </c>
    </row>
    <row r="109" spans="1:20" s="26" customFormat="1" outlineLevel="1" x14ac:dyDescent="0.2">
      <c r="A109" s="329" t="s">
        <v>41</v>
      </c>
      <c r="B109" s="348"/>
      <c r="C109" s="407" t="s">
        <v>197</v>
      </c>
      <c r="D109" s="342"/>
      <c r="E109" s="342"/>
      <c r="F109" s="421"/>
      <c r="G109" s="407" t="s">
        <v>228</v>
      </c>
      <c r="H109" s="941"/>
      <c r="I109" s="408"/>
      <c r="J109" s="343">
        <f>K109/$I$108</f>
        <v>0.30000000000000004</v>
      </c>
      <c r="K109" s="344">
        <v>76499.100000000006</v>
      </c>
      <c r="L109" s="345">
        <v>1</v>
      </c>
      <c r="M109" s="342">
        <v>41313</v>
      </c>
      <c r="N109" s="346">
        <v>76499.100000000006</v>
      </c>
      <c r="O109" s="347">
        <v>41388</v>
      </c>
      <c r="P109" s="405">
        <f t="shared" si="29"/>
        <v>75</v>
      </c>
      <c r="Q109" s="411" t="str">
        <f>IF(N109="en attente",K109,"")</f>
        <v/>
      </c>
      <c r="R109" s="349">
        <f t="shared" si="31"/>
        <v>0</v>
      </c>
      <c r="S109" s="349"/>
      <c r="T109" s="165"/>
    </row>
    <row r="110" spans="1:20" s="26" customFormat="1" outlineLevel="1" x14ac:dyDescent="0.2">
      <c r="A110" s="329" t="s">
        <v>41</v>
      </c>
      <c r="B110" s="348"/>
      <c r="C110" s="342"/>
      <c r="D110" s="342"/>
      <c r="E110" s="342"/>
      <c r="F110" s="421"/>
      <c r="G110" s="342"/>
      <c r="H110" s="941"/>
      <c r="I110" s="408"/>
      <c r="J110" s="343">
        <f>K110/$I$108+J109</f>
        <v>0.4772000062745837</v>
      </c>
      <c r="K110" s="344">
        <v>45185.47</v>
      </c>
      <c r="L110" s="345">
        <v>2</v>
      </c>
      <c r="M110" s="342">
        <v>41913</v>
      </c>
      <c r="N110" s="346">
        <v>45185.47</v>
      </c>
      <c r="O110" s="347">
        <v>41941</v>
      </c>
      <c r="P110" s="405">
        <f t="shared" si="29"/>
        <v>28</v>
      </c>
      <c r="Q110" s="411" t="str">
        <f>IF(N110="en attente",K110,"")</f>
        <v/>
      </c>
      <c r="R110" s="349">
        <f t="shared" si="31"/>
        <v>0</v>
      </c>
      <c r="S110" s="349"/>
      <c r="T110" s="165"/>
    </row>
    <row r="111" spans="1:20" s="26" customFormat="1" outlineLevel="1" x14ac:dyDescent="0.2">
      <c r="A111" s="329" t="s">
        <v>41</v>
      </c>
      <c r="B111" s="348"/>
      <c r="C111" s="342"/>
      <c r="D111" s="342"/>
      <c r="E111" s="342"/>
      <c r="F111" s="421"/>
      <c r="G111" s="342"/>
      <c r="H111" s="941"/>
      <c r="I111" s="408"/>
      <c r="J111" s="430">
        <f>K111/$I$108+J110</f>
        <v>0.67169998078408777</v>
      </c>
      <c r="K111" s="344">
        <v>49596.91</v>
      </c>
      <c r="L111" s="345">
        <v>3</v>
      </c>
      <c r="M111" s="342">
        <v>42221</v>
      </c>
      <c r="N111" s="346">
        <v>49596.91</v>
      </c>
      <c r="O111" s="347">
        <v>42278</v>
      </c>
      <c r="P111" s="405">
        <f t="shared" si="29"/>
        <v>57</v>
      </c>
      <c r="Q111" s="411" t="str">
        <f>IF(N111="en attente",K111,"")</f>
        <v/>
      </c>
      <c r="R111" s="349">
        <f t="shared" si="31"/>
        <v>0</v>
      </c>
      <c r="S111" s="349"/>
      <c r="T111" s="165" t="s">
        <v>231</v>
      </c>
    </row>
    <row r="112" spans="1:20" s="26" customFormat="1" outlineLevel="1" x14ac:dyDescent="0.2">
      <c r="A112" s="329" t="s">
        <v>41</v>
      </c>
      <c r="B112" s="348"/>
      <c r="C112" s="342"/>
      <c r="D112" s="342"/>
      <c r="E112" s="342"/>
      <c r="F112" s="421"/>
      <c r="G112" s="342"/>
      <c r="H112" s="941"/>
      <c r="I112" s="408"/>
      <c r="J112" s="545">
        <f>K112/$I$108+J111</f>
        <v>0.75013227606599309</v>
      </c>
      <c r="K112" s="344">
        <v>20000</v>
      </c>
      <c r="L112" s="1001">
        <v>4</v>
      </c>
      <c r="M112" s="938">
        <v>43011</v>
      </c>
      <c r="N112" s="940">
        <v>83715.520000000004</v>
      </c>
      <c r="O112" s="347">
        <v>43059</v>
      </c>
      <c r="P112" s="405"/>
      <c r="Q112" s="411" t="str">
        <f>IF(N112="en attente",K112,"")</f>
        <v/>
      </c>
      <c r="R112" s="349">
        <f t="shared" si="31"/>
        <v>0</v>
      </c>
      <c r="S112" s="349"/>
      <c r="T112" s="165"/>
    </row>
    <row r="113" spans="1:20" s="26" customFormat="1" ht="12" customHeight="1" outlineLevel="1" x14ac:dyDescent="0.2">
      <c r="A113" s="329" t="s">
        <v>41</v>
      </c>
      <c r="B113" s="348"/>
      <c r="C113" s="342"/>
      <c r="D113" s="342"/>
      <c r="E113" s="342"/>
      <c r="F113" s="421"/>
      <c r="G113" s="342"/>
      <c r="H113" s="941"/>
      <c r="I113" s="408"/>
      <c r="J113" s="343">
        <f>K113/$I$108+J112</f>
        <v>0.80000000000000016</v>
      </c>
      <c r="K113" s="344">
        <f>I108*0.8-SUM(K109:K112)</f>
        <v>12716.119999999995</v>
      </c>
      <c r="L113" s="1001"/>
      <c r="M113" s="939"/>
      <c r="N113" s="939"/>
      <c r="O113" s="435"/>
      <c r="P113" s="405"/>
      <c r="Q113" s="609"/>
      <c r="R113" s="349"/>
      <c r="S113" s="349"/>
      <c r="T113" s="165"/>
    </row>
    <row r="114" spans="1:20" s="26" customFormat="1" ht="12" customHeight="1" outlineLevel="1" x14ac:dyDescent="0.2">
      <c r="A114" s="329" t="s">
        <v>41</v>
      </c>
      <c r="B114" s="348"/>
      <c r="C114" s="342"/>
      <c r="D114" s="342"/>
      <c r="E114" s="342"/>
      <c r="F114" s="421"/>
      <c r="G114" s="342"/>
      <c r="H114" s="941"/>
      <c r="I114" s="408"/>
      <c r="J114" s="343">
        <f>K114/$I$108+J113</f>
        <v>1.0000000000000002</v>
      </c>
      <c r="K114" s="344">
        <f>0.2*I108</f>
        <v>50999.4</v>
      </c>
      <c r="L114" s="1002"/>
      <c r="M114" s="937"/>
      <c r="N114" s="937"/>
      <c r="O114" s="347"/>
      <c r="P114" s="405"/>
      <c r="Q114" s="607"/>
      <c r="R114" s="349"/>
      <c r="S114" s="349"/>
      <c r="T114" s="165"/>
    </row>
    <row r="115" spans="1:20" s="106" customFormat="1" x14ac:dyDescent="0.2">
      <c r="A115" s="320" t="s">
        <v>43</v>
      </c>
      <c r="B115" s="327" t="s">
        <v>168</v>
      </c>
      <c r="C115" s="321">
        <v>41094</v>
      </c>
      <c r="D115" s="321">
        <f>DATE(YEAR(C115),MONTH(C115)+18,DAY(C115))</f>
        <v>41643</v>
      </c>
      <c r="E115" s="321">
        <v>41271</v>
      </c>
      <c r="F115" s="419">
        <v>41428</v>
      </c>
      <c r="G115" s="321">
        <f>DATE(YEAR(C115)+4,MONTH(C115),DAY(C115))</f>
        <v>42555</v>
      </c>
      <c r="H115" s="944">
        <v>42332</v>
      </c>
      <c r="I115" s="323">
        <v>995000</v>
      </c>
      <c r="J115" s="322"/>
      <c r="K115" s="323"/>
      <c r="L115" s="324"/>
      <c r="M115" s="321"/>
      <c r="N115" s="325">
        <f>SUM(N116:N122)</f>
        <v>995000</v>
      </c>
      <c r="O115" s="326"/>
      <c r="P115" s="420"/>
      <c r="Q115" s="328">
        <f>SUM(Q116:Q122)</f>
        <v>0</v>
      </c>
      <c r="R115" s="328">
        <f>SUM(R116:R122)</f>
        <v>0</v>
      </c>
      <c r="S115" s="328"/>
      <c r="T115" s="165">
        <f>I115-(N115+Q115+R115)</f>
        <v>0</v>
      </c>
    </row>
    <row r="116" spans="1:20" s="26" customFormat="1" outlineLevel="1" x14ac:dyDescent="0.2">
      <c r="A116" s="329" t="s">
        <v>43</v>
      </c>
      <c r="B116" s="348"/>
      <c r="C116" s="407" t="s">
        <v>197</v>
      </c>
      <c r="D116" s="342"/>
      <c r="E116" s="342"/>
      <c r="F116" s="421"/>
      <c r="G116" s="342"/>
      <c r="H116" s="941"/>
      <c r="I116" s="408"/>
      <c r="J116" s="343">
        <f>K116/$I$115</f>
        <v>0.3</v>
      </c>
      <c r="K116" s="344">
        <v>298500</v>
      </c>
      <c r="L116" s="345">
        <v>1</v>
      </c>
      <c r="M116" s="342">
        <v>41463</v>
      </c>
      <c r="N116" s="346">
        <v>298500</v>
      </c>
      <c r="O116" s="347">
        <v>41533</v>
      </c>
      <c r="P116" s="405">
        <f t="shared" si="29"/>
        <v>70</v>
      </c>
      <c r="Q116" s="411" t="str">
        <f t="shared" ref="Q116:Q122" si="33">IF(N116="en attente",K116,"")</f>
        <v/>
      </c>
      <c r="R116" s="349">
        <f>IF(M116="",K116-N116,0)</f>
        <v>0</v>
      </c>
      <c r="S116" s="452"/>
      <c r="T116" s="162"/>
    </row>
    <row r="117" spans="1:20" s="26" customFormat="1" outlineLevel="1" x14ac:dyDescent="0.2">
      <c r="A117" s="329" t="s">
        <v>43</v>
      </c>
      <c r="B117" s="348"/>
      <c r="C117" s="342"/>
      <c r="D117" s="342"/>
      <c r="E117" s="342"/>
      <c r="F117" s="421"/>
      <c r="G117" s="342"/>
      <c r="H117" s="941"/>
      <c r="I117" s="408"/>
      <c r="J117" s="343">
        <f t="shared" ref="J117:J122" si="34">K117/$I$115+J116</f>
        <v>0.36899999999999999</v>
      </c>
      <c r="K117" s="344">
        <v>68655</v>
      </c>
      <c r="L117" s="345">
        <v>2</v>
      </c>
      <c r="M117" s="342">
        <v>41717</v>
      </c>
      <c r="N117" s="346">
        <v>68655</v>
      </c>
      <c r="O117" s="347">
        <v>41744</v>
      </c>
      <c r="P117" s="405">
        <f t="shared" si="29"/>
        <v>27</v>
      </c>
      <c r="Q117" s="411" t="str">
        <f t="shared" si="33"/>
        <v/>
      </c>
      <c r="R117" s="349">
        <f t="shared" ref="R117:R141" si="35">IF(M117="",K117-N117,0)</f>
        <v>0</v>
      </c>
      <c r="S117" s="452"/>
      <c r="T117" s="162"/>
    </row>
    <row r="118" spans="1:20" s="26" customFormat="1" outlineLevel="1" x14ac:dyDescent="0.2">
      <c r="A118" s="329" t="s">
        <v>43</v>
      </c>
      <c r="B118" s="348"/>
      <c r="C118" s="342"/>
      <c r="D118" s="342"/>
      <c r="E118" s="342"/>
      <c r="F118" s="421"/>
      <c r="G118" s="342"/>
      <c r="H118" s="941"/>
      <c r="I118" s="408"/>
      <c r="J118" s="343">
        <f t="shared" si="34"/>
        <v>0.45</v>
      </c>
      <c r="K118" s="344">
        <v>80595</v>
      </c>
      <c r="L118" s="345">
        <v>3</v>
      </c>
      <c r="M118" s="342">
        <v>41778</v>
      </c>
      <c r="N118" s="346">
        <v>80595</v>
      </c>
      <c r="O118" s="347">
        <v>41803</v>
      </c>
      <c r="P118" s="405">
        <f t="shared" si="29"/>
        <v>25</v>
      </c>
      <c r="Q118" s="411" t="str">
        <f t="shared" si="33"/>
        <v/>
      </c>
      <c r="R118" s="349">
        <f t="shared" si="35"/>
        <v>0</v>
      </c>
      <c r="S118" s="452"/>
      <c r="T118" s="162"/>
    </row>
    <row r="119" spans="1:20" s="26" customFormat="1" outlineLevel="1" x14ac:dyDescent="0.2">
      <c r="A119" s="329" t="s">
        <v>43</v>
      </c>
      <c r="B119" s="348"/>
      <c r="C119" s="342"/>
      <c r="D119" s="342"/>
      <c r="E119" s="342"/>
      <c r="F119" s="421"/>
      <c r="G119" s="342"/>
      <c r="H119" s="941"/>
      <c r="I119" s="408"/>
      <c r="J119" s="343">
        <f t="shared" si="34"/>
        <v>0.53559999999999997</v>
      </c>
      <c r="K119" s="344">
        <v>85172</v>
      </c>
      <c r="L119" s="345">
        <v>4</v>
      </c>
      <c r="M119" s="342">
        <v>41855</v>
      </c>
      <c r="N119" s="346">
        <v>85172</v>
      </c>
      <c r="O119" s="347">
        <v>41884</v>
      </c>
      <c r="P119" s="405">
        <f t="shared" si="29"/>
        <v>29</v>
      </c>
      <c r="Q119" s="411" t="str">
        <f t="shared" si="33"/>
        <v/>
      </c>
      <c r="R119" s="349">
        <f t="shared" si="35"/>
        <v>0</v>
      </c>
      <c r="S119" s="349"/>
      <c r="T119" s="162"/>
    </row>
    <row r="120" spans="1:20" s="26" customFormat="1" outlineLevel="1" x14ac:dyDescent="0.2">
      <c r="A120" s="329" t="s">
        <v>43</v>
      </c>
      <c r="B120" s="348"/>
      <c r="C120" s="342"/>
      <c r="D120" s="342"/>
      <c r="E120" s="342"/>
      <c r="F120" s="421"/>
      <c r="G120" s="342"/>
      <c r="H120" s="941"/>
      <c r="I120" s="408"/>
      <c r="J120" s="343">
        <f t="shared" si="34"/>
        <v>0.59460000000000002</v>
      </c>
      <c r="K120" s="344">
        <v>58705</v>
      </c>
      <c r="L120" s="345">
        <v>5</v>
      </c>
      <c r="M120" s="342">
        <v>41915</v>
      </c>
      <c r="N120" s="346">
        <v>58705</v>
      </c>
      <c r="O120" s="347">
        <v>41941</v>
      </c>
      <c r="P120" s="405">
        <f t="shared" si="29"/>
        <v>26</v>
      </c>
      <c r="Q120" s="411" t="str">
        <f t="shared" si="33"/>
        <v/>
      </c>
      <c r="R120" s="349">
        <f t="shared" si="35"/>
        <v>0</v>
      </c>
      <c r="S120" s="349"/>
      <c r="T120" s="162"/>
    </row>
    <row r="121" spans="1:20" s="26" customFormat="1" outlineLevel="1" x14ac:dyDescent="0.2">
      <c r="A121" s="329" t="s">
        <v>43</v>
      </c>
      <c r="B121" s="348"/>
      <c r="C121" s="342"/>
      <c r="D121" s="342"/>
      <c r="E121" s="342"/>
      <c r="F121" s="421"/>
      <c r="G121" s="342"/>
      <c r="H121" s="941"/>
      <c r="I121" s="408"/>
      <c r="J121" s="343">
        <f t="shared" si="34"/>
        <v>0.8</v>
      </c>
      <c r="K121" s="344">
        <v>204373</v>
      </c>
      <c r="L121" s="345">
        <v>6</v>
      </c>
      <c r="M121" s="342">
        <v>42278</v>
      </c>
      <c r="N121" s="346">
        <v>204373</v>
      </c>
      <c r="O121" s="347">
        <v>42325</v>
      </c>
      <c r="P121" s="405">
        <f t="shared" si="29"/>
        <v>47</v>
      </c>
      <c r="Q121" s="411" t="str">
        <f t="shared" si="33"/>
        <v/>
      </c>
      <c r="R121" s="349">
        <f t="shared" si="35"/>
        <v>0</v>
      </c>
      <c r="S121" s="349"/>
      <c r="T121" s="162"/>
    </row>
    <row r="122" spans="1:20" s="26" customFormat="1" outlineLevel="1" x14ac:dyDescent="0.2">
      <c r="A122" s="329" t="s">
        <v>43</v>
      </c>
      <c r="B122" s="348"/>
      <c r="C122" s="342"/>
      <c r="D122" s="342"/>
      <c r="E122" s="342"/>
      <c r="F122" s="421"/>
      <c r="G122" s="342"/>
      <c r="H122" s="941"/>
      <c r="I122" s="408"/>
      <c r="J122" s="343">
        <f t="shared" si="34"/>
        <v>1</v>
      </c>
      <c r="K122" s="344">
        <v>199000</v>
      </c>
      <c r="L122" s="345">
        <v>7</v>
      </c>
      <c r="M122" s="342">
        <v>42985</v>
      </c>
      <c r="N122" s="346">
        <v>199000</v>
      </c>
      <c r="O122" s="347">
        <v>43018</v>
      </c>
      <c r="P122" s="405">
        <f t="shared" si="29"/>
        <v>33</v>
      </c>
      <c r="Q122" s="411" t="str">
        <f t="shared" si="33"/>
        <v/>
      </c>
      <c r="R122" s="349">
        <f t="shared" si="35"/>
        <v>0</v>
      </c>
      <c r="S122" s="349"/>
      <c r="T122" s="162"/>
    </row>
    <row r="123" spans="1:20" s="106" customFormat="1" x14ac:dyDescent="0.2">
      <c r="A123" s="320" t="s">
        <v>46</v>
      </c>
      <c r="B123" s="327" t="s">
        <v>169</v>
      </c>
      <c r="C123" s="321">
        <v>41094</v>
      </c>
      <c r="D123" s="321">
        <f>DATE(YEAR(C123),MONTH(C123)+18,DAY(C123))</f>
        <v>41643</v>
      </c>
      <c r="E123" s="321">
        <v>41253</v>
      </c>
      <c r="F123" s="419">
        <v>41309</v>
      </c>
      <c r="G123" s="321">
        <f>DATE(YEAR(C123)+4,MONTH(C123),DAY(C123))</f>
        <v>42555</v>
      </c>
      <c r="H123" s="944">
        <v>42144</v>
      </c>
      <c r="I123" s="323">
        <v>663000</v>
      </c>
      <c r="J123" s="322"/>
      <c r="K123" s="323"/>
      <c r="L123" s="324"/>
      <c r="M123" s="321"/>
      <c r="N123" s="325">
        <f>SUM(N124:N130)</f>
        <v>663000</v>
      </c>
      <c r="O123" s="326"/>
      <c r="P123" s="420"/>
      <c r="Q123" s="328">
        <f>SUM(Q124:Q130)</f>
        <v>0</v>
      </c>
      <c r="R123" s="328">
        <f>SUM(R124:R130)</f>
        <v>0</v>
      </c>
      <c r="S123" s="328"/>
      <c r="T123" s="165">
        <f>I123-(N123+Q123+R123)</f>
        <v>0</v>
      </c>
    </row>
    <row r="124" spans="1:20" s="26" customFormat="1" outlineLevel="1" x14ac:dyDescent="0.2">
      <c r="A124" s="329" t="s">
        <v>46</v>
      </c>
      <c r="B124" s="348"/>
      <c r="C124" s="407" t="s">
        <v>197</v>
      </c>
      <c r="D124" s="342"/>
      <c r="E124" s="342"/>
      <c r="F124" s="421"/>
      <c r="G124" s="342"/>
      <c r="H124" s="941"/>
      <c r="I124" s="408"/>
      <c r="J124" s="343">
        <f>K124/$I$123</f>
        <v>0.3</v>
      </c>
      <c r="K124" s="344">
        <v>198900</v>
      </c>
      <c r="L124" s="345">
        <v>1</v>
      </c>
      <c r="M124" s="342">
        <v>41361</v>
      </c>
      <c r="N124" s="346">
        <v>198900</v>
      </c>
      <c r="O124" s="347">
        <v>41428</v>
      </c>
      <c r="P124" s="405">
        <f t="shared" si="29"/>
        <v>67</v>
      </c>
      <c r="Q124" s="411" t="str">
        <f t="shared" ref="Q124:Q130" si="36">IF(N124="en attente",K124,"")</f>
        <v/>
      </c>
      <c r="R124" s="349">
        <f t="shared" ref="R124:R133" si="37">IF(M124="",K124-N124,0)</f>
        <v>0</v>
      </c>
      <c r="S124" s="452"/>
      <c r="T124" s="162"/>
    </row>
    <row r="125" spans="1:20" s="26" customFormat="1" outlineLevel="1" x14ac:dyDescent="0.2">
      <c r="A125" s="329" t="s">
        <v>46</v>
      </c>
      <c r="B125" s="348"/>
      <c r="C125" s="342"/>
      <c r="D125" s="342"/>
      <c r="E125" s="342"/>
      <c r="F125" s="421"/>
      <c r="G125" s="342"/>
      <c r="H125" s="941"/>
      <c r="I125" s="408"/>
      <c r="J125" s="343">
        <f t="shared" ref="J125:J130" si="38">K125/$I$123+J124</f>
        <v>0.4425</v>
      </c>
      <c r="K125" s="344">
        <v>94477.5</v>
      </c>
      <c r="L125" s="345">
        <v>2</v>
      </c>
      <c r="M125" s="342">
        <v>41582</v>
      </c>
      <c r="N125" s="346">
        <v>94477.5</v>
      </c>
      <c r="O125" s="347">
        <v>41610</v>
      </c>
      <c r="P125" s="405">
        <f t="shared" si="29"/>
        <v>28</v>
      </c>
      <c r="Q125" s="411" t="str">
        <f t="shared" si="36"/>
        <v/>
      </c>
      <c r="R125" s="349">
        <f t="shared" si="37"/>
        <v>0</v>
      </c>
      <c r="S125" s="349"/>
      <c r="T125" s="162"/>
    </row>
    <row r="126" spans="1:20" s="26" customFormat="1" outlineLevel="1" x14ac:dyDescent="0.2">
      <c r="A126" s="329" t="s">
        <v>46</v>
      </c>
      <c r="B126" s="348"/>
      <c r="C126" s="342"/>
      <c r="D126" s="342"/>
      <c r="E126" s="342"/>
      <c r="F126" s="421"/>
      <c r="G126" s="342"/>
      <c r="H126" s="941"/>
      <c r="I126" s="408"/>
      <c r="J126" s="343">
        <f t="shared" si="38"/>
        <v>0.56440000000000001</v>
      </c>
      <c r="K126" s="344">
        <v>80819.7</v>
      </c>
      <c r="L126" s="345">
        <v>3</v>
      </c>
      <c r="M126" s="342">
        <v>41646</v>
      </c>
      <c r="N126" s="346">
        <v>80819.7</v>
      </c>
      <c r="O126" s="347">
        <v>41687</v>
      </c>
      <c r="P126" s="405">
        <f t="shared" si="29"/>
        <v>41</v>
      </c>
      <c r="Q126" s="411" t="str">
        <f t="shared" si="36"/>
        <v/>
      </c>
      <c r="R126" s="349">
        <f t="shared" si="37"/>
        <v>0</v>
      </c>
      <c r="S126" s="349"/>
      <c r="T126" s="162"/>
    </row>
    <row r="127" spans="1:20" s="26" customFormat="1" outlineLevel="1" x14ac:dyDescent="0.2">
      <c r="A127" s="329" t="s">
        <v>46</v>
      </c>
      <c r="B127" s="348"/>
      <c r="C127" s="342"/>
      <c r="D127" s="342"/>
      <c r="E127" s="342"/>
      <c r="F127" s="421"/>
      <c r="G127" s="342"/>
      <c r="H127" s="941"/>
      <c r="I127" s="408"/>
      <c r="J127" s="343">
        <f t="shared" si="38"/>
        <v>0.64610000000000001</v>
      </c>
      <c r="K127" s="344">
        <v>54167.1</v>
      </c>
      <c r="L127" s="345">
        <v>4</v>
      </c>
      <c r="M127" s="342">
        <v>41702</v>
      </c>
      <c r="N127" s="346">
        <v>54167.1</v>
      </c>
      <c r="O127" s="347">
        <v>41736</v>
      </c>
      <c r="P127" s="405">
        <f t="shared" si="29"/>
        <v>34</v>
      </c>
      <c r="Q127" s="411" t="str">
        <f t="shared" si="36"/>
        <v/>
      </c>
      <c r="R127" s="349">
        <f t="shared" si="37"/>
        <v>0</v>
      </c>
      <c r="S127" s="349"/>
      <c r="T127" s="162"/>
    </row>
    <row r="128" spans="1:20" s="26" customFormat="1" outlineLevel="1" x14ac:dyDescent="0.2">
      <c r="A128" s="329" t="s">
        <v>46</v>
      </c>
      <c r="B128" s="348"/>
      <c r="C128" s="342"/>
      <c r="D128" s="342"/>
      <c r="E128" s="342"/>
      <c r="F128" s="421"/>
      <c r="G128" s="342"/>
      <c r="H128" s="941"/>
      <c r="I128" s="408"/>
      <c r="J128" s="343">
        <f t="shared" si="38"/>
        <v>0.73929999999999996</v>
      </c>
      <c r="K128" s="344">
        <v>61791.6</v>
      </c>
      <c r="L128" s="345">
        <v>5</v>
      </c>
      <c r="M128" s="342">
        <v>41758</v>
      </c>
      <c r="N128" s="346">
        <v>61791.6</v>
      </c>
      <c r="O128" s="347">
        <v>41801</v>
      </c>
      <c r="P128" s="405">
        <f t="shared" si="29"/>
        <v>43</v>
      </c>
      <c r="Q128" s="411" t="str">
        <f t="shared" si="36"/>
        <v/>
      </c>
      <c r="R128" s="349">
        <f t="shared" si="37"/>
        <v>0</v>
      </c>
      <c r="S128" s="349"/>
      <c r="T128" s="162"/>
    </row>
    <row r="129" spans="1:20" s="26" customFormat="1" outlineLevel="1" x14ac:dyDescent="0.2">
      <c r="A129" s="329" t="s">
        <v>46</v>
      </c>
      <c r="B129" s="348"/>
      <c r="C129" s="342"/>
      <c r="D129" s="342"/>
      <c r="E129" s="342"/>
      <c r="F129" s="421"/>
      <c r="G129" s="342"/>
      <c r="H129" s="941"/>
      <c r="I129" s="408"/>
      <c r="J129" s="343">
        <f t="shared" si="38"/>
        <v>0.79999999999999993</v>
      </c>
      <c r="K129" s="344">
        <v>40244.1</v>
      </c>
      <c r="L129" s="345">
        <v>6</v>
      </c>
      <c r="M129" s="342">
        <v>41807</v>
      </c>
      <c r="N129" s="346">
        <v>40244.1</v>
      </c>
      <c r="O129" s="347">
        <v>41849</v>
      </c>
      <c r="P129" s="405">
        <f t="shared" si="29"/>
        <v>42</v>
      </c>
      <c r="Q129" s="411" t="str">
        <f t="shared" si="36"/>
        <v/>
      </c>
      <c r="R129" s="349">
        <f t="shared" si="37"/>
        <v>0</v>
      </c>
      <c r="S129" s="349"/>
      <c r="T129" s="162"/>
    </row>
    <row r="130" spans="1:20" s="26" customFormat="1" outlineLevel="1" x14ac:dyDescent="0.2">
      <c r="A130" s="351" t="s">
        <v>46</v>
      </c>
      <c r="B130" s="358"/>
      <c r="C130" s="353"/>
      <c r="D130" s="353"/>
      <c r="E130" s="353"/>
      <c r="F130" s="422"/>
      <c r="G130" s="353"/>
      <c r="H130" s="942"/>
      <c r="I130" s="408"/>
      <c r="J130" s="423">
        <f t="shared" si="38"/>
        <v>1</v>
      </c>
      <c r="K130" s="354">
        <v>132600</v>
      </c>
      <c r="L130" s="355">
        <v>7</v>
      </c>
      <c r="M130" s="353">
        <v>42766</v>
      </c>
      <c r="N130" s="356">
        <v>132600</v>
      </c>
      <c r="O130" s="357">
        <v>42829</v>
      </c>
      <c r="P130" s="424">
        <f t="shared" si="29"/>
        <v>63</v>
      </c>
      <c r="Q130" s="411" t="str">
        <f t="shared" si="36"/>
        <v/>
      </c>
      <c r="R130" s="359">
        <f t="shared" si="37"/>
        <v>0</v>
      </c>
      <c r="S130" s="359"/>
      <c r="T130" s="162"/>
    </row>
    <row r="131" spans="1:20" s="106" customFormat="1" x14ac:dyDescent="0.2">
      <c r="A131" s="397" t="s">
        <v>365</v>
      </c>
      <c r="B131" s="401" t="s">
        <v>164</v>
      </c>
      <c r="C131" s="409">
        <v>41170</v>
      </c>
      <c r="D131" s="321">
        <f>DATE(YEAR(C131),MONTH(C131)+18,DAY(C131))</f>
        <v>41716</v>
      </c>
      <c r="E131" s="409">
        <v>41257</v>
      </c>
      <c r="F131" s="414">
        <v>41309</v>
      </c>
      <c r="G131" s="321">
        <f>DATE(YEAR(C131)+4,MONTH(C131),DAY(C131))</f>
        <v>42631</v>
      </c>
      <c r="H131" s="944">
        <v>41940</v>
      </c>
      <c r="I131" s="323">
        <v>89905</v>
      </c>
      <c r="J131" s="404"/>
      <c r="K131" s="399"/>
      <c r="L131" s="410"/>
      <c r="M131" s="409"/>
      <c r="N131" s="402">
        <f>SUM(N132:N136)</f>
        <v>89905</v>
      </c>
      <c r="O131" s="415"/>
      <c r="P131" s="425"/>
      <c r="Q131" s="412">
        <f>SUM(Q132:Q136)</f>
        <v>0</v>
      </c>
      <c r="R131" s="412">
        <f>SUM(R132:R136)</f>
        <v>0</v>
      </c>
      <c r="S131" s="411"/>
      <c r="T131" s="165">
        <f>I131-(N131+Q131+R131)</f>
        <v>0</v>
      </c>
    </row>
    <row r="132" spans="1:20" s="26" customFormat="1" outlineLevel="1" x14ac:dyDescent="0.2">
      <c r="A132" s="329" t="s">
        <v>365</v>
      </c>
      <c r="B132" s="348"/>
      <c r="C132" s="407" t="s">
        <v>197</v>
      </c>
      <c r="D132" s="342"/>
      <c r="E132" s="342"/>
      <c r="F132" s="421"/>
      <c r="G132" s="342"/>
      <c r="H132" s="941"/>
      <c r="I132" s="408"/>
      <c r="J132" s="343">
        <f>K132/$I$131</f>
        <v>0.3</v>
      </c>
      <c r="K132" s="344">
        <v>26971.5</v>
      </c>
      <c r="L132" s="345">
        <v>1</v>
      </c>
      <c r="M132" s="342">
        <v>41313</v>
      </c>
      <c r="N132" s="346">
        <v>26971.5</v>
      </c>
      <c r="O132" s="347">
        <v>41416</v>
      </c>
      <c r="P132" s="405">
        <f>IF(O132="",$R$2-M132,O132-M132)</f>
        <v>103</v>
      </c>
      <c r="Q132" s="411" t="str">
        <f>IF(N132="en attente",K132,"")</f>
        <v/>
      </c>
      <c r="R132" s="509">
        <f t="shared" si="37"/>
        <v>0</v>
      </c>
      <c r="S132" s="452"/>
      <c r="T132" s="162"/>
    </row>
    <row r="133" spans="1:20" s="26" customFormat="1" outlineLevel="1" x14ac:dyDescent="0.2">
      <c r="A133" s="329" t="s">
        <v>365</v>
      </c>
      <c r="B133" s="348"/>
      <c r="C133" s="342"/>
      <c r="D133" s="342"/>
      <c r="E133" s="342"/>
      <c r="F133" s="421"/>
      <c r="G133" s="342"/>
      <c r="H133" s="941"/>
      <c r="I133" s="408"/>
      <c r="J133" s="343">
        <f>K133/$I$131+J132</f>
        <v>0.58310005005283361</v>
      </c>
      <c r="K133" s="344">
        <v>25452.11</v>
      </c>
      <c r="L133" s="345">
        <v>2</v>
      </c>
      <c r="M133" s="342">
        <v>41645</v>
      </c>
      <c r="N133" s="346">
        <v>25452.11</v>
      </c>
      <c r="O133" s="347">
        <v>41687</v>
      </c>
      <c r="P133" s="405">
        <f>IF(O133="",$R$2-M133,O133-M133)</f>
        <v>42</v>
      </c>
      <c r="Q133" s="411" t="str">
        <f>IF(N133="en attente",K133,"")</f>
        <v/>
      </c>
      <c r="R133" s="349">
        <f t="shared" si="37"/>
        <v>0</v>
      </c>
      <c r="S133" s="349"/>
      <c r="T133" s="162"/>
    </row>
    <row r="134" spans="1:20" s="26" customFormat="1" outlineLevel="1" x14ac:dyDescent="0.2">
      <c r="A134" s="329" t="s">
        <v>365</v>
      </c>
      <c r="B134" s="348"/>
      <c r="C134" s="342"/>
      <c r="D134" s="342"/>
      <c r="E134" s="342"/>
      <c r="F134" s="421"/>
      <c r="G134" s="342"/>
      <c r="H134" s="941"/>
      <c r="I134" s="408"/>
      <c r="J134" s="343">
        <f>K134/$I$131+J133</f>
        <v>0.68970001668427794</v>
      </c>
      <c r="K134" s="344">
        <v>9583.869999999999</v>
      </c>
      <c r="L134" s="345">
        <v>3</v>
      </c>
      <c r="M134" s="342">
        <v>41703</v>
      </c>
      <c r="N134" s="346">
        <v>9583.869999999999</v>
      </c>
      <c r="O134" s="347">
        <v>41729</v>
      </c>
      <c r="P134" s="405">
        <f>IF(O134="",$R$2-M134,O134-M134)</f>
        <v>26</v>
      </c>
      <c r="Q134" s="411" t="str">
        <f>IF(N134="en attente",K134,"")</f>
        <v/>
      </c>
      <c r="R134" s="349">
        <f t="shared" si="35"/>
        <v>0</v>
      </c>
      <c r="S134" s="349"/>
      <c r="T134" s="162"/>
    </row>
    <row r="135" spans="1:20" s="26" customFormat="1" outlineLevel="1" x14ac:dyDescent="0.2">
      <c r="A135" s="329" t="s">
        <v>365</v>
      </c>
      <c r="B135" s="348"/>
      <c r="C135" s="342"/>
      <c r="D135" s="342"/>
      <c r="E135" s="342"/>
      <c r="F135" s="421"/>
      <c r="G135" s="342"/>
      <c r="H135" s="941"/>
      <c r="I135" s="408"/>
      <c r="J135" s="343">
        <f>K135/$I$131+J134</f>
        <v>0.8</v>
      </c>
      <c r="K135" s="344">
        <v>9916.52</v>
      </c>
      <c r="L135" s="345">
        <v>4</v>
      </c>
      <c r="M135" s="342">
        <v>41758</v>
      </c>
      <c r="N135" s="346">
        <v>9916.52</v>
      </c>
      <c r="O135" s="347">
        <v>41801</v>
      </c>
      <c r="P135" s="405">
        <f>IF(O135="",$R$2-M135,O135-M135)</f>
        <v>43</v>
      </c>
      <c r="Q135" s="411" t="str">
        <f>IF(N135="en attente",K135,"")</f>
        <v/>
      </c>
      <c r="R135" s="349">
        <f t="shared" si="35"/>
        <v>0</v>
      </c>
      <c r="S135" s="349"/>
      <c r="T135" s="162"/>
    </row>
    <row r="136" spans="1:20" s="26" customFormat="1" outlineLevel="1" x14ac:dyDescent="0.2">
      <c r="A136" s="329" t="s">
        <v>365</v>
      </c>
      <c r="B136" s="348"/>
      <c r="C136" s="342"/>
      <c r="D136" s="342"/>
      <c r="E136" s="342"/>
      <c r="F136" s="421"/>
      <c r="G136" s="342"/>
      <c r="H136" s="941"/>
      <c r="I136" s="408"/>
      <c r="J136" s="343">
        <f>K136/$I$131+J135</f>
        <v>1</v>
      </c>
      <c r="K136" s="344">
        <v>17981</v>
      </c>
      <c r="L136" s="345">
        <v>5</v>
      </c>
      <c r="M136" s="342">
        <v>42704</v>
      </c>
      <c r="N136" s="346">
        <v>17981</v>
      </c>
      <c r="O136" s="347">
        <v>42906</v>
      </c>
      <c r="P136" s="405">
        <f>IF(O136="",$R$2-M136,O136-M136)</f>
        <v>202</v>
      </c>
      <c r="Q136" s="411" t="str">
        <f>IF(N136="en attente",K136,"")</f>
        <v/>
      </c>
      <c r="R136" s="349">
        <f t="shared" si="35"/>
        <v>0</v>
      </c>
      <c r="S136" s="349"/>
      <c r="T136" s="162"/>
    </row>
    <row r="137" spans="1:20" s="106" customFormat="1" x14ac:dyDescent="0.2">
      <c r="A137" s="320" t="s">
        <v>48</v>
      </c>
      <c r="B137" s="327" t="s">
        <v>163</v>
      </c>
      <c r="C137" s="321">
        <v>41094</v>
      </c>
      <c r="D137" s="321">
        <f>DATE(YEAR(C137),MONTH(C137)+18,DAY(C137))</f>
        <v>41643</v>
      </c>
      <c r="E137" s="321">
        <v>41253</v>
      </c>
      <c r="F137" s="419">
        <v>41303</v>
      </c>
      <c r="G137" s="321">
        <v>43284</v>
      </c>
      <c r="H137" s="944">
        <v>42954</v>
      </c>
      <c r="I137" s="323">
        <v>790394</v>
      </c>
      <c r="J137" s="322"/>
      <c r="K137" s="323"/>
      <c r="L137" s="324"/>
      <c r="M137" s="321"/>
      <c r="N137" s="325">
        <f>SUM(N138:N142)</f>
        <v>790394</v>
      </c>
      <c r="O137" s="326"/>
      <c r="P137" s="420"/>
      <c r="Q137" s="328">
        <f>SUM(Q138:Q142)</f>
        <v>0</v>
      </c>
      <c r="R137" s="328">
        <f>SUM(R138:R142)</f>
        <v>0</v>
      </c>
      <c r="S137" s="328"/>
      <c r="T137" s="165">
        <f>I137-(N137+Q137+R137)</f>
        <v>0</v>
      </c>
    </row>
    <row r="138" spans="1:20" s="26" customFormat="1" outlineLevel="1" x14ac:dyDescent="0.2">
      <c r="A138" s="329" t="s">
        <v>48</v>
      </c>
      <c r="B138" s="348"/>
      <c r="C138" s="407" t="s">
        <v>197</v>
      </c>
      <c r="D138" s="342"/>
      <c r="E138" s="342"/>
      <c r="F138" s="421"/>
      <c r="G138" s="342" t="s">
        <v>223</v>
      </c>
      <c r="H138" s="941"/>
      <c r="I138" s="408"/>
      <c r="J138" s="343">
        <f>K138/$I$137</f>
        <v>0.3</v>
      </c>
      <c r="K138" s="344">
        <v>237118.2</v>
      </c>
      <c r="L138" s="345">
        <v>1</v>
      </c>
      <c r="M138" s="342">
        <v>41360</v>
      </c>
      <c r="N138" s="346">
        <v>237118.2</v>
      </c>
      <c r="O138" s="347">
        <v>41428</v>
      </c>
      <c r="P138" s="405">
        <f>IF(O138="",$R$2-M138,O138-M138)</f>
        <v>68</v>
      </c>
      <c r="Q138" s="411" t="str">
        <f t="shared" ref="Q138:Q242" si="39">IF(N138="en attente",K138,"")</f>
        <v/>
      </c>
      <c r="R138" s="349">
        <f t="shared" si="35"/>
        <v>0</v>
      </c>
      <c r="S138" s="349"/>
      <c r="T138" s="162"/>
    </row>
    <row r="139" spans="1:20" s="26" customFormat="1" outlineLevel="1" x14ac:dyDescent="0.2">
      <c r="A139" s="329" t="s">
        <v>48</v>
      </c>
      <c r="B139" s="348"/>
      <c r="C139" s="342"/>
      <c r="D139" s="342"/>
      <c r="E139" s="342"/>
      <c r="F139" s="421"/>
      <c r="G139" s="342"/>
      <c r="H139" s="941"/>
      <c r="I139" s="408"/>
      <c r="J139" s="343">
        <f>K139/$I$137+J138</f>
        <v>0.47089999418011774</v>
      </c>
      <c r="K139" s="344">
        <v>135078.33000000002</v>
      </c>
      <c r="L139" s="345">
        <v>2</v>
      </c>
      <c r="M139" s="342">
        <v>41913</v>
      </c>
      <c r="N139" s="346">
        <v>135078.33000000002</v>
      </c>
      <c r="O139" s="347">
        <v>41943</v>
      </c>
      <c r="P139" s="405">
        <f>IF(O139="",$R$2-M139,O139-M139)</f>
        <v>30</v>
      </c>
      <c r="Q139" s="411" t="str">
        <f t="shared" si="39"/>
        <v/>
      </c>
      <c r="R139" s="349">
        <f t="shared" si="35"/>
        <v>0</v>
      </c>
      <c r="S139" s="349"/>
      <c r="T139" s="162"/>
    </row>
    <row r="140" spans="1:20" s="26" customFormat="1" outlineLevel="1" x14ac:dyDescent="0.2">
      <c r="A140" s="329" t="s">
        <v>48</v>
      </c>
      <c r="B140" s="348"/>
      <c r="C140" s="342"/>
      <c r="D140" s="342"/>
      <c r="E140" s="342"/>
      <c r="F140" s="421"/>
      <c r="G140" s="342"/>
      <c r="H140" s="941"/>
      <c r="I140" s="408"/>
      <c r="J140" s="343">
        <f>K140/$I$137+J139</f>
        <v>0.696199996457463</v>
      </c>
      <c r="K140" s="344">
        <v>178075.77</v>
      </c>
      <c r="L140" s="345">
        <v>3</v>
      </c>
      <c r="M140" s="342">
        <v>42215</v>
      </c>
      <c r="N140" s="346">
        <v>178075.77</v>
      </c>
      <c r="O140" s="347">
        <v>42303</v>
      </c>
      <c r="P140" s="405">
        <f>IF(O140="",$R$2-M140,O140-M140)</f>
        <v>88</v>
      </c>
      <c r="Q140" s="411" t="str">
        <f t="shared" si="39"/>
        <v/>
      </c>
      <c r="R140" s="349">
        <f t="shared" si="35"/>
        <v>0</v>
      </c>
      <c r="S140" s="349"/>
      <c r="T140" s="162"/>
    </row>
    <row r="141" spans="1:20" s="26" customFormat="1" outlineLevel="1" x14ac:dyDescent="0.2">
      <c r="A141" s="329" t="s">
        <v>48</v>
      </c>
      <c r="B141" s="348"/>
      <c r="C141" s="342"/>
      <c r="D141" s="342"/>
      <c r="E141" s="342"/>
      <c r="F141" s="421"/>
      <c r="G141" s="342"/>
      <c r="H141" s="941"/>
      <c r="I141" s="408"/>
      <c r="J141" s="343">
        <v>0.78920000000000001</v>
      </c>
      <c r="K141" s="344">
        <v>73506.64</v>
      </c>
      <c r="L141" s="345">
        <v>4</v>
      </c>
      <c r="M141" s="342">
        <v>42383</v>
      </c>
      <c r="N141" s="346">
        <v>73506.64</v>
      </c>
      <c r="O141" s="347">
        <v>42431</v>
      </c>
      <c r="P141" s="405">
        <f>IF(O141="",$R$2-M141,O141-M141)</f>
        <v>48</v>
      </c>
      <c r="Q141" s="411" t="str">
        <f t="shared" si="39"/>
        <v/>
      </c>
      <c r="R141" s="349">
        <f t="shared" si="35"/>
        <v>0</v>
      </c>
      <c r="S141" s="349"/>
      <c r="T141" s="162"/>
    </row>
    <row r="142" spans="1:20" s="26" customFormat="1" outlineLevel="1" x14ac:dyDescent="0.2">
      <c r="A142" s="351" t="s">
        <v>48</v>
      </c>
      <c r="B142" s="358"/>
      <c r="C142" s="353"/>
      <c r="D142" s="353"/>
      <c r="E142" s="353"/>
      <c r="F142" s="422"/>
      <c r="G142" s="353"/>
      <c r="H142" s="942"/>
      <c r="I142" s="408"/>
      <c r="J142" s="423">
        <v>1</v>
      </c>
      <c r="K142" s="354">
        <f>I137-(K138+K139+K140+K141)</f>
        <v>166615.05999999994</v>
      </c>
      <c r="L142" s="345">
        <v>5</v>
      </c>
      <c r="M142" s="353">
        <v>43242</v>
      </c>
      <c r="N142" s="356">
        <v>166615.06</v>
      </c>
      <c r="O142" s="357">
        <v>43294</v>
      </c>
      <c r="P142" s="424">
        <f>IF(O142="",$R$2-M142,O142-M142)</f>
        <v>52</v>
      </c>
      <c r="Q142" s="411" t="str">
        <f t="shared" si="39"/>
        <v/>
      </c>
      <c r="R142" s="359">
        <f>IF(M142="",K142-N142,0)</f>
        <v>0</v>
      </c>
      <c r="S142" s="359"/>
      <c r="T142" s="162"/>
    </row>
    <row r="143" spans="1:20" s="106" customFormat="1" x14ac:dyDescent="0.2">
      <c r="A143" s="320" t="s">
        <v>51</v>
      </c>
      <c r="B143" s="327" t="s">
        <v>161</v>
      </c>
      <c r="C143" s="321">
        <v>41171</v>
      </c>
      <c r="D143" s="321">
        <f>DATE(YEAR(C143),MONTH(C143)+18,DAY(C143))</f>
        <v>41717</v>
      </c>
      <c r="E143" s="321">
        <v>41257</v>
      </c>
      <c r="F143" s="419">
        <v>41400</v>
      </c>
      <c r="G143" s="321">
        <f>DATE(YEAR(C143)+4,MONTH(C143),DAY(C143))</f>
        <v>42632</v>
      </c>
      <c r="H143" s="944">
        <v>41831</v>
      </c>
      <c r="I143" s="323">
        <v>177688</v>
      </c>
      <c r="J143" s="322"/>
      <c r="K143" s="323"/>
      <c r="L143" s="324"/>
      <c r="M143" s="321"/>
      <c r="N143" s="325">
        <f>SUM(N144:N147)</f>
        <v>177688.00000000003</v>
      </c>
      <c r="O143" s="326"/>
      <c r="P143" s="420"/>
      <c r="Q143" s="328">
        <f>SUM(Q144:Q147)</f>
        <v>0</v>
      </c>
      <c r="R143" s="328">
        <f>SUM(R144:R147)</f>
        <v>0</v>
      </c>
      <c r="S143" s="328"/>
      <c r="T143" s="165">
        <f>I143-(N143+Q143+R143)</f>
        <v>0</v>
      </c>
    </row>
    <row r="144" spans="1:20" s="26" customFormat="1" outlineLevel="1" x14ac:dyDescent="0.2">
      <c r="A144" s="329" t="s">
        <v>51</v>
      </c>
      <c r="B144" s="348"/>
      <c r="C144" s="407" t="s">
        <v>197</v>
      </c>
      <c r="D144" s="342"/>
      <c r="E144" s="342"/>
      <c r="F144" s="421"/>
      <c r="G144" s="342"/>
      <c r="H144" s="941"/>
      <c r="I144" s="408"/>
      <c r="J144" s="343">
        <f>K144/$I$143</f>
        <v>0.3</v>
      </c>
      <c r="K144" s="344">
        <v>53306.400000000001</v>
      </c>
      <c r="L144" s="345">
        <v>1</v>
      </c>
      <c r="M144" s="342">
        <v>41466</v>
      </c>
      <c r="N144" s="346">
        <v>53306.400000000001</v>
      </c>
      <c r="O144" s="347">
        <v>41522</v>
      </c>
      <c r="P144" s="405">
        <f>IF(O144="",$R$2-M144,O144-M144)</f>
        <v>56</v>
      </c>
      <c r="Q144" s="349" t="str">
        <f>IF(N144="en attente",K144,"")</f>
        <v/>
      </c>
      <c r="R144" s="349">
        <f>IF(M144="",K144-N144,0)</f>
        <v>0</v>
      </c>
      <c r="S144" s="349"/>
      <c r="T144" s="162"/>
    </row>
    <row r="145" spans="1:20" s="26" customFormat="1" outlineLevel="1" x14ac:dyDescent="0.2">
      <c r="A145" s="329" t="s">
        <v>51</v>
      </c>
      <c r="B145" s="348"/>
      <c r="C145" s="342"/>
      <c r="D145" s="342"/>
      <c r="E145" s="342"/>
      <c r="F145" s="421"/>
      <c r="G145" s="342"/>
      <c r="H145" s="941"/>
      <c r="I145" s="408"/>
      <c r="J145" s="343">
        <f>K145/$I$143+J144</f>
        <v>0.49159999549772637</v>
      </c>
      <c r="K145" s="344">
        <v>34045.020000000004</v>
      </c>
      <c r="L145" s="345">
        <v>2</v>
      </c>
      <c r="M145" s="342">
        <v>41717</v>
      </c>
      <c r="N145" s="346">
        <v>34045.020000000004</v>
      </c>
      <c r="O145" s="347">
        <v>41744</v>
      </c>
      <c r="P145" s="405">
        <f>IF(O145="",$R$2-M145,O145-M145)</f>
        <v>27</v>
      </c>
      <c r="Q145" s="349" t="str">
        <f>IF(N145="en attente",K145,"")</f>
        <v/>
      </c>
      <c r="R145" s="349">
        <f>IF(M145="",K145-N145,0)</f>
        <v>0</v>
      </c>
      <c r="S145" s="349"/>
      <c r="T145" s="162"/>
    </row>
    <row r="146" spans="1:20" s="26" customFormat="1" outlineLevel="1" x14ac:dyDescent="0.2">
      <c r="A146" s="329" t="s">
        <v>51</v>
      </c>
      <c r="B146" s="348"/>
      <c r="C146" s="342"/>
      <c r="D146" s="342"/>
      <c r="E146" s="342"/>
      <c r="F146" s="421"/>
      <c r="G146" s="342"/>
      <c r="H146" s="941"/>
      <c r="I146" s="408"/>
      <c r="J146" s="343">
        <f>K146/$I$143+J145</f>
        <v>0.8</v>
      </c>
      <c r="K146" s="344">
        <v>54798.98</v>
      </c>
      <c r="L146" s="345">
        <v>3</v>
      </c>
      <c r="M146" s="342">
        <v>41855</v>
      </c>
      <c r="N146" s="346">
        <v>54798.98</v>
      </c>
      <c r="O146" s="347">
        <v>41884</v>
      </c>
      <c r="P146" s="405">
        <f>IF(O146="",$R$2-M146,O146-M146)</f>
        <v>29</v>
      </c>
      <c r="Q146" s="349" t="str">
        <f>IF(N146="en attente",K146,"")</f>
        <v/>
      </c>
      <c r="R146" s="349">
        <f>IF(M146="",K146-N146,0)</f>
        <v>0</v>
      </c>
      <c r="S146" s="349"/>
      <c r="T146" s="162"/>
    </row>
    <row r="147" spans="1:20" s="26" customFormat="1" outlineLevel="1" x14ac:dyDescent="0.2">
      <c r="A147" s="351" t="s">
        <v>51</v>
      </c>
      <c r="B147" s="358"/>
      <c r="C147" s="353"/>
      <c r="D147" s="353"/>
      <c r="E147" s="353"/>
      <c r="F147" s="422"/>
      <c r="G147" s="353"/>
      <c r="H147" s="942"/>
      <c r="I147" s="408"/>
      <c r="J147" s="423">
        <f>K147/$I$143+J146</f>
        <v>1</v>
      </c>
      <c r="K147" s="354">
        <v>35537.599999999999</v>
      </c>
      <c r="L147" s="355">
        <v>4</v>
      </c>
      <c r="M147" s="353">
        <v>42411</v>
      </c>
      <c r="N147" s="356">
        <v>35537.599999999999</v>
      </c>
      <c r="O147" s="357">
        <v>42593</v>
      </c>
      <c r="P147" s="424"/>
      <c r="Q147" s="359" t="str">
        <f>IF(N147="en attente",K147,"")</f>
        <v/>
      </c>
      <c r="R147" s="359">
        <f>IF(M147="",K147-N147,0)</f>
        <v>0</v>
      </c>
      <c r="S147" s="359" t="s">
        <v>67</v>
      </c>
      <c r="T147" s="162"/>
    </row>
    <row r="148" spans="1:20" s="106" customFormat="1" x14ac:dyDescent="0.2">
      <c r="A148" s="397" t="s">
        <v>8</v>
      </c>
      <c r="B148" s="401" t="s">
        <v>160</v>
      </c>
      <c r="C148" s="409">
        <v>41170</v>
      </c>
      <c r="D148" s="321">
        <f>DATE(YEAR(C148),MONTH(C148)+18,DAY(C148))</f>
        <v>41716</v>
      </c>
      <c r="E148" s="409">
        <v>41253</v>
      </c>
      <c r="F148" s="414">
        <v>41554</v>
      </c>
      <c r="G148" s="321">
        <v>43360</v>
      </c>
      <c r="H148" s="944">
        <v>42633</v>
      </c>
      <c r="I148" s="323">
        <v>264000</v>
      </c>
      <c r="J148" s="404"/>
      <c r="K148" s="399"/>
      <c r="L148" s="410"/>
      <c r="M148" s="409"/>
      <c r="N148" s="402">
        <f>SUM(N149:N152)</f>
        <v>264000</v>
      </c>
      <c r="O148" s="415"/>
      <c r="P148" s="425"/>
      <c r="Q148" s="411">
        <f>SUM(Q149:Q152)</f>
        <v>0</v>
      </c>
      <c r="R148" s="411">
        <f>SUM(R149:R152)</f>
        <v>0</v>
      </c>
      <c r="S148" s="411"/>
      <c r="T148" s="165">
        <f>I148-(N148+Q148+R148)</f>
        <v>0</v>
      </c>
    </row>
    <row r="149" spans="1:20" s="26" customFormat="1" outlineLevel="1" x14ac:dyDescent="0.2">
      <c r="A149" s="329" t="s">
        <v>8</v>
      </c>
      <c r="B149" s="348"/>
      <c r="C149" s="407" t="s">
        <v>197</v>
      </c>
      <c r="D149" s="342"/>
      <c r="E149" s="342"/>
      <c r="F149" s="421"/>
      <c r="G149" s="342" t="s">
        <v>227</v>
      </c>
      <c r="H149" s="945"/>
      <c r="I149" s="408"/>
      <c r="J149" s="343">
        <f>K149/$I$148</f>
        <v>0.3</v>
      </c>
      <c r="K149" s="344">
        <v>79200</v>
      </c>
      <c r="L149" s="345">
        <v>1</v>
      </c>
      <c r="M149" s="342">
        <v>41582</v>
      </c>
      <c r="N149" s="346">
        <v>79200</v>
      </c>
      <c r="O149" s="347">
        <v>41618</v>
      </c>
      <c r="P149" s="405">
        <f>IF(O149="",$R$2-M149,O149-M149)</f>
        <v>36</v>
      </c>
      <c r="Q149" s="411" t="str">
        <f t="shared" si="39"/>
        <v/>
      </c>
      <c r="R149" s="349">
        <f>IF(M149="",K149-N149,0)</f>
        <v>0</v>
      </c>
      <c r="S149" s="349"/>
      <c r="T149" s="162"/>
    </row>
    <row r="150" spans="1:20" s="106" customFormat="1" outlineLevel="1" x14ac:dyDescent="0.2">
      <c r="A150" s="329" t="s">
        <v>8</v>
      </c>
      <c r="B150" s="401"/>
      <c r="C150" s="409"/>
      <c r="D150" s="409"/>
      <c r="E150" s="409"/>
      <c r="F150" s="414"/>
      <c r="G150" s="651"/>
      <c r="H150" s="946"/>
      <c r="I150" s="403"/>
      <c r="J150" s="343">
        <f>K150/$I$148+J149</f>
        <v>0.61050000000000004</v>
      </c>
      <c r="K150" s="344">
        <v>81972</v>
      </c>
      <c r="L150" s="345">
        <v>2</v>
      </c>
      <c r="M150" s="342">
        <v>42178</v>
      </c>
      <c r="N150" s="346">
        <v>81972</v>
      </c>
      <c r="O150" s="347">
        <v>42237</v>
      </c>
      <c r="P150" s="405">
        <f>IF(O150="",$R$2-M150,O150-M150)</f>
        <v>59</v>
      </c>
      <c r="Q150" s="411" t="str">
        <f t="shared" si="39"/>
        <v/>
      </c>
      <c r="R150" s="411">
        <f>IF(M150="",K150-N150,0)</f>
        <v>0</v>
      </c>
      <c r="S150" s="411"/>
      <c r="T150" s="162"/>
    </row>
    <row r="151" spans="1:20" s="26" customFormat="1" outlineLevel="1" x14ac:dyDescent="0.2">
      <c r="A151" s="329" t="s">
        <v>8</v>
      </c>
      <c r="B151" s="348"/>
      <c r="C151" s="342"/>
      <c r="D151" s="342"/>
      <c r="E151" s="342"/>
      <c r="F151" s="421"/>
      <c r="G151" s="407"/>
      <c r="H151" s="941"/>
      <c r="I151" s="408"/>
      <c r="J151" s="430">
        <v>0.76859999999999995</v>
      </c>
      <c r="K151" s="344">
        <v>41738.400000000001</v>
      </c>
      <c r="L151" s="345">
        <v>3</v>
      </c>
      <c r="M151" s="342">
        <v>42376</v>
      </c>
      <c r="N151" s="346">
        <v>41738.400000000001</v>
      </c>
      <c r="O151" s="347">
        <v>42438</v>
      </c>
      <c r="P151" s="405">
        <f>IF(O151="",$R$2-M151,O151-M151)</f>
        <v>62</v>
      </c>
      <c r="Q151" s="411" t="str">
        <f t="shared" si="39"/>
        <v/>
      </c>
      <c r="R151" s="349">
        <f>IF(M151="",K151-N151,0)</f>
        <v>0</v>
      </c>
      <c r="S151" s="349"/>
      <c r="T151" s="162"/>
    </row>
    <row r="152" spans="1:20" s="26" customFormat="1" outlineLevel="1" x14ac:dyDescent="0.2">
      <c r="A152" s="329" t="s">
        <v>8</v>
      </c>
      <c r="B152" s="348"/>
      <c r="C152" s="342"/>
      <c r="D152" s="342"/>
      <c r="E152" s="342"/>
      <c r="F152" s="421"/>
      <c r="G152" s="407"/>
      <c r="H152" s="941"/>
      <c r="I152" s="408"/>
      <c r="J152" s="343">
        <v>1</v>
      </c>
      <c r="K152" s="344">
        <f>I148-(K149+K150+K151)</f>
        <v>61089.600000000006</v>
      </c>
      <c r="L152" s="345">
        <v>4</v>
      </c>
      <c r="M152" s="342">
        <v>43025</v>
      </c>
      <c r="N152" s="346">
        <v>61089.599999999999</v>
      </c>
      <c r="O152" s="347">
        <v>43252</v>
      </c>
      <c r="P152" s="405"/>
      <c r="Q152" s="411" t="str">
        <f t="shared" si="39"/>
        <v/>
      </c>
      <c r="R152" s="349">
        <f>IF(M152="",K152-N152,0)</f>
        <v>0</v>
      </c>
      <c r="S152" s="349"/>
      <c r="T152" s="162"/>
    </row>
    <row r="153" spans="1:20" s="106" customFormat="1" x14ac:dyDescent="0.2">
      <c r="A153" s="320" t="s">
        <v>89</v>
      </c>
      <c r="B153" s="327" t="s">
        <v>159</v>
      </c>
      <c r="C153" s="321">
        <v>41179</v>
      </c>
      <c r="D153" s="321">
        <f>DATE(YEAR(C153),MONTH(C153)+18,DAY(C153))</f>
        <v>41725</v>
      </c>
      <c r="E153" s="321">
        <v>41253</v>
      </c>
      <c r="F153" s="419">
        <v>41452</v>
      </c>
      <c r="G153" s="321">
        <f>DATE(YEAR(C153)+4,MONTH(C153),DAY(C153))</f>
        <v>42640</v>
      </c>
      <c r="H153" s="944">
        <v>42275</v>
      </c>
      <c r="I153" s="323">
        <v>165000</v>
      </c>
      <c r="J153" s="322"/>
      <c r="K153" s="323"/>
      <c r="L153" s="324"/>
      <c r="M153" s="321"/>
      <c r="N153" s="325">
        <f>SUM(N154:N157)</f>
        <v>165000</v>
      </c>
      <c r="O153" s="326"/>
      <c r="P153" s="420"/>
      <c r="Q153" s="328">
        <f>SUM(Q154:Q157)</f>
        <v>0</v>
      </c>
      <c r="R153" s="328">
        <f>SUM(R154:R157)</f>
        <v>0</v>
      </c>
      <c r="S153" s="328"/>
      <c r="T153" s="165">
        <f>I153-(N153+Q153+R153)</f>
        <v>0</v>
      </c>
    </row>
    <row r="154" spans="1:20" s="26" customFormat="1" outlineLevel="1" x14ac:dyDescent="0.2">
      <c r="A154" s="329" t="s">
        <v>89</v>
      </c>
      <c r="B154" s="348"/>
      <c r="C154" s="407" t="s">
        <v>197</v>
      </c>
      <c r="D154" s="342"/>
      <c r="E154" s="342"/>
      <c r="F154" s="421"/>
      <c r="G154" s="342"/>
      <c r="H154" s="941"/>
      <c r="I154" s="408"/>
      <c r="J154" s="343">
        <f>K154/$I$153</f>
        <v>0.3</v>
      </c>
      <c r="K154" s="344">
        <v>49500</v>
      </c>
      <c r="L154" s="345">
        <v>1</v>
      </c>
      <c r="M154" s="342">
        <v>41485</v>
      </c>
      <c r="N154" s="346">
        <v>49500</v>
      </c>
      <c r="O154" s="347">
        <v>41551</v>
      </c>
      <c r="P154" s="405">
        <f>IF(O154="",$R$2-M154,O154-M154)</f>
        <v>66</v>
      </c>
      <c r="Q154" s="411" t="str">
        <f t="shared" si="39"/>
        <v/>
      </c>
      <c r="R154" s="349">
        <f>IF(M154="",K154-N154,0)</f>
        <v>0</v>
      </c>
      <c r="S154" s="349"/>
      <c r="T154" s="162"/>
    </row>
    <row r="155" spans="1:20" s="26" customFormat="1" outlineLevel="1" x14ac:dyDescent="0.2">
      <c r="A155" s="329" t="s">
        <v>89</v>
      </c>
      <c r="B155" s="348"/>
      <c r="C155" s="342"/>
      <c r="D155" s="342"/>
      <c r="E155" s="342"/>
      <c r="F155" s="421"/>
      <c r="G155" s="342"/>
      <c r="H155" s="941"/>
      <c r="I155" s="408"/>
      <c r="J155" s="343">
        <f>K155/$I$153+J154</f>
        <v>0.54269999999999996</v>
      </c>
      <c r="K155" s="344">
        <v>40045.5</v>
      </c>
      <c r="L155" s="345">
        <v>2</v>
      </c>
      <c r="M155" s="342">
        <v>41855</v>
      </c>
      <c r="N155" s="346">
        <v>40045.5</v>
      </c>
      <c r="O155" s="347">
        <v>41921</v>
      </c>
      <c r="P155" s="405">
        <f>IF(O155="",$R$2-M155,O155-M155)</f>
        <v>66</v>
      </c>
      <c r="Q155" s="411" t="str">
        <f t="shared" si="39"/>
        <v/>
      </c>
      <c r="R155" s="349">
        <f>IF(M155="",K155-N155,0)</f>
        <v>0</v>
      </c>
      <c r="S155" s="349"/>
      <c r="T155" s="162"/>
    </row>
    <row r="156" spans="1:20" s="26" customFormat="1" outlineLevel="1" x14ac:dyDescent="0.2">
      <c r="A156" s="329" t="s">
        <v>89</v>
      </c>
      <c r="B156" s="348"/>
      <c r="C156" s="342"/>
      <c r="D156" s="342"/>
      <c r="E156" s="342"/>
      <c r="F156" s="421"/>
      <c r="G156" s="342"/>
      <c r="H156" s="941"/>
      <c r="I156" s="408"/>
      <c r="J156" s="343">
        <f>K156/$I$153+J155</f>
        <v>0.77839999999999998</v>
      </c>
      <c r="K156" s="344">
        <v>38890.5</v>
      </c>
      <c r="L156" s="345">
        <v>3</v>
      </c>
      <c r="M156" s="342">
        <v>42221</v>
      </c>
      <c r="N156" s="346">
        <v>38890.5</v>
      </c>
      <c r="O156" s="347">
        <v>42243</v>
      </c>
      <c r="P156" s="405">
        <f>IF(O156="",$R$2-M156,O156-M156)</f>
        <v>22</v>
      </c>
      <c r="Q156" s="411" t="str">
        <f t="shared" si="39"/>
        <v/>
      </c>
      <c r="R156" s="349">
        <f>IF(M156="",K156-N156,0)</f>
        <v>0</v>
      </c>
      <c r="S156" s="349"/>
      <c r="T156" s="162"/>
    </row>
    <row r="157" spans="1:20" s="26" customFormat="1" outlineLevel="1" x14ac:dyDescent="0.2">
      <c r="A157" s="351" t="s">
        <v>89</v>
      </c>
      <c r="B157" s="358"/>
      <c r="C157" s="353"/>
      <c r="D157" s="353"/>
      <c r="E157" s="353"/>
      <c r="F157" s="422"/>
      <c r="G157" s="353"/>
      <c r="H157" s="942"/>
      <c r="I157" s="408"/>
      <c r="J157" s="423">
        <f>K157/$I$153+J156</f>
        <v>1</v>
      </c>
      <c r="K157" s="354">
        <v>36564</v>
      </c>
      <c r="L157" s="355">
        <v>4</v>
      </c>
      <c r="M157" s="353">
        <v>42656</v>
      </c>
      <c r="N157" s="356">
        <v>36564</v>
      </c>
      <c r="O157" s="357">
        <v>42859</v>
      </c>
      <c r="P157" s="424"/>
      <c r="Q157" s="411" t="str">
        <f t="shared" si="39"/>
        <v/>
      </c>
      <c r="R157" s="359">
        <f>IF(M157="",K157-N157,0)</f>
        <v>0</v>
      </c>
      <c r="S157" s="359"/>
      <c r="T157" s="162"/>
    </row>
    <row r="158" spans="1:20" s="8" customFormat="1" x14ac:dyDescent="0.2">
      <c r="A158" s="320" t="s">
        <v>36</v>
      </c>
      <c r="B158" s="393" t="s">
        <v>152</v>
      </c>
      <c r="C158" s="321">
        <v>41515</v>
      </c>
      <c r="D158" s="321">
        <f>DATE(YEAR(C158),MONTH(C158)+18,DAY(C158))</f>
        <v>42064</v>
      </c>
      <c r="E158" s="321">
        <v>41712</v>
      </c>
      <c r="F158" s="419">
        <v>41835</v>
      </c>
      <c r="G158" s="321">
        <f>DATE(YEAR(C158)+4,MONTH(C158),DAY(C158))</f>
        <v>42976</v>
      </c>
      <c r="H158" s="944">
        <v>42333</v>
      </c>
      <c r="I158" s="323">
        <v>500000</v>
      </c>
      <c r="J158" s="322"/>
      <c r="K158" s="323"/>
      <c r="L158" s="324"/>
      <c r="M158" s="327"/>
      <c r="N158" s="325">
        <f>SUM(N159:N162)</f>
        <v>500000</v>
      </c>
      <c r="O158" s="326"/>
      <c r="P158" s="420"/>
      <c r="Q158" s="328">
        <f>SUM(Q159:Q162)</f>
        <v>0</v>
      </c>
      <c r="R158" s="328">
        <f>SUM(R159:R162)</f>
        <v>0</v>
      </c>
      <c r="S158" s="328"/>
      <c r="T158" s="165">
        <f>I158-(N158+Q158+R158)</f>
        <v>0</v>
      </c>
    </row>
    <row r="159" spans="1:20" s="26" customFormat="1" outlineLevel="1" x14ac:dyDescent="0.2">
      <c r="A159" s="329" t="s">
        <v>36</v>
      </c>
      <c r="B159" s="348"/>
      <c r="C159" s="407" t="s">
        <v>197</v>
      </c>
      <c r="D159" s="342"/>
      <c r="E159" s="342"/>
      <c r="F159" s="421"/>
      <c r="G159" s="342"/>
      <c r="H159" s="941"/>
      <c r="I159" s="408"/>
      <c r="J159" s="343">
        <f>K159/I158</f>
        <v>0.3</v>
      </c>
      <c r="K159" s="344">
        <v>150000</v>
      </c>
      <c r="L159" s="345">
        <v>1</v>
      </c>
      <c r="M159" s="342">
        <v>41939</v>
      </c>
      <c r="N159" s="346">
        <v>150000</v>
      </c>
      <c r="O159" s="347">
        <v>41984</v>
      </c>
      <c r="P159" s="405">
        <f>IF(O159="",$R$2-M159,O159-M159)</f>
        <v>45</v>
      </c>
      <c r="Q159" s="411" t="str">
        <f t="shared" si="39"/>
        <v/>
      </c>
      <c r="R159" s="349">
        <f>IF(M159="",K159-N159,0)</f>
        <v>0</v>
      </c>
      <c r="S159" s="452"/>
      <c r="T159" s="162"/>
    </row>
    <row r="160" spans="1:20" s="26" customFormat="1" outlineLevel="1" x14ac:dyDescent="0.2">
      <c r="A160" s="329" t="s">
        <v>36</v>
      </c>
      <c r="B160" s="348"/>
      <c r="C160" s="342"/>
      <c r="D160" s="342"/>
      <c r="E160" s="342"/>
      <c r="F160" s="421"/>
      <c r="G160" s="342"/>
      <c r="H160" s="941"/>
      <c r="I160" s="408"/>
      <c r="J160" s="343">
        <f>K160/$I$158+$J$159</f>
        <v>0.55289999999999995</v>
      </c>
      <c r="K160" s="344">
        <v>126450</v>
      </c>
      <c r="L160" s="345">
        <v>2</v>
      </c>
      <c r="M160" s="342">
        <v>42187</v>
      </c>
      <c r="N160" s="346">
        <v>126450</v>
      </c>
      <c r="O160" s="347">
        <v>42234</v>
      </c>
      <c r="P160" s="405">
        <f>IF(O160="",$R$2-M160,O160-M160)</f>
        <v>47</v>
      </c>
      <c r="Q160" s="411" t="str">
        <f t="shared" si="39"/>
        <v/>
      </c>
      <c r="R160" s="349">
        <f>IF(M160="",K160-N160,0)</f>
        <v>0</v>
      </c>
      <c r="S160" s="349"/>
      <c r="T160" s="162"/>
    </row>
    <row r="161" spans="1:20" s="26" customFormat="1" outlineLevel="1" x14ac:dyDescent="0.2">
      <c r="A161" s="329" t="s">
        <v>36</v>
      </c>
      <c r="B161" s="348"/>
      <c r="C161" s="342"/>
      <c r="D161" s="342"/>
      <c r="E161" s="342"/>
      <c r="F161" s="421"/>
      <c r="G161" s="342"/>
      <c r="H161" s="941"/>
      <c r="I161" s="408"/>
      <c r="J161" s="430">
        <v>0.74490000000000001</v>
      </c>
      <c r="K161" s="344">
        <v>96000</v>
      </c>
      <c r="L161" s="345">
        <v>3</v>
      </c>
      <c r="M161" s="342">
        <v>42314</v>
      </c>
      <c r="N161" s="346">
        <v>96000</v>
      </c>
      <c r="O161" s="347">
        <v>42341</v>
      </c>
      <c r="P161" s="405">
        <f>IF(O161="",$R$2-M161,O161-M161)</f>
        <v>27</v>
      </c>
      <c r="Q161" s="411" t="str">
        <f t="shared" si="39"/>
        <v/>
      </c>
      <c r="R161" s="349">
        <f>IF(M161="",K161-N161,0)</f>
        <v>0</v>
      </c>
      <c r="S161" s="349"/>
      <c r="T161" s="162"/>
    </row>
    <row r="162" spans="1:20" s="26" customFormat="1" outlineLevel="1" x14ac:dyDescent="0.2">
      <c r="A162" s="351" t="s">
        <v>36</v>
      </c>
      <c r="B162" s="358"/>
      <c r="C162" s="353"/>
      <c r="D162" s="353"/>
      <c r="E162" s="353"/>
      <c r="F162" s="422"/>
      <c r="G162" s="353"/>
      <c r="H162" s="942"/>
      <c r="I162" s="408"/>
      <c r="J162" s="423">
        <v>1</v>
      </c>
      <c r="K162" s="354">
        <f>I158-(K159+K160+K161)</f>
        <v>127550</v>
      </c>
      <c r="L162" s="355">
        <v>4</v>
      </c>
      <c r="M162" s="353">
        <v>42900</v>
      </c>
      <c r="N162" s="356">
        <v>127550</v>
      </c>
      <c r="O162" s="357">
        <v>43011</v>
      </c>
      <c r="P162" s="424"/>
      <c r="Q162" s="411" t="str">
        <f t="shared" si="39"/>
        <v/>
      </c>
      <c r="R162" s="349">
        <f>IF(M162="",K162-N162,0)</f>
        <v>0</v>
      </c>
      <c r="S162" s="359"/>
      <c r="T162" s="162"/>
    </row>
    <row r="163" spans="1:20" s="106" customFormat="1" x14ac:dyDescent="0.2">
      <c r="A163" s="320" t="s">
        <v>44</v>
      </c>
      <c r="B163" s="327" t="s">
        <v>158</v>
      </c>
      <c r="C163" s="321">
        <v>41486</v>
      </c>
      <c r="D163" s="321">
        <f>DATE(YEAR(C163),MONTH(C163)+18,DAY(C163))</f>
        <v>42035</v>
      </c>
      <c r="E163" s="321">
        <v>41621</v>
      </c>
      <c r="F163" s="419">
        <v>41900</v>
      </c>
      <c r="G163" s="321">
        <f>DATE(YEAR(C163)+4,MONTH(C163),DAY(C163))</f>
        <v>42947</v>
      </c>
      <c r="H163" s="944">
        <v>42576</v>
      </c>
      <c r="I163" s="323">
        <v>225000</v>
      </c>
      <c r="J163" s="322"/>
      <c r="K163" s="323"/>
      <c r="L163" s="324"/>
      <c r="M163" s="321"/>
      <c r="N163" s="325">
        <f>SUM(N164:N167)</f>
        <v>225000</v>
      </c>
      <c r="O163" s="326"/>
      <c r="P163" s="420"/>
      <c r="Q163" s="328">
        <f>SUM(Q164:Q167)</f>
        <v>0</v>
      </c>
      <c r="R163" s="328">
        <f>SUM(R164:R167)</f>
        <v>0</v>
      </c>
      <c r="S163" s="328"/>
      <c r="T163" s="165">
        <f>I163-(N163+Q163+R163)</f>
        <v>0</v>
      </c>
    </row>
    <row r="164" spans="1:20" s="26" customFormat="1" outlineLevel="1" x14ac:dyDescent="0.2">
      <c r="A164" s="329" t="s">
        <v>44</v>
      </c>
      <c r="B164" s="348"/>
      <c r="C164" s="407" t="s">
        <v>197</v>
      </c>
      <c r="D164" s="342"/>
      <c r="E164" s="342"/>
      <c r="F164" s="421"/>
      <c r="G164" s="342"/>
      <c r="H164" s="941"/>
      <c r="I164" s="408"/>
      <c r="J164" s="343">
        <f>K164/$I$163</f>
        <v>0.3</v>
      </c>
      <c r="K164" s="344">
        <v>67500</v>
      </c>
      <c r="L164" s="345">
        <v>1</v>
      </c>
      <c r="M164" s="342">
        <v>41925</v>
      </c>
      <c r="N164" s="346">
        <v>67500</v>
      </c>
      <c r="O164" s="347">
        <v>41955</v>
      </c>
      <c r="P164" s="405">
        <f>IF(O164="",$R$2-M164,O164-M164)</f>
        <v>30</v>
      </c>
      <c r="Q164" s="411" t="str">
        <f t="shared" si="39"/>
        <v/>
      </c>
      <c r="R164" s="349">
        <f>IF(M164="",K164-N164,0)</f>
        <v>0</v>
      </c>
      <c r="S164" s="452"/>
      <c r="T164" s="162"/>
    </row>
    <row r="165" spans="1:20" s="26" customFormat="1" outlineLevel="1" x14ac:dyDescent="0.2">
      <c r="A165" s="329" t="s">
        <v>44</v>
      </c>
      <c r="B165" s="348"/>
      <c r="C165" s="342"/>
      <c r="D165" s="342"/>
      <c r="E165" s="342"/>
      <c r="F165" s="421"/>
      <c r="G165" s="342"/>
      <c r="H165" s="941"/>
      <c r="I165" s="408"/>
      <c r="J165" s="343">
        <f>K165/$I$163+J164</f>
        <v>0.4037</v>
      </c>
      <c r="K165" s="344">
        <v>23332.5</v>
      </c>
      <c r="L165" s="345">
        <v>2</v>
      </c>
      <c r="M165" s="342">
        <v>42178</v>
      </c>
      <c r="N165" s="346">
        <v>23332.5</v>
      </c>
      <c r="O165" s="347">
        <v>42234</v>
      </c>
      <c r="P165" s="405">
        <f>IF(O165="",$R$2-M165,O165-M165)</f>
        <v>56</v>
      </c>
      <c r="Q165" s="411" t="str">
        <f t="shared" si="39"/>
        <v/>
      </c>
      <c r="R165" s="349">
        <f>IF(M165="",K165-N165,0)</f>
        <v>0</v>
      </c>
      <c r="S165" s="452"/>
      <c r="T165" s="162"/>
    </row>
    <row r="166" spans="1:20" s="26" customFormat="1" outlineLevel="1" x14ac:dyDescent="0.2">
      <c r="A166" s="329" t="s">
        <v>44</v>
      </c>
      <c r="B166" s="348"/>
      <c r="C166" s="342"/>
      <c r="D166" s="342"/>
      <c r="E166" s="342"/>
      <c r="F166" s="421"/>
      <c r="G166" s="342"/>
      <c r="H166" s="941"/>
      <c r="I166" s="408"/>
      <c r="J166" s="430">
        <v>0.7994</v>
      </c>
      <c r="K166" s="344">
        <v>89032.5</v>
      </c>
      <c r="L166" s="345">
        <v>3</v>
      </c>
      <c r="M166" s="342">
        <v>42376</v>
      </c>
      <c r="N166" s="346">
        <v>89032.5</v>
      </c>
      <c r="O166" s="347">
        <v>42431</v>
      </c>
      <c r="P166" s="405">
        <f>IF(O166="",$R$2-M166,O166-M166)</f>
        <v>55</v>
      </c>
      <c r="Q166" s="411" t="str">
        <f t="shared" si="39"/>
        <v/>
      </c>
      <c r="R166" s="349">
        <f>IF(M166="",K166-N166,0)</f>
        <v>0</v>
      </c>
      <c r="S166" s="349"/>
      <c r="T166" s="162"/>
    </row>
    <row r="167" spans="1:20" s="26" customFormat="1" outlineLevel="1" x14ac:dyDescent="0.2">
      <c r="A167" s="329" t="s">
        <v>44</v>
      </c>
      <c r="B167" s="348"/>
      <c r="C167" s="342"/>
      <c r="D167" s="342"/>
      <c r="E167" s="342"/>
      <c r="F167" s="421"/>
      <c r="G167" s="342"/>
      <c r="H167" s="941"/>
      <c r="I167" s="408"/>
      <c r="J167" s="343">
        <f>K167/$I$163+J166</f>
        <v>1</v>
      </c>
      <c r="K167" s="344">
        <f>225000-(K164+K165+K166)</f>
        <v>45135</v>
      </c>
      <c r="L167" s="345">
        <v>4</v>
      </c>
      <c r="M167" s="342">
        <v>42999</v>
      </c>
      <c r="N167" s="346">
        <v>45135</v>
      </c>
      <c r="O167" s="347">
        <v>43041</v>
      </c>
      <c r="P167" s="405"/>
      <c r="Q167" s="411" t="str">
        <f t="shared" si="39"/>
        <v/>
      </c>
      <c r="R167" s="349">
        <f>IF(M167="",K167-N167,0)</f>
        <v>0</v>
      </c>
      <c r="S167" s="349"/>
      <c r="T167" s="162"/>
    </row>
    <row r="168" spans="1:20" s="106" customFormat="1" x14ac:dyDescent="0.2">
      <c r="A168" s="320" t="s">
        <v>45</v>
      </c>
      <c r="B168" s="327" t="s">
        <v>157</v>
      </c>
      <c r="C168" s="321">
        <v>41465</v>
      </c>
      <c r="D168" s="321">
        <f>DATE(YEAR(C168),MONTH(C168)+18,DAY(C168))</f>
        <v>42014</v>
      </c>
      <c r="E168" s="321">
        <v>41621</v>
      </c>
      <c r="F168" s="419">
        <v>41801</v>
      </c>
      <c r="G168" s="321">
        <f>DATE(YEAR(C168)+4,MONTH(C168),DAY(C168))</f>
        <v>42926</v>
      </c>
      <c r="H168" s="944">
        <v>42726</v>
      </c>
      <c r="I168" s="323">
        <v>660000</v>
      </c>
      <c r="J168" s="322"/>
      <c r="K168" s="323"/>
      <c r="L168" s="324"/>
      <c r="M168" s="321"/>
      <c r="N168" s="325">
        <f>SUM(N169:N174)</f>
        <v>660000</v>
      </c>
      <c r="O168" s="326"/>
      <c r="P168" s="420"/>
      <c r="Q168" s="328">
        <f>SUM(Q169:Q174)</f>
        <v>0</v>
      </c>
      <c r="R168" s="328">
        <f>SUM(R169:R174)</f>
        <v>0</v>
      </c>
      <c r="S168" s="328"/>
      <c r="T168" s="165">
        <f>I168-(N168+Q168+R168)</f>
        <v>0</v>
      </c>
    </row>
    <row r="169" spans="1:20" s="26" customFormat="1" outlineLevel="1" x14ac:dyDescent="0.2">
      <c r="A169" s="329" t="s">
        <v>45</v>
      </c>
      <c r="B169" s="348"/>
      <c r="C169" s="407" t="s">
        <v>197</v>
      </c>
      <c r="D169" s="342"/>
      <c r="E169" s="342"/>
      <c r="F169" s="421"/>
      <c r="G169" s="342"/>
      <c r="H169" s="947"/>
      <c r="I169" s="408"/>
      <c r="J169" s="343">
        <f>K169/$I$168</f>
        <v>0.3</v>
      </c>
      <c r="K169" s="344">
        <v>198000</v>
      </c>
      <c r="L169" s="345">
        <v>1</v>
      </c>
      <c r="M169" s="342">
        <v>41817</v>
      </c>
      <c r="N169" s="346">
        <v>198000</v>
      </c>
      <c r="O169" s="347">
        <v>41862</v>
      </c>
      <c r="P169" s="405">
        <f t="shared" ref="P169:P174" si="40">IF(O169="",$R$2-M169,O169-M169)</f>
        <v>45</v>
      </c>
      <c r="Q169" s="411" t="str">
        <f t="shared" si="39"/>
        <v/>
      </c>
      <c r="R169" s="349">
        <f t="shared" ref="R169:R174" si="41">IF(M169="",K169-N169,0)</f>
        <v>0</v>
      </c>
      <c r="S169" s="349"/>
      <c r="T169" s="162"/>
    </row>
    <row r="170" spans="1:20" s="106" customFormat="1" outlineLevel="1" x14ac:dyDescent="0.2">
      <c r="A170" s="329" t="s">
        <v>45</v>
      </c>
      <c r="B170" s="401"/>
      <c r="C170" s="409"/>
      <c r="D170" s="409"/>
      <c r="E170" s="409"/>
      <c r="F170" s="414"/>
      <c r="G170" s="409"/>
      <c r="H170" s="946"/>
      <c r="I170" s="403"/>
      <c r="J170" s="343">
        <f>K170/$I$168+J169</f>
        <v>0.35649999999999998</v>
      </c>
      <c r="K170" s="344">
        <v>37290</v>
      </c>
      <c r="L170" s="345">
        <v>2</v>
      </c>
      <c r="M170" s="342">
        <v>42178</v>
      </c>
      <c r="N170" s="346">
        <v>37290</v>
      </c>
      <c r="O170" s="347">
        <v>42237</v>
      </c>
      <c r="P170" s="405">
        <f t="shared" si="40"/>
        <v>59</v>
      </c>
      <c r="Q170" s="411" t="str">
        <f t="shared" si="39"/>
        <v/>
      </c>
      <c r="R170" s="411">
        <f t="shared" si="41"/>
        <v>0</v>
      </c>
      <c r="S170" s="411"/>
      <c r="T170" s="162"/>
    </row>
    <row r="171" spans="1:20" s="26" customFormat="1" outlineLevel="1" x14ac:dyDescent="0.2">
      <c r="A171" s="329" t="s">
        <v>45</v>
      </c>
      <c r="B171" s="348"/>
      <c r="C171" s="342"/>
      <c r="D171" s="342"/>
      <c r="E171" s="342"/>
      <c r="F171" s="421"/>
      <c r="G171" s="342"/>
      <c r="H171" s="941"/>
      <c r="I171" s="408"/>
      <c r="J171" s="430">
        <v>0.49299999999999999</v>
      </c>
      <c r="K171" s="344">
        <v>90090</v>
      </c>
      <c r="L171" s="345">
        <v>3</v>
      </c>
      <c r="M171" s="342">
        <v>42314</v>
      </c>
      <c r="N171" s="346">
        <v>90090</v>
      </c>
      <c r="O171" s="347">
        <v>42341</v>
      </c>
      <c r="P171" s="405">
        <f t="shared" si="40"/>
        <v>27</v>
      </c>
      <c r="Q171" s="411" t="str">
        <f t="shared" si="39"/>
        <v/>
      </c>
      <c r="R171" s="349">
        <f t="shared" si="41"/>
        <v>0</v>
      </c>
      <c r="S171" s="349"/>
      <c r="T171" s="162"/>
    </row>
    <row r="172" spans="1:20" s="26" customFormat="1" outlineLevel="1" x14ac:dyDescent="0.2">
      <c r="A172" s="329" t="s">
        <v>45</v>
      </c>
      <c r="B172" s="348"/>
      <c r="C172" s="342"/>
      <c r="D172" s="342"/>
      <c r="E172" s="342"/>
      <c r="F172" s="421"/>
      <c r="G172" s="342"/>
      <c r="H172" s="941"/>
      <c r="I172" s="408"/>
      <c r="J172" s="430">
        <v>0.68030000000000002</v>
      </c>
      <c r="K172" s="344">
        <v>123618</v>
      </c>
      <c r="L172" s="345">
        <v>4</v>
      </c>
      <c r="M172" s="342">
        <v>42432</v>
      </c>
      <c r="N172" s="346">
        <v>123618</v>
      </c>
      <c r="O172" s="347">
        <v>42466</v>
      </c>
      <c r="P172" s="405">
        <f t="shared" si="40"/>
        <v>34</v>
      </c>
      <c r="Q172" s="411" t="str">
        <f t="shared" si="39"/>
        <v/>
      </c>
      <c r="R172" s="349">
        <f t="shared" si="41"/>
        <v>0</v>
      </c>
      <c r="S172" s="349"/>
      <c r="T172" s="162"/>
    </row>
    <row r="173" spans="1:20" s="26" customFormat="1" outlineLevel="1" x14ac:dyDescent="0.2">
      <c r="A173" s="329" t="s">
        <v>45</v>
      </c>
      <c r="B173" s="348"/>
      <c r="C173" s="342"/>
      <c r="D173" s="342"/>
      <c r="E173" s="342"/>
      <c r="F173" s="421"/>
      <c r="G173" s="342"/>
      <c r="H173" s="941"/>
      <c r="I173" s="408"/>
      <c r="J173" s="430">
        <v>0.78720000000000001</v>
      </c>
      <c r="K173" s="344">
        <v>70554</v>
      </c>
      <c r="L173" s="345">
        <v>7</v>
      </c>
      <c r="M173" s="342">
        <v>42537</v>
      </c>
      <c r="N173" s="346">
        <v>70554</v>
      </c>
      <c r="O173" s="347">
        <v>42558</v>
      </c>
      <c r="P173" s="405">
        <f t="shared" si="40"/>
        <v>21</v>
      </c>
      <c r="Q173" s="411" t="str">
        <f t="shared" si="39"/>
        <v/>
      </c>
      <c r="R173" s="349">
        <f t="shared" si="41"/>
        <v>0</v>
      </c>
      <c r="S173" s="349"/>
      <c r="T173" s="162"/>
    </row>
    <row r="174" spans="1:20" s="26" customFormat="1" outlineLevel="1" x14ac:dyDescent="0.2">
      <c r="A174" s="351" t="s">
        <v>45</v>
      </c>
      <c r="B174" s="358"/>
      <c r="C174" s="353"/>
      <c r="D174" s="353"/>
      <c r="E174" s="353"/>
      <c r="F174" s="422"/>
      <c r="G174" s="353"/>
      <c r="H174" s="942"/>
      <c r="I174" s="408"/>
      <c r="J174" s="423">
        <v>1</v>
      </c>
      <c r="K174" s="354">
        <f>I168-(K169+K170+K171+K172+K173)</f>
        <v>140448</v>
      </c>
      <c r="L174" s="355">
        <v>8</v>
      </c>
      <c r="M174" s="353">
        <v>43298</v>
      </c>
      <c r="N174" s="356">
        <v>140448</v>
      </c>
      <c r="O174" s="357">
        <v>43389</v>
      </c>
      <c r="P174" s="424">
        <f t="shared" si="40"/>
        <v>91</v>
      </c>
      <c r="Q174" s="411" t="str">
        <f t="shared" si="39"/>
        <v/>
      </c>
      <c r="R174" s="359">
        <f t="shared" si="41"/>
        <v>0</v>
      </c>
      <c r="S174" s="359"/>
      <c r="T174" s="162"/>
    </row>
    <row r="175" spans="1:20" s="106" customFormat="1" x14ac:dyDescent="0.2">
      <c r="A175" s="397" t="s">
        <v>45</v>
      </c>
      <c r="B175" s="401" t="s">
        <v>156</v>
      </c>
      <c r="C175" s="409">
        <v>41493</v>
      </c>
      <c r="D175" s="321">
        <f>DATE(YEAR(C175),MONTH(C175)+18,DAY(C175))</f>
        <v>42042</v>
      </c>
      <c r="E175" s="321">
        <v>41621</v>
      </c>
      <c r="F175" s="419">
        <v>41801</v>
      </c>
      <c r="G175" s="321">
        <f>DATE(YEAR(C175)+4,MONTH(C175),DAY(C175))</f>
        <v>42954</v>
      </c>
      <c r="H175" s="944">
        <v>42726</v>
      </c>
      <c r="I175" s="323">
        <v>1</v>
      </c>
      <c r="J175" s="404"/>
      <c r="K175" s="399"/>
      <c r="L175" s="410"/>
      <c r="M175" s="409"/>
      <c r="N175" s="411">
        <f>SUM(N176)</f>
        <v>0</v>
      </c>
      <c r="O175" s="415"/>
      <c r="P175" s="425"/>
      <c r="Q175" s="412">
        <f>SUM(Q176)</f>
        <v>0</v>
      </c>
      <c r="R175" s="411">
        <f>SUM(R176)</f>
        <v>0</v>
      </c>
      <c r="S175" s="411"/>
      <c r="T175" s="165">
        <f>I175-(N175+Q175+R175)</f>
        <v>1</v>
      </c>
    </row>
    <row r="176" spans="1:20" s="26" customFormat="1" x14ac:dyDescent="0.2">
      <c r="A176" s="329" t="s">
        <v>45</v>
      </c>
      <c r="B176" s="348"/>
      <c r="C176" s="407" t="s">
        <v>197</v>
      </c>
      <c r="D176" s="342"/>
      <c r="E176" s="342"/>
      <c r="F176" s="421"/>
      <c r="G176" s="342"/>
      <c r="H176" s="947"/>
      <c r="I176" s="344"/>
      <c r="J176" s="350"/>
      <c r="K176" s="344">
        <v>1</v>
      </c>
      <c r="L176" s="345">
        <v>1</v>
      </c>
      <c r="M176" s="342">
        <v>43298</v>
      </c>
      <c r="N176" s="346" t="s">
        <v>351</v>
      </c>
      <c r="O176" s="347"/>
      <c r="P176" s="405"/>
      <c r="Q176" s="411" t="str">
        <f t="shared" si="39"/>
        <v/>
      </c>
      <c r="R176" s="349">
        <f>IF(M176="",K176-N176,0)</f>
        <v>0</v>
      </c>
      <c r="S176" s="349"/>
      <c r="T176" s="162"/>
    </row>
    <row r="177" spans="1:20" s="106" customFormat="1" x14ac:dyDescent="0.2">
      <c r="A177" s="320" t="s">
        <v>49</v>
      </c>
      <c r="B177" s="327" t="s">
        <v>155</v>
      </c>
      <c r="C177" s="321">
        <v>41484</v>
      </c>
      <c r="D177" s="321">
        <f>DATE(YEAR(C177),MONTH(C177)+18,DAY(C177))</f>
        <v>42033</v>
      </c>
      <c r="E177" s="321">
        <v>41621</v>
      </c>
      <c r="F177" s="419">
        <v>41729</v>
      </c>
      <c r="G177" s="608">
        <v>43674</v>
      </c>
      <c r="H177" s="944">
        <v>43131</v>
      </c>
      <c r="I177" s="323">
        <v>680000</v>
      </c>
      <c r="J177" s="322"/>
      <c r="K177" s="323"/>
      <c r="L177" s="324"/>
      <c r="M177" s="321"/>
      <c r="N177" s="325">
        <f>SUM(N178:N183)</f>
        <v>680000</v>
      </c>
      <c r="O177" s="326"/>
      <c r="P177" s="420"/>
      <c r="Q177" s="328">
        <f>SUM(Q178:Q183)</f>
        <v>0</v>
      </c>
      <c r="R177" s="328">
        <f>SUM(R178:R183)</f>
        <v>0</v>
      </c>
      <c r="S177" s="328"/>
      <c r="T177" s="165">
        <f>I177-(N177+Q177+R177)</f>
        <v>0</v>
      </c>
    </row>
    <row r="178" spans="1:20" s="26" customFormat="1" outlineLevel="1" x14ac:dyDescent="0.2">
      <c r="A178" s="329" t="s">
        <v>49</v>
      </c>
      <c r="B178" s="348"/>
      <c r="C178" s="407" t="s">
        <v>197</v>
      </c>
      <c r="D178" s="342"/>
      <c r="E178" s="342"/>
      <c r="F178" s="421"/>
      <c r="G178" s="407" t="s">
        <v>223</v>
      </c>
      <c r="H178" s="941"/>
      <c r="I178" s="408"/>
      <c r="J178" s="343">
        <f>K178/I177</f>
        <v>0.3</v>
      </c>
      <c r="K178" s="344">
        <v>204000</v>
      </c>
      <c r="L178" s="345">
        <v>1</v>
      </c>
      <c r="M178" s="342">
        <v>41746</v>
      </c>
      <c r="N178" s="346">
        <v>204000</v>
      </c>
      <c r="O178" s="347">
        <v>41779</v>
      </c>
      <c r="P178" s="405">
        <f t="shared" ref="P178:P183" si="42">IF(O178="",$R$2-M178,O178-M178)</f>
        <v>33</v>
      </c>
      <c r="Q178" s="411" t="str">
        <f t="shared" si="39"/>
        <v/>
      </c>
      <c r="R178" s="349">
        <f t="shared" ref="R178:R273" si="43">IF(M178="",K178-N178,0)</f>
        <v>0</v>
      </c>
      <c r="S178" s="349"/>
      <c r="T178" s="162"/>
    </row>
    <row r="179" spans="1:20" s="106" customFormat="1" outlineLevel="1" x14ac:dyDescent="0.2">
      <c r="A179" s="329" t="s">
        <v>49</v>
      </c>
      <c r="B179" s="401"/>
      <c r="C179" s="409"/>
      <c r="D179" s="409"/>
      <c r="E179" s="409"/>
      <c r="F179" s="414"/>
      <c r="G179" s="409"/>
      <c r="H179" s="946"/>
      <c r="I179" s="403"/>
      <c r="J179" s="343">
        <f>K179/$I$177+J178</f>
        <v>0.40789999999999998</v>
      </c>
      <c r="K179" s="344">
        <v>73372</v>
      </c>
      <c r="L179" s="345">
        <v>2</v>
      </c>
      <c r="M179" s="342">
        <v>42178</v>
      </c>
      <c r="N179" s="346">
        <v>73372</v>
      </c>
      <c r="O179" s="347">
        <v>42220</v>
      </c>
      <c r="P179" s="405">
        <f t="shared" si="42"/>
        <v>42</v>
      </c>
      <c r="Q179" s="411" t="str">
        <f t="shared" si="39"/>
        <v/>
      </c>
      <c r="R179" s="411">
        <f t="shared" si="43"/>
        <v>0</v>
      </c>
      <c r="S179" s="411"/>
      <c r="T179" s="162"/>
    </row>
    <row r="180" spans="1:20" s="26" customFormat="1" outlineLevel="1" x14ac:dyDescent="0.2">
      <c r="A180" s="329" t="s">
        <v>49</v>
      </c>
      <c r="B180" s="348"/>
      <c r="C180" s="342"/>
      <c r="D180" s="342"/>
      <c r="E180" s="342"/>
      <c r="F180" s="421"/>
      <c r="G180" s="342"/>
      <c r="H180" s="941"/>
      <c r="I180" s="408"/>
      <c r="J180" s="430">
        <v>0.57169999999999999</v>
      </c>
      <c r="K180" s="344">
        <v>111384</v>
      </c>
      <c r="L180" s="345">
        <v>3</v>
      </c>
      <c r="M180" s="342">
        <v>42409</v>
      </c>
      <c r="N180" s="346">
        <v>111384</v>
      </c>
      <c r="O180" s="347">
        <v>42438</v>
      </c>
      <c r="P180" s="405">
        <f t="shared" si="42"/>
        <v>29</v>
      </c>
      <c r="Q180" s="411" t="str">
        <f t="shared" si="39"/>
        <v/>
      </c>
      <c r="R180" s="349">
        <f t="shared" si="43"/>
        <v>0</v>
      </c>
      <c r="S180" s="349"/>
      <c r="T180" s="162"/>
    </row>
    <row r="181" spans="1:20" s="26" customFormat="1" outlineLevel="1" x14ac:dyDescent="0.2">
      <c r="A181" s="329" t="s">
        <v>49</v>
      </c>
      <c r="B181" s="348"/>
      <c r="C181" s="342"/>
      <c r="D181" s="342"/>
      <c r="E181" s="342"/>
      <c r="F181" s="421"/>
      <c r="G181" s="342"/>
      <c r="H181" s="941"/>
      <c r="I181" s="408"/>
      <c r="J181" s="430">
        <v>0.65700000000000003</v>
      </c>
      <c r="K181" s="344">
        <v>58004</v>
      </c>
      <c r="L181" s="345">
        <v>4</v>
      </c>
      <c r="M181" s="342">
        <v>42516</v>
      </c>
      <c r="N181" s="346">
        <v>58004</v>
      </c>
      <c r="O181" s="347">
        <v>42549</v>
      </c>
      <c r="P181" s="405">
        <f t="shared" si="42"/>
        <v>33</v>
      </c>
      <c r="Q181" s="411" t="str">
        <f t="shared" si="39"/>
        <v/>
      </c>
      <c r="R181" s="349">
        <f t="shared" si="43"/>
        <v>0</v>
      </c>
      <c r="S181" s="349"/>
      <c r="T181" s="162"/>
    </row>
    <row r="182" spans="1:20" s="26" customFormat="1" outlineLevel="1" x14ac:dyDescent="0.2">
      <c r="A182" s="329" t="s">
        <v>49</v>
      </c>
      <c r="B182" s="348"/>
      <c r="C182" s="342"/>
      <c r="D182" s="342"/>
      <c r="E182" s="342"/>
      <c r="F182" s="421"/>
      <c r="G182" s="342"/>
      <c r="H182" s="941"/>
      <c r="I182" s="408"/>
      <c r="J182" s="430">
        <v>0.79949999999999999</v>
      </c>
      <c r="K182" s="344">
        <f>I177*J182-(K178+K179+K180+K181)</f>
        <v>96900</v>
      </c>
      <c r="L182" s="345">
        <v>5</v>
      </c>
      <c r="M182" s="342">
        <v>42866</v>
      </c>
      <c r="N182" s="346">
        <v>96900</v>
      </c>
      <c r="O182" s="347">
        <v>42899</v>
      </c>
      <c r="P182" s="405">
        <f t="shared" si="42"/>
        <v>33</v>
      </c>
      <c r="Q182" s="411" t="str">
        <f t="shared" si="39"/>
        <v/>
      </c>
      <c r="R182" s="349"/>
      <c r="S182" s="349"/>
      <c r="T182" s="162"/>
    </row>
    <row r="183" spans="1:20" s="26" customFormat="1" outlineLevel="1" x14ac:dyDescent="0.2">
      <c r="A183" s="329" t="s">
        <v>49</v>
      </c>
      <c r="B183" s="348"/>
      <c r="C183" s="342"/>
      <c r="D183" s="342"/>
      <c r="E183" s="342"/>
      <c r="F183" s="421"/>
      <c r="G183" s="342"/>
      <c r="H183" s="941"/>
      <c r="I183" s="408"/>
      <c r="J183" s="343">
        <v>1</v>
      </c>
      <c r="K183" s="344">
        <f>I177-K178-K179-K180-K181-K182</f>
        <v>136340</v>
      </c>
      <c r="L183" s="345">
        <v>6</v>
      </c>
      <c r="M183" s="342">
        <v>43258</v>
      </c>
      <c r="N183" s="346">
        <v>136340</v>
      </c>
      <c r="O183" s="347">
        <v>43304</v>
      </c>
      <c r="P183" s="405">
        <f t="shared" si="42"/>
        <v>46</v>
      </c>
      <c r="Q183" s="411" t="str">
        <f t="shared" si="39"/>
        <v/>
      </c>
      <c r="R183" s="349">
        <f t="shared" si="43"/>
        <v>0</v>
      </c>
      <c r="S183" s="349"/>
      <c r="T183" s="162"/>
    </row>
    <row r="184" spans="1:20" s="106" customFormat="1" x14ac:dyDescent="0.2">
      <c r="A184" s="320" t="s">
        <v>50</v>
      </c>
      <c r="B184" s="327" t="s">
        <v>154</v>
      </c>
      <c r="C184" s="321">
        <v>41596</v>
      </c>
      <c r="D184" s="321">
        <f>DATE(YEAR(C184),MONTH(C184)+18,DAY(C184))</f>
        <v>42142</v>
      </c>
      <c r="E184" s="321">
        <v>42339</v>
      </c>
      <c r="F184" s="419">
        <v>42341</v>
      </c>
      <c r="G184" s="321">
        <f>DATE(YEAR(C184)+4,MONTH(C184),DAY(C184))</f>
        <v>43057</v>
      </c>
      <c r="H184" s="944">
        <v>42865</v>
      </c>
      <c r="I184" s="323">
        <v>393831</v>
      </c>
      <c r="J184" s="322"/>
      <c r="K184" s="323"/>
      <c r="L184" s="324"/>
      <c r="M184" s="321"/>
      <c r="N184" s="325">
        <f>SUM(N185:N189)</f>
        <v>393831</v>
      </c>
      <c r="O184" s="326"/>
      <c r="P184" s="420"/>
      <c r="Q184" s="328">
        <f>SUM(Q185:Q189)</f>
        <v>0</v>
      </c>
      <c r="R184" s="328">
        <f>SUM(R185:R189)</f>
        <v>0</v>
      </c>
      <c r="S184" s="328"/>
      <c r="T184" s="165">
        <f>I184-(N184+Q184+R184)</f>
        <v>0</v>
      </c>
    </row>
    <row r="185" spans="1:20" s="26" customFormat="1" outlineLevel="1" x14ac:dyDescent="0.2">
      <c r="A185" s="329" t="s">
        <v>50</v>
      </c>
      <c r="B185" s="348"/>
      <c r="C185" s="407" t="s">
        <v>197</v>
      </c>
      <c r="D185" s="342"/>
      <c r="E185" s="342"/>
      <c r="F185" s="421"/>
      <c r="G185" s="342"/>
      <c r="H185" s="941"/>
      <c r="I185" s="408"/>
      <c r="J185" s="343">
        <f>K185/I184</f>
        <v>0.3</v>
      </c>
      <c r="K185" s="344">
        <f>30%*I184</f>
        <v>118149.29999999999</v>
      </c>
      <c r="L185" s="345">
        <v>1</v>
      </c>
      <c r="M185" s="342">
        <v>42383</v>
      </c>
      <c r="N185" s="346">
        <v>118149.3</v>
      </c>
      <c r="O185" s="347">
        <v>42431</v>
      </c>
      <c r="P185" s="405">
        <f>IF(O185="",$R$2-M185,O185-M185)</f>
        <v>48</v>
      </c>
      <c r="Q185" s="349" t="str">
        <f t="shared" si="39"/>
        <v/>
      </c>
      <c r="R185" s="349">
        <f t="shared" si="43"/>
        <v>0</v>
      </c>
      <c r="S185" s="349"/>
      <c r="T185" s="165"/>
    </row>
    <row r="186" spans="1:20" s="26" customFormat="1" outlineLevel="1" x14ac:dyDescent="0.2">
      <c r="A186" s="329" t="s">
        <v>50</v>
      </c>
      <c r="B186" s="348"/>
      <c r="C186" s="342"/>
      <c r="D186" s="342"/>
      <c r="E186" s="342"/>
      <c r="F186" s="421"/>
      <c r="G186" s="342"/>
      <c r="H186" s="941"/>
      <c r="I186" s="408"/>
      <c r="J186" s="430">
        <v>0.48520000000000002</v>
      </c>
      <c r="K186" s="344">
        <f>(I184*J186)-K185</f>
        <v>72937.501200000028</v>
      </c>
      <c r="L186" s="345">
        <v>2</v>
      </c>
      <c r="M186" s="342">
        <v>42640</v>
      </c>
      <c r="N186" s="346">
        <v>72937.5</v>
      </c>
      <c r="O186" s="347">
        <v>42667</v>
      </c>
      <c r="P186" s="405">
        <f>IF(O186="",$R$2-M186,O186-M186)</f>
        <v>27</v>
      </c>
      <c r="Q186" s="411" t="str">
        <f t="shared" si="39"/>
        <v/>
      </c>
      <c r="R186" s="349">
        <f t="shared" si="43"/>
        <v>0</v>
      </c>
      <c r="S186" s="349"/>
      <c r="T186" s="165"/>
    </row>
    <row r="187" spans="1:20" s="26" customFormat="1" outlineLevel="1" x14ac:dyDescent="0.2">
      <c r="A187" s="329" t="s">
        <v>50</v>
      </c>
      <c r="B187" s="348"/>
      <c r="C187" s="342"/>
      <c r="D187" s="342"/>
      <c r="E187" s="342"/>
      <c r="F187" s="421"/>
      <c r="G187" s="342"/>
      <c r="H187" s="941"/>
      <c r="I187" s="408"/>
      <c r="J187" s="430">
        <v>0.65910000000000002</v>
      </c>
      <c r="K187" s="344">
        <v>68487.210000000006</v>
      </c>
      <c r="L187" s="345">
        <v>3</v>
      </c>
      <c r="M187" s="342">
        <v>42684</v>
      </c>
      <c r="N187" s="346">
        <v>68487.210000000006</v>
      </c>
      <c r="O187" s="347">
        <v>42712</v>
      </c>
      <c r="P187" s="405">
        <f>IF(O187="",$R$2-M187,O187-M187)</f>
        <v>28</v>
      </c>
      <c r="Q187" s="411" t="str">
        <f t="shared" si="39"/>
        <v/>
      </c>
      <c r="R187" s="349">
        <f>IF(M187="",K187-N187,0)</f>
        <v>0</v>
      </c>
      <c r="S187" s="349"/>
      <c r="T187" s="165"/>
    </row>
    <row r="188" spans="1:20" s="26" customFormat="1" outlineLevel="1" x14ac:dyDescent="0.2">
      <c r="A188" s="329" t="s">
        <v>50</v>
      </c>
      <c r="B188" s="348"/>
      <c r="C188" s="342"/>
      <c r="D188" s="342"/>
      <c r="E188" s="342"/>
      <c r="F188" s="421"/>
      <c r="G188" s="342"/>
      <c r="H188" s="941"/>
      <c r="I188" s="408"/>
      <c r="J188" s="430">
        <v>0.8</v>
      </c>
      <c r="K188" s="344">
        <f>I184*J188-(K185+K186+K187)</f>
        <v>55490.788800000038</v>
      </c>
      <c r="L188" s="345">
        <v>4</v>
      </c>
      <c r="M188" s="342">
        <v>42766</v>
      </c>
      <c r="N188" s="346">
        <v>55490.79</v>
      </c>
      <c r="O188" s="347">
        <v>42823</v>
      </c>
      <c r="P188" s="405"/>
      <c r="Q188" s="411" t="str">
        <f t="shared" si="39"/>
        <v/>
      </c>
      <c r="R188" s="349">
        <f t="shared" si="43"/>
        <v>0</v>
      </c>
      <c r="S188" s="349"/>
      <c r="T188" s="165"/>
    </row>
    <row r="189" spans="1:20" s="26" customFormat="1" outlineLevel="1" x14ac:dyDescent="0.2">
      <c r="A189" s="329" t="s">
        <v>50</v>
      </c>
      <c r="B189" s="348"/>
      <c r="C189" s="342"/>
      <c r="D189" s="342"/>
      <c r="E189" s="342"/>
      <c r="F189" s="421"/>
      <c r="G189" s="342"/>
      <c r="H189" s="941"/>
      <c r="I189" s="408"/>
      <c r="J189" s="343">
        <v>1</v>
      </c>
      <c r="K189" s="344">
        <f>I184-(K185+K186+K188+K187)</f>
        <v>78766.199999999953</v>
      </c>
      <c r="L189" s="345">
        <v>5</v>
      </c>
      <c r="M189" s="342">
        <v>43186</v>
      </c>
      <c r="N189" s="346">
        <v>78766.2</v>
      </c>
      <c r="O189" s="347">
        <v>43227</v>
      </c>
      <c r="P189" s="405"/>
      <c r="Q189" s="411" t="str">
        <f t="shared" si="39"/>
        <v/>
      </c>
      <c r="R189" s="349">
        <f t="shared" si="43"/>
        <v>0</v>
      </c>
      <c r="S189" s="349"/>
      <c r="T189" s="165"/>
    </row>
    <row r="190" spans="1:20" s="106" customFormat="1" x14ac:dyDescent="0.2">
      <c r="A190" s="320" t="s">
        <v>56</v>
      </c>
      <c r="B190" s="327"/>
      <c r="C190" s="321">
        <v>40826</v>
      </c>
      <c r="D190" s="321"/>
      <c r="E190" s="321"/>
      <c r="F190" s="419"/>
      <c r="G190" s="321"/>
      <c r="H190" s="944"/>
      <c r="I190" s="323">
        <v>239587</v>
      </c>
      <c r="J190" s="322"/>
      <c r="K190" s="323"/>
      <c r="L190" s="324"/>
      <c r="M190" s="321"/>
      <c r="N190" s="325">
        <f>SUM(N191:N194)</f>
        <v>239587.00000000003</v>
      </c>
      <c r="O190" s="326"/>
      <c r="P190" s="420"/>
      <c r="Q190" s="328">
        <f>SUM(Q191:Q194)</f>
        <v>0</v>
      </c>
      <c r="R190" s="328">
        <f>SUM(R191:R194)</f>
        <v>0</v>
      </c>
      <c r="S190" s="328"/>
      <c r="T190" s="438">
        <f>I190-(N190+Q190+R190)</f>
        <v>0</v>
      </c>
    </row>
    <row r="191" spans="1:20" s="26" customFormat="1" outlineLevel="1" x14ac:dyDescent="0.2">
      <c r="A191" s="329" t="s">
        <v>56</v>
      </c>
      <c r="B191" s="348"/>
      <c r="C191" s="342"/>
      <c r="D191" s="342"/>
      <c r="E191" s="342"/>
      <c r="F191" s="421"/>
      <c r="G191" s="342"/>
      <c r="H191" s="941"/>
      <c r="I191" s="344"/>
      <c r="J191" s="350"/>
      <c r="K191" s="344">
        <v>71876.100000000006</v>
      </c>
      <c r="L191" s="345"/>
      <c r="M191" s="342">
        <v>40946</v>
      </c>
      <c r="N191" s="346">
        <v>71876.100000000006</v>
      </c>
      <c r="O191" s="347">
        <v>41018</v>
      </c>
      <c r="P191" s="405">
        <f>IF(O191="",$R$2-M191,O191-M191)</f>
        <v>72</v>
      </c>
      <c r="Q191" s="349" t="str">
        <f t="shared" si="39"/>
        <v/>
      </c>
      <c r="R191" s="349">
        <f>IF(M191="",K191-N191,0)</f>
        <v>0</v>
      </c>
      <c r="S191" s="349"/>
      <c r="T191" s="162"/>
    </row>
    <row r="192" spans="1:20" s="26" customFormat="1" outlineLevel="1" x14ac:dyDescent="0.2">
      <c r="A192" s="329" t="s">
        <v>56</v>
      </c>
      <c r="B192" s="348"/>
      <c r="C192" s="342"/>
      <c r="D192" s="342"/>
      <c r="E192" s="342"/>
      <c r="F192" s="421"/>
      <c r="G192" s="342"/>
      <c r="H192" s="941"/>
      <c r="I192" s="344"/>
      <c r="J192" s="350"/>
      <c r="K192" s="344">
        <v>95691.05</v>
      </c>
      <c r="L192" s="345"/>
      <c r="M192" s="342">
        <v>41158</v>
      </c>
      <c r="N192" s="346">
        <v>95691.05</v>
      </c>
      <c r="O192" s="347">
        <v>41430</v>
      </c>
      <c r="P192" s="405">
        <f>IF(O192="",$R$2-M192,O192-M192)</f>
        <v>272</v>
      </c>
      <c r="Q192" s="349" t="str">
        <f t="shared" si="39"/>
        <v/>
      </c>
      <c r="R192" s="349">
        <f>IF(M192="",K192-N192,0)</f>
        <v>0</v>
      </c>
      <c r="S192" s="349"/>
      <c r="T192" s="162"/>
    </row>
    <row r="193" spans="1:20" s="26" customFormat="1" outlineLevel="1" x14ac:dyDescent="0.2">
      <c r="A193" s="329" t="s">
        <v>56</v>
      </c>
      <c r="B193" s="348"/>
      <c r="C193" s="342"/>
      <c r="D193" s="342"/>
      <c r="E193" s="342"/>
      <c r="F193" s="421"/>
      <c r="G193" s="342"/>
      <c r="H193" s="941"/>
      <c r="I193" s="344"/>
      <c r="J193" s="350"/>
      <c r="K193" s="344">
        <v>24102.45</v>
      </c>
      <c r="L193" s="345"/>
      <c r="M193" s="342">
        <v>41190</v>
      </c>
      <c r="N193" s="346">
        <v>24102.45</v>
      </c>
      <c r="O193" s="347">
        <v>41430</v>
      </c>
      <c r="P193" s="405">
        <f>IF(O193="",$R$2-M193,O193-M193)</f>
        <v>240</v>
      </c>
      <c r="Q193" s="349" t="str">
        <f t="shared" si="39"/>
        <v/>
      </c>
      <c r="R193" s="349">
        <f>IF(M193="",K193-N193,0)</f>
        <v>0</v>
      </c>
      <c r="S193" s="349"/>
      <c r="T193" s="162"/>
    </row>
    <row r="194" spans="1:20" s="26" customFormat="1" outlineLevel="1" x14ac:dyDescent="0.2">
      <c r="A194" s="329" t="s">
        <v>56</v>
      </c>
      <c r="B194" s="348"/>
      <c r="C194" s="342"/>
      <c r="D194" s="342"/>
      <c r="E194" s="342"/>
      <c r="F194" s="421"/>
      <c r="G194" s="342"/>
      <c r="H194" s="941"/>
      <c r="I194" s="344"/>
      <c r="J194" s="350"/>
      <c r="K194" s="344">
        <v>47917.4</v>
      </c>
      <c r="L194" s="345"/>
      <c r="M194" s="342">
        <v>42031</v>
      </c>
      <c r="N194" s="346">
        <v>47917.4</v>
      </c>
      <c r="O194" s="347">
        <v>42130</v>
      </c>
      <c r="P194" s="405">
        <f>IF(O194="",$R$2-M194,O194-M194)</f>
        <v>99</v>
      </c>
      <c r="Q194" s="349" t="str">
        <f t="shared" si="39"/>
        <v/>
      </c>
      <c r="R194" s="349">
        <f>IF(M194="",K194-N194,0)</f>
        <v>0</v>
      </c>
      <c r="S194" s="349"/>
      <c r="T194" s="162"/>
    </row>
    <row r="195" spans="1:20" s="106" customFormat="1" x14ac:dyDescent="0.2">
      <c r="A195" s="320" t="s">
        <v>53</v>
      </c>
      <c r="B195" s="327" t="s">
        <v>150</v>
      </c>
      <c r="C195" s="321">
        <v>41466</v>
      </c>
      <c r="D195" s="321">
        <f>DATE(YEAR(C195),MONTH(C195)+18,DAY(C195))</f>
        <v>42015</v>
      </c>
      <c r="E195" s="321">
        <v>41621</v>
      </c>
      <c r="F195" s="419">
        <v>41764</v>
      </c>
      <c r="G195" s="608">
        <v>43656</v>
      </c>
      <c r="H195" s="944">
        <v>43131</v>
      </c>
      <c r="I195" s="323">
        <v>1</v>
      </c>
      <c r="J195" s="322"/>
      <c r="K195" s="323"/>
      <c r="L195" s="324"/>
      <c r="M195" s="321"/>
      <c r="N195" s="325">
        <f>SUM(N196)</f>
        <v>0</v>
      </c>
      <c r="O195" s="326"/>
      <c r="P195" s="420"/>
      <c r="Q195" s="328">
        <f>SUM(Q196)</f>
        <v>0</v>
      </c>
      <c r="R195" s="328">
        <f>SUM(R196)</f>
        <v>0</v>
      </c>
      <c r="S195" s="328"/>
      <c r="T195" s="165">
        <f>I195-(N195+Q195+R195)</f>
        <v>1</v>
      </c>
    </row>
    <row r="196" spans="1:20" s="26" customFormat="1" x14ac:dyDescent="0.2">
      <c r="A196" s="351" t="s">
        <v>53</v>
      </c>
      <c r="B196" s="358"/>
      <c r="C196" s="390" t="s">
        <v>197</v>
      </c>
      <c r="D196" s="353"/>
      <c r="E196" s="353"/>
      <c r="F196" s="422"/>
      <c r="G196" s="390" t="s">
        <v>227</v>
      </c>
      <c r="H196" s="942"/>
      <c r="I196" s="354"/>
      <c r="J196" s="360"/>
      <c r="K196" s="354">
        <v>1</v>
      </c>
      <c r="L196" s="355">
        <v>1</v>
      </c>
      <c r="M196" s="353">
        <v>43307</v>
      </c>
      <c r="N196" s="356" t="s">
        <v>351</v>
      </c>
      <c r="O196" s="357"/>
      <c r="P196" s="424"/>
      <c r="Q196" s="359" t="str">
        <f>IF(N196="en attente",K196,"")</f>
        <v/>
      </c>
      <c r="R196" s="359">
        <f>IF(M196="",K196-N196,0)</f>
        <v>0</v>
      </c>
      <c r="S196" s="359"/>
      <c r="T196" s="162"/>
    </row>
    <row r="197" spans="1:20" s="106" customFormat="1" x14ac:dyDescent="0.2">
      <c r="A197" s="397" t="s">
        <v>54</v>
      </c>
      <c r="B197" s="401" t="s">
        <v>149</v>
      </c>
      <c r="C197" s="409">
        <v>41463</v>
      </c>
      <c r="D197" s="321">
        <f>DATE(YEAR(C197),MONTH(C197)+18,DAY(C197))</f>
        <v>42012</v>
      </c>
      <c r="E197" s="321">
        <v>41612</v>
      </c>
      <c r="F197" s="419">
        <v>41751</v>
      </c>
      <c r="G197" s="321">
        <v>43653</v>
      </c>
      <c r="H197" s="944">
        <v>43082</v>
      </c>
      <c r="I197" s="399">
        <v>432000</v>
      </c>
      <c r="J197" s="404"/>
      <c r="K197" s="399"/>
      <c r="L197" s="410"/>
      <c r="M197" s="409"/>
      <c r="N197" s="402">
        <f>SUM(N198:N203)</f>
        <v>432000</v>
      </c>
      <c r="O197" s="415"/>
      <c r="P197" s="425"/>
      <c r="Q197" s="411">
        <f>SUM(Q198:Q203)</f>
        <v>0</v>
      </c>
      <c r="R197" s="411">
        <f>SUM(R198:R203)</f>
        <v>0</v>
      </c>
      <c r="S197" s="411"/>
      <c r="T197" s="165">
        <f>I197-(N197+Q197+R197)</f>
        <v>0</v>
      </c>
    </row>
    <row r="198" spans="1:20" s="26" customFormat="1" outlineLevel="1" x14ac:dyDescent="0.2">
      <c r="A198" s="329" t="s">
        <v>54</v>
      </c>
      <c r="B198" s="348"/>
      <c r="C198" s="407" t="s">
        <v>197</v>
      </c>
      <c r="D198" s="342"/>
      <c r="E198" s="342"/>
      <c r="F198" s="421"/>
      <c r="G198" s="342" t="s">
        <v>227</v>
      </c>
      <c r="H198" s="941"/>
      <c r="I198" s="408"/>
      <c r="J198" s="343">
        <f>K198/$I$197</f>
        <v>0.3</v>
      </c>
      <c r="K198" s="344">
        <v>129600</v>
      </c>
      <c r="L198" s="345">
        <v>1</v>
      </c>
      <c r="M198" s="342">
        <v>41778</v>
      </c>
      <c r="N198" s="346">
        <v>129600</v>
      </c>
      <c r="O198" s="347">
        <v>41816</v>
      </c>
      <c r="P198" s="405">
        <f t="shared" ref="P198:P203" si="44">IF(O198="",$R$2-M198,O198-M198)</f>
        <v>38</v>
      </c>
      <c r="Q198" s="349" t="str">
        <f>IF(N198="en attente",K198,"")</f>
        <v/>
      </c>
      <c r="R198" s="349">
        <f t="shared" ref="R198:R203" si="45">IF(M198="",K198-N198,0)</f>
        <v>0</v>
      </c>
      <c r="S198" s="349"/>
      <c r="T198" s="162"/>
    </row>
    <row r="199" spans="1:20" s="26" customFormat="1" outlineLevel="1" x14ac:dyDescent="0.2">
      <c r="A199" s="329" t="s">
        <v>54</v>
      </c>
      <c r="B199" s="348"/>
      <c r="C199" s="342"/>
      <c r="D199" s="342"/>
      <c r="E199" s="342"/>
      <c r="F199" s="703"/>
      <c r="G199" s="347"/>
      <c r="H199" s="941"/>
      <c r="I199" s="408"/>
      <c r="J199" s="343">
        <f>K199/$I$197+J198</f>
        <v>0.32379999999999998</v>
      </c>
      <c r="K199" s="344">
        <v>10281.6</v>
      </c>
      <c r="L199" s="345">
        <v>2</v>
      </c>
      <c r="M199" s="342">
        <v>42187</v>
      </c>
      <c r="N199" s="346">
        <v>10281.6</v>
      </c>
      <c r="O199" s="347">
        <v>42234</v>
      </c>
      <c r="P199" s="405">
        <f t="shared" si="44"/>
        <v>47</v>
      </c>
      <c r="Q199" s="349" t="str">
        <f>IF(N199="en attente",K199,"")</f>
        <v/>
      </c>
      <c r="R199" s="349">
        <f t="shared" si="45"/>
        <v>0</v>
      </c>
      <c r="S199" s="349"/>
      <c r="T199" s="162"/>
    </row>
    <row r="200" spans="1:20" s="26" customFormat="1" outlineLevel="1" x14ac:dyDescent="0.2">
      <c r="A200" s="329" t="s">
        <v>54</v>
      </c>
      <c r="B200" s="348"/>
      <c r="C200" s="342"/>
      <c r="D200" s="342"/>
      <c r="E200" s="342"/>
      <c r="F200" s="421"/>
      <c r="G200" s="342"/>
      <c r="H200" s="941"/>
      <c r="I200" s="408"/>
      <c r="J200" s="430">
        <v>0.5645</v>
      </c>
      <c r="K200" s="344">
        <v>103982.39999999999</v>
      </c>
      <c r="L200" s="345">
        <v>3</v>
      </c>
      <c r="M200" s="342">
        <v>42339</v>
      </c>
      <c r="N200" s="346">
        <v>103982.39999999999</v>
      </c>
      <c r="O200" s="347">
        <v>42389</v>
      </c>
      <c r="P200" s="405">
        <f t="shared" si="44"/>
        <v>50</v>
      </c>
      <c r="Q200" s="349" t="str">
        <f>IF(N200="en attente",K200,"")</f>
        <v/>
      </c>
      <c r="R200" s="349">
        <f t="shared" si="45"/>
        <v>0</v>
      </c>
      <c r="S200" s="349"/>
      <c r="T200" s="162"/>
    </row>
    <row r="201" spans="1:20" s="26" customFormat="1" outlineLevel="1" x14ac:dyDescent="0.2">
      <c r="A201" s="329" t="s">
        <v>54</v>
      </c>
      <c r="B201" s="348"/>
      <c r="C201" s="342"/>
      <c r="D201" s="342"/>
      <c r="E201" s="342"/>
      <c r="F201" s="421"/>
      <c r="G201" s="342"/>
      <c r="H201" s="941"/>
      <c r="I201" s="408"/>
      <c r="J201" s="343">
        <v>0.64249999999999996</v>
      </c>
      <c r="K201" s="344">
        <v>33696</v>
      </c>
      <c r="L201" s="345">
        <v>4</v>
      </c>
      <c r="M201" s="342">
        <v>42458</v>
      </c>
      <c r="N201" s="346">
        <v>33696</v>
      </c>
      <c r="O201" s="347">
        <v>42481</v>
      </c>
      <c r="P201" s="405">
        <f t="shared" si="44"/>
        <v>23</v>
      </c>
      <c r="Q201" s="349"/>
      <c r="R201" s="349">
        <f t="shared" si="45"/>
        <v>0</v>
      </c>
      <c r="S201" s="349"/>
      <c r="T201" s="162"/>
    </row>
    <row r="202" spans="1:20" s="26" customFormat="1" outlineLevel="1" x14ac:dyDescent="0.2">
      <c r="A202" s="329" t="s">
        <v>54</v>
      </c>
      <c r="B202" s="348"/>
      <c r="C202" s="342"/>
      <c r="D202" s="342"/>
      <c r="E202" s="342"/>
      <c r="F202" s="421"/>
      <c r="G202" s="342"/>
      <c r="H202" s="941"/>
      <c r="I202" s="408"/>
      <c r="J202" s="430">
        <v>0.75919999999999999</v>
      </c>
      <c r="K202" s="344">
        <v>50414.400000000001</v>
      </c>
      <c r="L202" s="345">
        <v>5</v>
      </c>
      <c r="M202" s="342">
        <v>42537</v>
      </c>
      <c r="N202" s="346">
        <v>50414.400000000001</v>
      </c>
      <c r="O202" s="347">
        <v>42558</v>
      </c>
      <c r="P202" s="405">
        <f t="shared" si="44"/>
        <v>21</v>
      </c>
      <c r="Q202" s="349"/>
      <c r="R202" s="349">
        <f t="shared" si="45"/>
        <v>0</v>
      </c>
      <c r="S202" s="349"/>
      <c r="T202" s="162"/>
    </row>
    <row r="203" spans="1:20" s="26" customFormat="1" outlineLevel="1" x14ac:dyDescent="0.2">
      <c r="A203" s="329" t="s">
        <v>54</v>
      </c>
      <c r="B203" s="348"/>
      <c r="C203" s="342"/>
      <c r="D203" s="342"/>
      <c r="E203" s="342"/>
      <c r="F203" s="421"/>
      <c r="G203" s="342"/>
      <c r="H203" s="941"/>
      <c r="I203" s="408"/>
      <c r="J203" s="343">
        <v>1</v>
      </c>
      <c r="K203" s="344">
        <f>I197-K198-K199-K200-K201-K202</f>
        <v>104025.60000000003</v>
      </c>
      <c r="L203" s="345">
        <v>6</v>
      </c>
      <c r="M203" s="342">
        <v>43291</v>
      </c>
      <c r="N203" s="346">
        <v>104025.60000000001</v>
      </c>
      <c r="O203" s="347">
        <v>43342</v>
      </c>
      <c r="P203" s="405">
        <f t="shared" si="44"/>
        <v>51</v>
      </c>
      <c r="Q203" s="349" t="str">
        <f>IF(N203="en attente",K203,"")</f>
        <v/>
      </c>
      <c r="R203" s="349">
        <f t="shared" si="45"/>
        <v>0</v>
      </c>
      <c r="S203" s="349"/>
      <c r="T203" s="162"/>
    </row>
    <row r="204" spans="1:20" s="106" customFormat="1" x14ac:dyDescent="0.2">
      <c r="A204" s="320" t="s">
        <v>55</v>
      </c>
      <c r="B204" s="327" t="s">
        <v>148</v>
      </c>
      <c r="C204" s="321">
        <v>41536</v>
      </c>
      <c r="D204" s="321">
        <f>DATE(YEAR(C204),MONTH(C204)+18,DAY(C204))</f>
        <v>42082</v>
      </c>
      <c r="E204" s="321">
        <v>41619</v>
      </c>
      <c r="F204" s="419">
        <v>41876</v>
      </c>
      <c r="G204" s="321">
        <f>DATE(YEAR(C204)+4,MONTH(C204),DAY(C204))</f>
        <v>42997</v>
      </c>
      <c r="H204" s="944">
        <v>42796</v>
      </c>
      <c r="I204" s="323">
        <v>360000</v>
      </c>
      <c r="J204" s="322"/>
      <c r="K204" s="323"/>
      <c r="L204" s="324"/>
      <c r="M204" s="321"/>
      <c r="N204" s="325">
        <f>SUM(N205:N210)</f>
        <v>360000</v>
      </c>
      <c r="O204" s="326"/>
      <c r="P204" s="420"/>
      <c r="Q204" s="328">
        <f>SUM(Q205:Q210)</f>
        <v>0</v>
      </c>
      <c r="R204" s="328">
        <f>SUM(R205:R210)</f>
        <v>0</v>
      </c>
      <c r="S204" s="328"/>
      <c r="T204" s="165">
        <f>I204-(N204+Q204+R204)</f>
        <v>0</v>
      </c>
    </row>
    <row r="205" spans="1:20" s="26" customFormat="1" outlineLevel="1" x14ac:dyDescent="0.2">
      <c r="A205" s="329" t="s">
        <v>55</v>
      </c>
      <c r="B205" s="348"/>
      <c r="C205" s="407" t="s">
        <v>197</v>
      </c>
      <c r="D205" s="342"/>
      <c r="E205" s="342"/>
      <c r="F205" s="421"/>
      <c r="G205" s="342"/>
      <c r="H205" s="941"/>
      <c r="I205" s="408"/>
      <c r="J205" s="343">
        <f>K205/$I$204</f>
        <v>0.3</v>
      </c>
      <c r="K205" s="344">
        <v>108000</v>
      </c>
      <c r="L205" s="345">
        <v>1</v>
      </c>
      <c r="M205" s="342">
        <v>41925</v>
      </c>
      <c r="N205" s="346">
        <v>108000</v>
      </c>
      <c r="O205" s="347">
        <v>41984</v>
      </c>
      <c r="P205" s="405">
        <f t="shared" ref="P205:P210" si="46">IF(O205="",$R$2-M205,O205-M205)</f>
        <v>59</v>
      </c>
      <c r="Q205" s="349" t="str">
        <f t="shared" ref="Q205:Q210" si="47">IF(N205="en attente",K205,"")</f>
        <v/>
      </c>
      <c r="R205" s="349">
        <f t="shared" ref="R205:R210" si="48">IF(M205="",K205-N205,0)</f>
        <v>0</v>
      </c>
      <c r="S205" s="349"/>
      <c r="T205" s="162"/>
    </row>
    <row r="206" spans="1:20" s="106" customFormat="1" outlineLevel="1" x14ac:dyDescent="0.2">
      <c r="A206" s="329" t="s">
        <v>55</v>
      </c>
      <c r="B206" s="401"/>
      <c r="C206" s="409"/>
      <c r="D206" s="409"/>
      <c r="E206" s="409"/>
      <c r="F206" s="414"/>
      <c r="G206" s="409"/>
      <c r="H206" s="948"/>
      <c r="I206" s="403"/>
      <c r="J206" s="343">
        <f>K206/$I$204+J205</f>
        <v>0.31440000000000001</v>
      </c>
      <c r="K206" s="344">
        <v>5184</v>
      </c>
      <c r="L206" s="345">
        <v>2</v>
      </c>
      <c r="M206" s="342">
        <v>42178</v>
      </c>
      <c r="N206" s="346">
        <v>5184</v>
      </c>
      <c r="O206" s="347">
        <v>42237</v>
      </c>
      <c r="P206" s="405">
        <f t="shared" si="46"/>
        <v>59</v>
      </c>
      <c r="Q206" s="349" t="str">
        <f t="shared" si="47"/>
        <v/>
      </c>
      <c r="R206" s="349">
        <f t="shared" si="48"/>
        <v>0</v>
      </c>
      <c r="S206" s="411"/>
      <c r="T206" s="162"/>
    </row>
    <row r="207" spans="1:20" s="26" customFormat="1" outlineLevel="1" x14ac:dyDescent="0.2">
      <c r="A207" s="329" t="s">
        <v>55</v>
      </c>
      <c r="B207" s="348"/>
      <c r="C207" s="342"/>
      <c r="D207" s="342"/>
      <c r="E207" s="342"/>
      <c r="F207" s="421"/>
      <c r="G207" s="342"/>
      <c r="H207" s="941"/>
      <c r="I207" s="408"/>
      <c r="J207" s="430">
        <v>0.5343</v>
      </c>
      <c r="K207" s="344">
        <v>79164</v>
      </c>
      <c r="L207" s="345">
        <v>3</v>
      </c>
      <c r="M207" s="342">
        <v>42332</v>
      </c>
      <c r="N207" s="346">
        <v>79164</v>
      </c>
      <c r="O207" s="347">
        <v>42389</v>
      </c>
      <c r="P207" s="405">
        <f t="shared" si="46"/>
        <v>57</v>
      </c>
      <c r="Q207" s="349" t="str">
        <f t="shared" si="47"/>
        <v/>
      </c>
      <c r="R207" s="349">
        <f t="shared" si="48"/>
        <v>0</v>
      </c>
      <c r="S207" s="349"/>
      <c r="T207" s="162"/>
    </row>
    <row r="208" spans="1:20" s="26" customFormat="1" outlineLevel="1" x14ac:dyDescent="0.2">
      <c r="A208" s="329" t="s">
        <v>55</v>
      </c>
      <c r="B208" s="348"/>
      <c r="C208" s="342"/>
      <c r="D208" s="342"/>
      <c r="E208" s="342"/>
      <c r="F208" s="421"/>
      <c r="G208" s="342"/>
      <c r="H208" s="941"/>
      <c r="I208" s="408"/>
      <c r="J208" s="430">
        <v>0.66339999999999999</v>
      </c>
      <c r="K208" s="344">
        <v>46476</v>
      </c>
      <c r="L208" s="345">
        <v>4</v>
      </c>
      <c r="M208" s="342">
        <v>42432</v>
      </c>
      <c r="N208" s="346">
        <v>46476</v>
      </c>
      <c r="O208" s="347">
        <v>42466</v>
      </c>
      <c r="P208" s="405">
        <f t="shared" si="46"/>
        <v>34</v>
      </c>
      <c r="Q208" s="349" t="str">
        <f t="shared" si="47"/>
        <v/>
      </c>
      <c r="R208" s="349">
        <f t="shared" si="48"/>
        <v>0</v>
      </c>
      <c r="S208" s="349"/>
      <c r="T208" s="162"/>
    </row>
    <row r="209" spans="1:20" s="26" customFormat="1" outlineLevel="1" x14ac:dyDescent="0.2">
      <c r="A209" s="329" t="s">
        <v>55</v>
      </c>
      <c r="B209" s="348"/>
      <c r="C209" s="342"/>
      <c r="D209" s="342"/>
      <c r="E209" s="342"/>
      <c r="F209" s="421"/>
      <c r="G209" s="342"/>
      <c r="H209" s="941"/>
      <c r="I209" s="408"/>
      <c r="J209" s="343">
        <v>0.8</v>
      </c>
      <c r="K209" s="344">
        <f>I204*80/100-(K205+K206+K207+K208)</f>
        <v>49176</v>
      </c>
      <c r="L209" s="345">
        <v>5</v>
      </c>
      <c r="M209" s="342">
        <v>42640</v>
      </c>
      <c r="N209" s="346">
        <v>49176</v>
      </c>
      <c r="O209" s="347">
        <v>42671</v>
      </c>
      <c r="P209" s="405">
        <f t="shared" si="46"/>
        <v>31</v>
      </c>
      <c r="Q209" s="411" t="str">
        <f t="shared" si="47"/>
        <v/>
      </c>
      <c r="R209" s="349">
        <f t="shared" si="48"/>
        <v>0</v>
      </c>
      <c r="S209" s="349"/>
      <c r="T209" s="162"/>
    </row>
    <row r="210" spans="1:20" s="26" customFormat="1" outlineLevel="1" x14ac:dyDescent="0.2">
      <c r="A210" s="329" t="s">
        <v>55</v>
      </c>
      <c r="B210" s="348"/>
      <c r="C210" s="342"/>
      <c r="D210" s="342"/>
      <c r="E210" s="342"/>
      <c r="F210" s="421"/>
      <c r="G210" s="342"/>
      <c r="H210" s="941"/>
      <c r="I210" s="408"/>
      <c r="J210" s="343">
        <v>1</v>
      </c>
      <c r="K210" s="344">
        <f>I204-(K205+K206+K207+K208+K209)</f>
        <v>72000</v>
      </c>
      <c r="L210" s="345">
        <v>6</v>
      </c>
      <c r="M210" s="342">
        <v>43244</v>
      </c>
      <c r="N210" s="346">
        <v>72000</v>
      </c>
      <c r="O210" s="347">
        <v>43329</v>
      </c>
      <c r="P210" s="405">
        <f t="shared" si="46"/>
        <v>85</v>
      </c>
      <c r="Q210" s="349" t="str">
        <f t="shared" si="47"/>
        <v/>
      </c>
      <c r="R210" s="349">
        <f t="shared" si="48"/>
        <v>0</v>
      </c>
      <c r="S210" s="349"/>
      <c r="T210" s="162"/>
    </row>
    <row r="211" spans="1:20" s="106" customFormat="1" x14ac:dyDescent="0.2">
      <c r="A211" s="320" t="s">
        <v>253</v>
      </c>
      <c r="B211" s="327" t="s">
        <v>145</v>
      </c>
      <c r="C211" s="321">
        <v>41929</v>
      </c>
      <c r="D211" s="321">
        <f>DATE(YEAR(C211),MONTH(C211)+18,DAY(C211))</f>
        <v>42477</v>
      </c>
      <c r="E211" s="321">
        <v>42458</v>
      </c>
      <c r="F211" s="721">
        <v>42488</v>
      </c>
      <c r="G211" s="321">
        <f>DATE(YEAR(C211)+4,MONTH(C211),DAY(C211))</f>
        <v>43390</v>
      </c>
      <c r="H211" s="944">
        <v>42956</v>
      </c>
      <c r="I211" s="323">
        <v>320000</v>
      </c>
      <c r="J211" s="322"/>
      <c r="K211" s="323"/>
      <c r="L211" s="324"/>
      <c r="M211" s="321"/>
      <c r="N211" s="325">
        <f>SUM(N212:N216)</f>
        <v>320000</v>
      </c>
      <c r="O211" s="326"/>
      <c r="P211" s="420"/>
      <c r="Q211" s="328">
        <f>SUM(Q212:Q216)</f>
        <v>0</v>
      </c>
      <c r="R211" s="328">
        <f>SUM(R212:R216)</f>
        <v>0</v>
      </c>
      <c r="S211" s="328"/>
      <c r="T211" s="165">
        <f>I211-(N211+Q211+R211)</f>
        <v>0</v>
      </c>
    </row>
    <row r="212" spans="1:20" s="106" customFormat="1" outlineLevel="1" x14ac:dyDescent="0.2">
      <c r="A212" s="329" t="s">
        <v>253</v>
      </c>
      <c r="B212" s="401"/>
      <c r="C212" s="407" t="s">
        <v>197</v>
      </c>
      <c r="D212" s="650"/>
      <c r="E212" s="409"/>
      <c r="F212" s="414"/>
      <c r="G212" s="409"/>
      <c r="H212" s="946"/>
      <c r="I212" s="403"/>
      <c r="J212" s="343">
        <v>0.3</v>
      </c>
      <c r="K212" s="344">
        <f>+I211*J212</f>
        <v>96000</v>
      </c>
      <c r="L212" s="345">
        <v>1</v>
      </c>
      <c r="M212" s="342">
        <v>42521</v>
      </c>
      <c r="N212" s="346">
        <v>96000</v>
      </c>
      <c r="O212" s="347">
        <v>42552</v>
      </c>
      <c r="P212" s="405">
        <f>IF(O212="",$R$2-M212,O212-M212)</f>
        <v>31</v>
      </c>
      <c r="Q212" s="349" t="str">
        <f>IF(N212="en attente",K212,"")</f>
        <v/>
      </c>
      <c r="R212" s="349">
        <f>IF(M212="",K212-N212,0)</f>
        <v>0</v>
      </c>
      <c r="S212" s="411"/>
      <c r="T212" s="162"/>
    </row>
    <row r="213" spans="1:20" s="106" customFormat="1" outlineLevel="1" x14ac:dyDescent="0.2">
      <c r="A213" s="329" t="s">
        <v>253</v>
      </c>
      <c r="B213" s="401"/>
      <c r="C213" s="407"/>
      <c r="D213" s="650"/>
      <c r="E213" s="409"/>
      <c r="F213" s="414"/>
      <c r="G213" s="409"/>
      <c r="H213" s="946"/>
      <c r="I213" s="403"/>
      <c r="J213" s="430">
        <v>0.44469999999999998</v>
      </c>
      <c r="K213" s="344">
        <v>46304</v>
      </c>
      <c r="L213" s="345">
        <v>2</v>
      </c>
      <c r="M213" s="342">
        <v>42761</v>
      </c>
      <c r="N213" s="346">
        <v>46304</v>
      </c>
      <c r="O213" s="347">
        <v>42811</v>
      </c>
      <c r="P213" s="405"/>
      <c r="Q213" s="349" t="str">
        <f>IF(N213="en attente",K213,"")</f>
        <v/>
      </c>
      <c r="R213" s="349"/>
      <c r="S213" s="411"/>
      <c r="T213" s="162"/>
    </row>
    <row r="214" spans="1:20" s="106" customFormat="1" outlineLevel="1" x14ac:dyDescent="0.2">
      <c r="A214" s="329" t="s">
        <v>253</v>
      </c>
      <c r="B214" s="401"/>
      <c r="C214" s="407"/>
      <c r="D214" s="650"/>
      <c r="E214" s="409"/>
      <c r="F214" s="414"/>
      <c r="G214" s="409"/>
      <c r="H214" s="946"/>
      <c r="I214" s="403"/>
      <c r="J214" s="430">
        <v>0.5988</v>
      </c>
      <c r="K214" s="344">
        <f>J214*I211-(K212+K213)</f>
        <v>49312</v>
      </c>
      <c r="L214" s="345">
        <v>3</v>
      </c>
      <c r="M214" s="342">
        <v>42866</v>
      </c>
      <c r="N214" s="346">
        <v>49312</v>
      </c>
      <c r="O214" s="347">
        <v>42899</v>
      </c>
      <c r="P214" s="405"/>
      <c r="Q214" s="349" t="str">
        <f>IF(N214="en attente",K214,"")</f>
        <v/>
      </c>
      <c r="R214" s="349"/>
      <c r="S214" s="411"/>
      <c r="T214" s="162"/>
    </row>
    <row r="215" spans="1:20" s="106" customFormat="1" outlineLevel="1" x14ac:dyDescent="0.2">
      <c r="A215" s="329" t="s">
        <v>253</v>
      </c>
      <c r="B215" s="401"/>
      <c r="C215" s="409"/>
      <c r="D215" s="409"/>
      <c r="E215" s="409"/>
      <c r="F215" s="414"/>
      <c r="G215" s="409"/>
      <c r="H215" s="946"/>
      <c r="I215" s="403"/>
      <c r="J215" s="343">
        <v>0.8</v>
      </c>
      <c r="K215" s="344">
        <f>I211*J215-(K212+K213+K214)</f>
        <v>64384</v>
      </c>
      <c r="L215" s="345">
        <v>4</v>
      </c>
      <c r="M215" s="342">
        <v>42983</v>
      </c>
      <c r="N215" s="346">
        <v>64384</v>
      </c>
      <c r="O215" s="347">
        <v>43011</v>
      </c>
      <c r="P215" s="425"/>
      <c r="Q215" s="349" t="str">
        <f>IF(N215="en attente",K215,"")</f>
        <v/>
      </c>
      <c r="R215" s="349">
        <f>IF(M215="",K215-N215,0)</f>
        <v>0</v>
      </c>
      <c r="S215" s="411"/>
      <c r="T215" s="162"/>
    </row>
    <row r="216" spans="1:20" s="26" customFormat="1" outlineLevel="1" x14ac:dyDescent="0.2">
      <c r="A216" s="351" t="s">
        <v>253</v>
      </c>
      <c r="B216" s="358"/>
      <c r="C216" s="390"/>
      <c r="D216" s="722"/>
      <c r="E216" s="353"/>
      <c r="F216" s="422"/>
      <c r="G216" s="353"/>
      <c r="H216" s="942"/>
      <c r="I216" s="408"/>
      <c r="J216" s="423">
        <v>1</v>
      </c>
      <c r="K216" s="354">
        <f>I211-K212-K213-K214-K215</f>
        <v>64000</v>
      </c>
      <c r="L216" s="355">
        <v>5</v>
      </c>
      <c r="M216" s="353">
        <v>43361</v>
      </c>
      <c r="N216" s="356">
        <v>64000</v>
      </c>
      <c r="O216" s="357">
        <v>43413</v>
      </c>
      <c r="P216" s="424"/>
      <c r="Q216" s="349" t="str">
        <f>IF(N216="en attente",K216,"")</f>
        <v/>
      </c>
      <c r="R216" s="359">
        <f>IF(M216="",K216-N216,0)</f>
        <v>0</v>
      </c>
      <c r="S216" s="359"/>
      <c r="T216" s="162"/>
    </row>
    <row r="217" spans="1:20" s="106" customFormat="1" x14ac:dyDescent="0.2">
      <c r="A217" s="397" t="s">
        <v>82</v>
      </c>
      <c r="B217" s="401" t="s">
        <v>141</v>
      </c>
      <c r="C217" s="409">
        <v>41926</v>
      </c>
      <c r="D217" s="321">
        <f>DATE(YEAR(C217),MONTH(C217)+18,DAY(C217))</f>
        <v>42474</v>
      </c>
      <c r="E217" s="321">
        <v>41935</v>
      </c>
      <c r="F217" s="419">
        <v>42037</v>
      </c>
      <c r="G217" s="321">
        <f>DATE(YEAR(C217)+4,MONTH(C217),DAY(C217))</f>
        <v>43387</v>
      </c>
      <c r="H217" s="944">
        <v>42657</v>
      </c>
      <c r="I217" s="323">
        <v>1118000</v>
      </c>
      <c r="J217" s="404"/>
      <c r="K217" s="399"/>
      <c r="L217" s="410"/>
      <c r="M217" s="409"/>
      <c r="N217" s="402">
        <f>SUM(N218:N222)</f>
        <v>1118000</v>
      </c>
      <c r="O217" s="415"/>
      <c r="P217" s="425"/>
      <c r="Q217" s="411">
        <f>SUM(Q218:Q222)</f>
        <v>0</v>
      </c>
      <c r="R217" s="411">
        <f>SUM(R218:R222)</f>
        <v>0</v>
      </c>
      <c r="S217" s="411"/>
      <c r="T217" s="165">
        <f>I217-(N217+Q217+R217)</f>
        <v>0</v>
      </c>
    </row>
    <row r="218" spans="1:20" s="106" customFormat="1" outlineLevel="1" x14ac:dyDescent="0.2">
      <c r="A218" s="329" t="s">
        <v>82</v>
      </c>
      <c r="B218" s="401"/>
      <c r="C218" s="407" t="s">
        <v>197</v>
      </c>
      <c r="D218" s="409"/>
      <c r="E218" s="409"/>
      <c r="F218" s="414"/>
      <c r="G218" s="409"/>
      <c r="H218" s="946"/>
      <c r="I218" s="403"/>
      <c r="J218" s="343">
        <f>K218/$I$217</f>
        <v>0.3</v>
      </c>
      <c r="K218" s="344">
        <f>30%*I217</f>
        <v>335400</v>
      </c>
      <c r="L218" s="345">
        <v>1</v>
      </c>
      <c r="M218" s="342">
        <v>42180</v>
      </c>
      <c r="N218" s="346">
        <v>335400</v>
      </c>
      <c r="O218" s="347">
        <v>42222</v>
      </c>
      <c r="P218" s="405">
        <f>IF(O218="",$R$2-M218,O218-M218)</f>
        <v>42</v>
      </c>
      <c r="Q218" s="349" t="str">
        <f>IF(N218="en attente",K218,"")</f>
        <v/>
      </c>
      <c r="R218" s="349">
        <f>IF(M218="",K218-N218,0)</f>
        <v>0</v>
      </c>
      <c r="S218" s="411"/>
      <c r="T218" s="165"/>
    </row>
    <row r="219" spans="1:20" s="26" customFormat="1" outlineLevel="1" x14ac:dyDescent="0.2">
      <c r="A219" s="329" t="s">
        <v>82</v>
      </c>
      <c r="B219" s="348"/>
      <c r="C219" s="342"/>
      <c r="D219" s="342"/>
      <c r="E219" s="342"/>
      <c r="F219" s="421"/>
      <c r="G219" s="342"/>
      <c r="H219" s="941"/>
      <c r="I219" s="408"/>
      <c r="J219" s="430">
        <v>0.59219999999999995</v>
      </c>
      <c r="K219" s="344">
        <v>326679.59999999998</v>
      </c>
      <c r="L219" s="345">
        <v>2</v>
      </c>
      <c r="M219" s="342">
        <v>42297</v>
      </c>
      <c r="N219" s="346">
        <v>326679.59999999998</v>
      </c>
      <c r="O219" s="347">
        <v>42327</v>
      </c>
      <c r="P219" s="405">
        <f>IF(O219="",$R$2-M219,O219-M219)</f>
        <v>30</v>
      </c>
      <c r="Q219" s="349" t="str">
        <f>IF(N219="en attente",K219,"")</f>
        <v/>
      </c>
      <c r="R219" s="349">
        <f>IF(M219="",K219-N219,0)</f>
        <v>0</v>
      </c>
      <c r="S219" s="349"/>
      <c r="T219" s="165"/>
    </row>
    <row r="220" spans="1:20" s="26" customFormat="1" outlineLevel="1" x14ac:dyDescent="0.2">
      <c r="A220" s="329" t="s">
        <v>82</v>
      </c>
      <c r="B220" s="348"/>
      <c r="C220" s="342"/>
      <c r="D220" s="342"/>
      <c r="E220" s="342"/>
      <c r="F220" s="421"/>
      <c r="G220" s="342"/>
      <c r="H220" s="941"/>
      <c r="I220" s="408"/>
      <c r="J220" s="430">
        <v>0.68869999999999998</v>
      </c>
      <c r="K220" s="344">
        <v>107887</v>
      </c>
      <c r="L220" s="345">
        <v>3</v>
      </c>
      <c r="M220" s="342">
        <v>42376</v>
      </c>
      <c r="N220" s="346">
        <v>107887</v>
      </c>
      <c r="O220" s="347">
        <v>42425</v>
      </c>
      <c r="P220" s="405">
        <f>IF(O220="",$R$2-M220,O220-M220)</f>
        <v>49</v>
      </c>
      <c r="Q220" s="349" t="str">
        <f>IF(N220="en attente",K220,"")</f>
        <v/>
      </c>
      <c r="R220" s="349">
        <f>IF(M220="",K220-N220,0)</f>
        <v>0</v>
      </c>
      <c r="S220" s="349"/>
      <c r="T220" s="165"/>
    </row>
    <row r="221" spans="1:20" s="26" customFormat="1" outlineLevel="1" x14ac:dyDescent="0.2">
      <c r="A221" s="329" t="s">
        <v>82</v>
      </c>
      <c r="B221" s="348"/>
      <c r="C221" s="342"/>
      <c r="D221" s="342"/>
      <c r="E221" s="342"/>
      <c r="F221" s="421"/>
      <c r="G221" s="342"/>
      <c r="H221" s="941"/>
      <c r="I221" s="408"/>
      <c r="J221" s="545">
        <v>0.8</v>
      </c>
      <c r="K221" s="344">
        <v>124433.4</v>
      </c>
      <c r="L221" s="345">
        <v>4</v>
      </c>
      <c r="M221" s="342">
        <v>42446</v>
      </c>
      <c r="N221" s="346">
        <v>124433.4</v>
      </c>
      <c r="O221" s="347">
        <v>42466</v>
      </c>
      <c r="P221" s="405">
        <f>IF(O221="",$R$2-M221,O221-M221)</f>
        <v>20</v>
      </c>
      <c r="Q221" s="349" t="str">
        <f>IF(N221="en attente",K221,"")</f>
        <v/>
      </c>
      <c r="R221" s="349">
        <f>IF(M221="",K221-N221,0)</f>
        <v>0</v>
      </c>
      <c r="S221" s="349"/>
      <c r="T221" s="165"/>
    </row>
    <row r="222" spans="1:20" s="26" customFormat="1" outlineLevel="1" x14ac:dyDescent="0.2">
      <c r="A222" s="329" t="s">
        <v>82</v>
      </c>
      <c r="B222" s="348"/>
      <c r="C222" s="342"/>
      <c r="D222" s="342"/>
      <c r="E222" s="342"/>
      <c r="F222" s="421"/>
      <c r="G222" s="342"/>
      <c r="H222" s="941"/>
      <c r="I222" s="408"/>
      <c r="J222" s="343">
        <v>1</v>
      </c>
      <c r="K222" s="344">
        <v>223600</v>
      </c>
      <c r="L222" s="345">
        <v>5</v>
      </c>
      <c r="M222" s="342">
        <v>42844</v>
      </c>
      <c r="N222" s="346">
        <v>223600</v>
      </c>
      <c r="O222" s="347">
        <v>42950</v>
      </c>
      <c r="P222" s="405">
        <f>IF(O222="",$R$2-M222,O222-M222)</f>
        <v>106</v>
      </c>
      <c r="Q222" s="349" t="str">
        <f>IF(N222="en attente",K222,"")</f>
        <v/>
      </c>
      <c r="R222" s="349">
        <f>IF(M222="",K222-N222,0)</f>
        <v>0</v>
      </c>
      <c r="S222" s="349"/>
      <c r="T222" s="165"/>
    </row>
    <row r="223" spans="1:20" s="26" customFormat="1" x14ac:dyDescent="0.2">
      <c r="A223" s="320" t="s">
        <v>224</v>
      </c>
      <c r="B223" s="327" t="s">
        <v>225</v>
      </c>
      <c r="C223" s="321">
        <v>42543</v>
      </c>
      <c r="D223" s="326">
        <f>DATE(YEAR(C223),MONTH(C223)+18,DAY(C223))</f>
        <v>43091</v>
      </c>
      <c r="E223" s="321">
        <v>42583</v>
      </c>
      <c r="F223" s="724">
        <v>42583</v>
      </c>
      <c r="G223" s="326">
        <f>DATE(YEAR(C223)+4,MONTH(C223),DAY(C223))</f>
        <v>44004</v>
      </c>
      <c r="H223" s="944">
        <v>43210</v>
      </c>
      <c r="I223" s="725">
        <v>529000</v>
      </c>
      <c r="J223" s="859"/>
      <c r="K223" s="388"/>
      <c r="L223" s="696"/>
      <c r="M223" s="394"/>
      <c r="N223" s="325">
        <f>SUM(N224:N228)</f>
        <v>529000</v>
      </c>
      <c r="O223" s="698"/>
      <c r="P223" s="726"/>
      <c r="Q223" s="328">
        <f>SUM(Q224:Q228)</f>
        <v>0</v>
      </c>
      <c r="R223" s="328">
        <f>SUM(R224:R228)</f>
        <v>0</v>
      </c>
      <c r="S223" s="699"/>
      <c r="T223" s="165">
        <f>I223-(N223+Q223+R223)</f>
        <v>0</v>
      </c>
    </row>
    <row r="224" spans="1:20" s="26" customFormat="1" outlineLevel="1" x14ac:dyDescent="0.2">
      <c r="A224" s="329" t="s">
        <v>224</v>
      </c>
      <c r="B224" s="401"/>
      <c r="C224" s="409"/>
      <c r="D224" s="409"/>
      <c r="E224" s="409"/>
      <c r="F224" s="727"/>
      <c r="G224" s="409"/>
      <c r="H224" s="941"/>
      <c r="I224" s="408"/>
      <c r="J224" s="430">
        <v>0.3</v>
      </c>
      <c r="K224" s="344">
        <v>158700</v>
      </c>
      <c r="L224" s="345">
        <v>1</v>
      </c>
      <c r="M224" s="342">
        <v>42766</v>
      </c>
      <c r="N224" s="346">
        <v>158700</v>
      </c>
      <c r="O224" s="347">
        <v>42811</v>
      </c>
      <c r="P224" s="405"/>
      <c r="Q224" s="349" t="str">
        <f>IF(N224="en attente",K224,"")</f>
        <v/>
      </c>
      <c r="R224" s="349">
        <f>IF(M224="",K224-N224,0)</f>
        <v>0</v>
      </c>
      <c r="S224" s="349"/>
      <c r="T224" s="162"/>
    </row>
    <row r="225" spans="1:20" s="26" customFormat="1" outlineLevel="1" x14ac:dyDescent="0.2">
      <c r="A225" s="329" t="s">
        <v>224</v>
      </c>
      <c r="B225" s="401"/>
      <c r="C225" s="409"/>
      <c r="D225" s="409"/>
      <c r="E225" s="409"/>
      <c r="F225" s="727"/>
      <c r="G225" s="409"/>
      <c r="H225" s="941"/>
      <c r="I225" s="408"/>
      <c r="J225" s="430">
        <v>0.6089</v>
      </c>
      <c r="K225" s="344">
        <f>I223*J225-K224</f>
        <v>163408.09999999998</v>
      </c>
      <c r="L225" s="345">
        <v>2</v>
      </c>
      <c r="M225" s="342">
        <v>42873</v>
      </c>
      <c r="N225" s="346">
        <v>163408.1</v>
      </c>
      <c r="O225" s="347">
        <v>42921</v>
      </c>
      <c r="P225" s="405"/>
      <c r="Q225" s="349" t="str">
        <f>IF(N225="en attente",K225,"")</f>
        <v/>
      </c>
      <c r="R225" s="349">
        <f>IF(M225="",K225-N225,0)</f>
        <v>0</v>
      </c>
      <c r="S225" s="349"/>
      <c r="T225" s="162"/>
    </row>
    <row r="226" spans="1:20" s="26" customFormat="1" outlineLevel="1" x14ac:dyDescent="0.2">
      <c r="A226" s="329" t="s">
        <v>224</v>
      </c>
      <c r="B226" s="401"/>
      <c r="C226" s="409"/>
      <c r="D226" s="409"/>
      <c r="E226" s="409"/>
      <c r="F226" s="727"/>
      <c r="G226" s="409"/>
      <c r="H226" s="941"/>
      <c r="I226" s="408"/>
      <c r="J226" s="430">
        <v>0.70340000000000003</v>
      </c>
      <c r="K226" s="344">
        <f>I223*J226-K224-K225</f>
        <v>49990.500000000058</v>
      </c>
      <c r="L226" s="345">
        <v>3</v>
      </c>
      <c r="M226" s="342">
        <v>43032</v>
      </c>
      <c r="N226" s="346">
        <v>49990.5</v>
      </c>
      <c r="O226" s="347">
        <v>43077</v>
      </c>
      <c r="P226" s="405"/>
      <c r="Q226" s="349" t="str">
        <f>IF(N226="en attente",K226,"")</f>
        <v/>
      </c>
      <c r="R226" s="349"/>
      <c r="S226" s="349"/>
      <c r="T226" s="162"/>
    </row>
    <row r="227" spans="1:20" s="26" customFormat="1" outlineLevel="1" x14ac:dyDescent="0.2">
      <c r="A227" s="329" t="s">
        <v>224</v>
      </c>
      <c r="B227" s="401"/>
      <c r="C227" s="409"/>
      <c r="D227" s="409"/>
      <c r="E227" s="409"/>
      <c r="F227" s="727"/>
      <c r="G227" s="409"/>
      <c r="H227" s="941"/>
      <c r="I227" s="408"/>
      <c r="J227" s="430">
        <v>0.8</v>
      </c>
      <c r="K227" s="344">
        <f>I223*J227-K224-K225-K226</f>
        <v>51101.399999999965</v>
      </c>
      <c r="L227" s="345">
        <v>4</v>
      </c>
      <c r="M227" s="342">
        <v>43076</v>
      </c>
      <c r="N227" s="346">
        <v>51101.4</v>
      </c>
      <c r="O227" s="347">
        <v>43175</v>
      </c>
      <c r="P227" s="405"/>
      <c r="Q227" s="349" t="str">
        <f>IF(N227="en attente",K227,"")</f>
        <v/>
      </c>
      <c r="R227" s="349">
        <f>IF(M227="",K227-N227,0)</f>
        <v>0</v>
      </c>
      <c r="S227" s="349"/>
      <c r="T227" s="162"/>
    </row>
    <row r="228" spans="1:20" s="26" customFormat="1" outlineLevel="1" x14ac:dyDescent="0.2">
      <c r="A228" s="329" t="s">
        <v>224</v>
      </c>
      <c r="B228" s="348"/>
      <c r="C228" s="407"/>
      <c r="D228" s="409"/>
      <c r="E228" s="342"/>
      <c r="F228" s="832"/>
      <c r="G228" s="409"/>
      <c r="H228" s="941"/>
      <c r="I228" s="408"/>
      <c r="J228" s="430">
        <v>1</v>
      </c>
      <c r="K228" s="344">
        <f>I223-K224-K225-K226-K227</f>
        <v>105800</v>
      </c>
      <c r="L228" s="345">
        <v>5</v>
      </c>
      <c r="M228" s="342">
        <v>43361</v>
      </c>
      <c r="N228" s="346">
        <v>105800</v>
      </c>
      <c r="O228" s="347">
        <v>43420</v>
      </c>
      <c r="P228" s="405"/>
      <c r="Q228" s="349" t="str">
        <f>IF(N228="en attente",K228,"")</f>
        <v/>
      </c>
      <c r="R228" s="349">
        <f>IF(M228="",K228-N228,0)</f>
        <v>0</v>
      </c>
      <c r="S228" s="349"/>
      <c r="T228" s="165"/>
    </row>
    <row r="229" spans="1:20" s="106" customFormat="1" x14ac:dyDescent="0.2">
      <c r="A229" s="800" t="s">
        <v>66</v>
      </c>
      <c r="B229" s="835" t="s">
        <v>162</v>
      </c>
      <c r="C229" s="836">
        <v>41144</v>
      </c>
      <c r="D229" s="836">
        <f>DATE(YEAR(C229),MONTH(C229)+18,DAY(C229))</f>
        <v>41693</v>
      </c>
      <c r="E229" s="836">
        <v>41253</v>
      </c>
      <c r="F229" s="837">
        <v>41295</v>
      </c>
      <c r="G229" s="836">
        <f>DATE(YEAR(C229)+4,MONTH(C229),DAY(C229))</f>
        <v>42605</v>
      </c>
      <c r="H229" s="949">
        <v>41927</v>
      </c>
      <c r="I229" s="804">
        <v>1</v>
      </c>
      <c r="J229" s="838"/>
      <c r="K229" s="804"/>
      <c r="L229" s="839"/>
      <c r="M229" s="836"/>
      <c r="N229" s="840">
        <f>SUM(N230)</f>
        <v>0</v>
      </c>
      <c r="O229" s="841"/>
      <c r="P229" s="842"/>
      <c r="Q229" s="843">
        <f>SUM(Q230)</f>
        <v>1</v>
      </c>
      <c r="R229" s="844">
        <f>SUM(R230)</f>
        <v>0</v>
      </c>
      <c r="S229" s="844"/>
      <c r="T229" s="165">
        <f>I229-(N229+Q229+R229)</f>
        <v>0</v>
      </c>
    </row>
    <row r="230" spans="1:20" s="26" customFormat="1" x14ac:dyDescent="0.2">
      <c r="A230" s="46" t="s">
        <v>66</v>
      </c>
      <c r="B230" s="4"/>
      <c r="C230" s="15"/>
      <c r="D230" s="15"/>
      <c r="E230" s="15"/>
      <c r="F230" s="173"/>
      <c r="G230" s="15"/>
      <c r="H230" s="489"/>
      <c r="I230" s="23"/>
      <c r="J230" s="16"/>
      <c r="K230" s="23">
        <v>1</v>
      </c>
      <c r="L230" s="42">
        <v>1</v>
      </c>
      <c r="M230" s="15">
        <v>42409</v>
      </c>
      <c r="N230" s="111" t="s">
        <v>81</v>
      </c>
      <c r="O230" s="30"/>
      <c r="P230" s="43"/>
      <c r="Q230" s="105">
        <f>IF(N230="en attente",K230,"")</f>
        <v>1</v>
      </c>
      <c r="R230" s="80">
        <f>IF(M230="",K230-N230,0)</f>
        <v>0</v>
      </c>
      <c r="S230" s="80"/>
      <c r="T230" s="162"/>
    </row>
    <row r="231" spans="1:20" s="106" customFormat="1" x14ac:dyDescent="0.2">
      <c r="A231" s="118" t="s">
        <v>52</v>
      </c>
      <c r="B231" s="124" t="s">
        <v>153</v>
      </c>
      <c r="C231" s="157">
        <v>41446</v>
      </c>
      <c r="D231" s="157">
        <f>DATE(YEAR(C231),MONTH(C231)+18,DAY(C231))</f>
        <v>41994</v>
      </c>
      <c r="E231" s="157">
        <v>41621</v>
      </c>
      <c r="F231" s="172">
        <v>41766</v>
      </c>
      <c r="G231" s="157">
        <f>DATE(YEAR(C231)+4,MONTH(C231),DAY(C231))</f>
        <v>42907</v>
      </c>
      <c r="H231" s="554">
        <v>42745</v>
      </c>
      <c r="I231" s="122">
        <v>1</v>
      </c>
      <c r="J231" s="127"/>
      <c r="K231" s="122"/>
      <c r="L231" s="137"/>
      <c r="M231" s="157"/>
      <c r="N231" s="125">
        <f>SUM(N232)</f>
        <v>0</v>
      </c>
      <c r="O231" s="150"/>
      <c r="P231" s="151"/>
      <c r="Q231" s="158">
        <f>SUM(Q232)</f>
        <v>1</v>
      </c>
      <c r="R231" s="158">
        <f>SUM(R232)</f>
        <v>0</v>
      </c>
      <c r="S231" s="158"/>
      <c r="T231" s="165">
        <f>I231-(N231+Q231+R231)</f>
        <v>0</v>
      </c>
    </row>
    <row r="232" spans="1:20" s="26" customFormat="1" x14ac:dyDescent="0.2">
      <c r="A232" s="46" t="s">
        <v>52</v>
      </c>
      <c r="B232" s="4"/>
      <c r="C232" s="29" t="s">
        <v>197</v>
      </c>
      <c r="D232" s="15"/>
      <c r="E232" s="15"/>
      <c r="F232" s="173"/>
      <c r="G232" s="15"/>
      <c r="H232" s="489"/>
      <c r="I232" s="23"/>
      <c r="J232" s="16"/>
      <c r="K232" s="23">
        <v>1</v>
      </c>
      <c r="L232" s="42">
        <v>1</v>
      </c>
      <c r="M232" s="15">
        <v>43011</v>
      </c>
      <c r="N232" s="111" t="s">
        <v>81</v>
      </c>
      <c r="O232" s="30"/>
      <c r="P232" s="43"/>
      <c r="Q232" s="80">
        <f t="shared" si="39"/>
        <v>1</v>
      </c>
      <c r="R232" s="80">
        <f t="shared" si="43"/>
        <v>0</v>
      </c>
      <c r="S232" s="80"/>
      <c r="T232" s="162"/>
    </row>
    <row r="233" spans="1:20" s="106" customFormat="1" x14ac:dyDescent="0.2">
      <c r="A233" s="118" t="s">
        <v>30</v>
      </c>
      <c r="B233" s="124" t="s">
        <v>140</v>
      </c>
      <c r="C233" s="157">
        <v>41463</v>
      </c>
      <c r="D233" s="157">
        <f>DATE(YEAR(C233),MONTH(C233)+18,DAY(C233))</f>
        <v>42012</v>
      </c>
      <c r="E233" s="157">
        <v>42142</v>
      </c>
      <c r="F233" s="172">
        <v>42163</v>
      </c>
      <c r="G233" s="383">
        <v>43653</v>
      </c>
      <c r="H233" s="554">
        <v>43075</v>
      </c>
      <c r="I233" s="122">
        <v>1245000</v>
      </c>
      <c r="J233" s="127"/>
      <c r="K233" s="122"/>
      <c r="L233" s="137"/>
      <c r="M233" s="157"/>
      <c r="N233" s="125">
        <f>SUM(N234:N242)</f>
        <v>994755</v>
      </c>
      <c r="O233" s="150"/>
      <c r="P233" s="151"/>
      <c r="Q233" s="158">
        <f>SUM(Q234:Q242)</f>
        <v>250245</v>
      </c>
      <c r="R233" s="158">
        <f>SUM(R234:R242)</f>
        <v>0</v>
      </c>
      <c r="S233" s="158"/>
      <c r="T233" s="165">
        <f>I233-(N233+Q233+R233)</f>
        <v>0</v>
      </c>
    </row>
    <row r="234" spans="1:20" s="106" customFormat="1" outlineLevel="1" x14ac:dyDescent="0.2">
      <c r="A234" s="46" t="s">
        <v>30</v>
      </c>
      <c r="B234" s="19"/>
      <c r="C234" s="29" t="s">
        <v>197</v>
      </c>
      <c r="D234" s="104"/>
      <c r="E234" s="104"/>
      <c r="F234" s="177"/>
      <c r="G234" s="29" t="s">
        <v>275</v>
      </c>
      <c r="H234" s="621"/>
      <c r="I234" s="21"/>
      <c r="J234" s="107">
        <f>K234/$I$233</f>
        <v>0.3</v>
      </c>
      <c r="K234" s="23">
        <f>0.3*I233</f>
        <v>373500</v>
      </c>
      <c r="L234" s="42">
        <v>1</v>
      </c>
      <c r="M234" s="15">
        <v>42178</v>
      </c>
      <c r="N234" s="24">
        <v>373500</v>
      </c>
      <c r="O234" s="30">
        <v>42247</v>
      </c>
      <c r="P234" s="43">
        <f t="shared" ref="P234:P241" si="49">IF(O234="",$R$2-M234,O234-M234)</f>
        <v>69</v>
      </c>
      <c r="Q234" s="80" t="str">
        <f t="shared" si="39"/>
        <v/>
      </c>
      <c r="R234" s="80">
        <f>IF(M234="",K234-N234,0)</f>
        <v>0</v>
      </c>
      <c r="S234" s="105"/>
      <c r="T234" s="162"/>
    </row>
    <row r="235" spans="1:20" s="26" customFormat="1" outlineLevel="1" x14ac:dyDescent="0.2">
      <c r="A235" s="46" t="s">
        <v>30</v>
      </c>
      <c r="B235" s="4"/>
      <c r="C235" s="15"/>
      <c r="D235" s="15"/>
      <c r="E235" s="15"/>
      <c r="F235" s="173"/>
      <c r="G235" s="15"/>
      <c r="H235" s="489"/>
      <c r="I235" s="25"/>
      <c r="J235" s="230">
        <v>0.34970000000000001</v>
      </c>
      <c r="K235" s="109">
        <v>61876.5</v>
      </c>
      <c r="L235" s="42">
        <v>2</v>
      </c>
      <c r="M235" s="15">
        <v>42537</v>
      </c>
      <c r="N235" s="24">
        <v>61876.5</v>
      </c>
      <c r="O235" s="30">
        <v>42558</v>
      </c>
      <c r="P235" s="43">
        <f t="shared" si="49"/>
        <v>21</v>
      </c>
      <c r="Q235" s="80" t="str">
        <f t="shared" si="39"/>
        <v/>
      </c>
      <c r="R235" s="80">
        <f t="shared" si="43"/>
        <v>0</v>
      </c>
      <c r="S235" s="80"/>
      <c r="T235" s="162"/>
    </row>
    <row r="236" spans="1:20" s="26" customFormat="1" outlineLevel="1" x14ac:dyDescent="0.2">
      <c r="A236" s="46" t="s">
        <v>30</v>
      </c>
      <c r="B236" s="4"/>
      <c r="C236" s="15"/>
      <c r="D236" s="15"/>
      <c r="E236" s="15"/>
      <c r="F236" s="173"/>
      <c r="G236" s="15"/>
      <c r="H236" s="950"/>
      <c r="I236" s="25"/>
      <c r="J236" s="230">
        <v>0.42380000000000001</v>
      </c>
      <c r="K236" s="23">
        <f>I233*J236-(K234+K235)</f>
        <v>92254.5</v>
      </c>
      <c r="L236" s="42">
        <v>3</v>
      </c>
      <c r="M236" s="15">
        <v>42599</v>
      </c>
      <c r="N236" s="24">
        <v>92254.5</v>
      </c>
      <c r="O236" s="30">
        <v>42639</v>
      </c>
      <c r="P236" s="43">
        <f t="shared" si="49"/>
        <v>40</v>
      </c>
      <c r="Q236" s="80" t="str">
        <f t="shared" si="39"/>
        <v/>
      </c>
      <c r="R236" s="80">
        <f t="shared" si="43"/>
        <v>0</v>
      </c>
      <c r="S236" s="80"/>
      <c r="T236" s="162"/>
    </row>
    <row r="237" spans="1:20" s="26" customFormat="1" outlineLevel="1" x14ac:dyDescent="0.2">
      <c r="A237" s="46" t="s">
        <v>30</v>
      </c>
      <c r="B237" s="4"/>
      <c r="C237" s="15"/>
      <c r="D237" s="15"/>
      <c r="E237" s="15"/>
      <c r="F237" s="173"/>
      <c r="G237" s="15"/>
      <c r="H237" s="489"/>
      <c r="I237" s="25"/>
      <c r="J237" s="230">
        <v>0.50560000000000005</v>
      </c>
      <c r="K237" s="23">
        <f>I233*J237-(K234+K235+K236)</f>
        <v>101841.00000000012</v>
      </c>
      <c r="L237" s="42">
        <v>4</v>
      </c>
      <c r="M237" s="15">
        <v>42669</v>
      </c>
      <c r="N237" s="24">
        <v>101841</v>
      </c>
      <c r="O237" s="30">
        <v>42712</v>
      </c>
      <c r="P237" s="43">
        <f t="shared" si="49"/>
        <v>43</v>
      </c>
      <c r="Q237" s="80" t="str">
        <f t="shared" si="39"/>
        <v/>
      </c>
      <c r="R237" s="80">
        <f t="shared" si="43"/>
        <v>0</v>
      </c>
      <c r="S237" s="80"/>
      <c r="T237" s="162"/>
    </row>
    <row r="238" spans="1:20" s="26" customFormat="1" outlineLevel="1" x14ac:dyDescent="0.2">
      <c r="A238" s="46" t="s">
        <v>30</v>
      </c>
      <c r="B238" s="4"/>
      <c r="C238" s="15"/>
      <c r="D238" s="15"/>
      <c r="E238" s="15"/>
      <c r="F238" s="173"/>
      <c r="G238" s="15"/>
      <c r="H238" s="489"/>
      <c r="I238" s="25"/>
      <c r="J238" s="230">
        <v>0.59230000000000005</v>
      </c>
      <c r="K238" s="23">
        <f>I233*J238-(K234+K235+K236+K237)</f>
        <v>107941.5</v>
      </c>
      <c r="L238" s="42">
        <v>5</v>
      </c>
      <c r="M238" s="15">
        <v>42745</v>
      </c>
      <c r="N238" s="24">
        <v>107941.5</v>
      </c>
      <c r="O238" s="30">
        <v>42790</v>
      </c>
      <c r="P238" s="43">
        <f t="shared" si="49"/>
        <v>45</v>
      </c>
      <c r="Q238" s="80" t="str">
        <f t="shared" si="39"/>
        <v/>
      </c>
      <c r="R238" s="80">
        <f t="shared" si="43"/>
        <v>0</v>
      </c>
      <c r="S238" s="80"/>
      <c r="T238" s="162"/>
    </row>
    <row r="239" spans="1:20" s="26" customFormat="1" outlineLevel="1" x14ac:dyDescent="0.2">
      <c r="A239" s="46" t="s">
        <v>30</v>
      </c>
      <c r="B239" s="4"/>
      <c r="C239" s="15"/>
      <c r="D239" s="15"/>
      <c r="E239" s="15"/>
      <c r="F239" s="173"/>
      <c r="G239" s="15"/>
      <c r="H239" s="489"/>
      <c r="I239" s="25"/>
      <c r="J239" s="230">
        <v>0.64890000000000003</v>
      </c>
      <c r="K239" s="23">
        <f>+I233*J239-(K234+K235+K236+K237+K238)</f>
        <v>70466.999999999884</v>
      </c>
      <c r="L239" s="42">
        <v>6</v>
      </c>
      <c r="M239" s="15">
        <v>42866</v>
      </c>
      <c r="N239" s="24">
        <v>70467</v>
      </c>
      <c r="O239" s="30">
        <v>42909</v>
      </c>
      <c r="P239" s="43">
        <f t="shared" si="49"/>
        <v>43</v>
      </c>
      <c r="Q239" s="80" t="str">
        <f t="shared" si="39"/>
        <v/>
      </c>
      <c r="R239" s="80">
        <f t="shared" si="43"/>
        <v>0</v>
      </c>
      <c r="S239" s="80"/>
      <c r="T239" s="162"/>
    </row>
    <row r="240" spans="1:20" s="26" customFormat="1" outlineLevel="1" x14ac:dyDescent="0.2">
      <c r="A240" s="46" t="s">
        <v>30</v>
      </c>
      <c r="B240" s="4"/>
      <c r="C240" s="15"/>
      <c r="D240" s="15"/>
      <c r="E240" s="15"/>
      <c r="F240" s="173"/>
      <c r="G240" s="15"/>
      <c r="H240" s="489"/>
      <c r="I240" s="25"/>
      <c r="J240" s="230">
        <v>0.71970000000000001</v>
      </c>
      <c r="K240" s="23">
        <v>88146</v>
      </c>
      <c r="L240" s="42">
        <v>7</v>
      </c>
      <c r="M240" s="15">
        <v>42954</v>
      </c>
      <c r="N240" s="24">
        <v>88146</v>
      </c>
      <c r="O240" s="30">
        <v>42993</v>
      </c>
      <c r="P240" s="43">
        <f t="shared" si="49"/>
        <v>39</v>
      </c>
      <c r="Q240" s="80" t="str">
        <f t="shared" si="39"/>
        <v/>
      </c>
      <c r="R240" s="80">
        <f t="shared" si="43"/>
        <v>0</v>
      </c>
      <c r="S240" s="80"/>
      <c r="T240" s="162"/>
    </row>
    <row r="241" spans="1:20" s="26" customFormat="1" outlineLevel="1" x14ac:dyDescent="0.2">
      <c r="A241" s="46" t="s">
        <v>30</v>
      </c>
      <c r="B241" s="4"/>
      <c r="C241" s="15"/>
      <c r="D241" s="15"/>
      <c r="E241" s="15"/>
      <c r="F241" s="173"/>
      <c r="G241" s="15"/>
      <c r="H241" s="489"/>
      <c r="I241" s="25"/>
      <c r="J241" s="230">
        <v>0.79900000000000004</v>
      </c>
      <c r="K241" s="23">
        <f>I233*J241-(K234+K235+K236+K237+K238+K239+K240)</f>
        <v>98728.5</v>
      </c>
      <c r="L241" s="42">
        <v>8</v>
      </c>
      <c r="M241" s="15">
        <v>43069</v>
      </c>
      <c r="N241" s="24">
        <v>98728.5</v>
      </c>
      <c r="O241" s="30">
        <v>43119</v>
      </c>
      <c r="P241" s="43">
        <f t="shared" si="49"/>
        <v>50</v>
      </c>
      <c r="Q241" s="80" t="str">
        <f t="shared" si="39"/>
        <v/>
      </c>
      <c r="R241" s="80">
        <f t="shared" si="43"/>
        <v>0</v>
      </c>
      <c r="S241" s="80"/>
      <c r="T241" s="162"/>
    </row>
    <row r="242" spans="1:20" s="26" customFormat="1" outlineLevel="1" x14ac:dyDescent="0.2">
      <c r="A242" s="46" t="s">
        <v>30</v>
      </c>
      <c r="B242" s="4"/>
      <c r="C242" s="15"/>
      <c r="D242" s="15"/>
      <c r="E242" s="15"/>
      <c r="F242" s="173"/>
      <c r="G242" s="15"/>
      <c r="H242" s="489"/>
      <c r="I242" s="25"/>
      <c r="J242" s="107">
        <f>K242/$I$233+J241</f>
        <v>1</v>
      </c>
      <c r="K242" s="23">
        <f>I233-K234-K235-K236-K237-K238-K239-K240-K241</f>
        <v>250245</v>
      </c>
      <c r="L242" s="42">
        <v>9</v>
      </c>
      <c r="M242" s="15">
        <v>43664</v>
      </c>
      <c r="N242" s="111" t="s">
        <v>81</v>
      </c>
      <c r="O242" s="30"/>
      <c r="P242" s="43"/>
      <c r="Q242" s="80">
        <f t="shared" si="39"/>
        <v>250245</v>
      </c>
      <c r="R242" s="80">
        <f t="shared" si="43"/>
        <v>0</v>
      </c>
      <c r="S242" s="80"/>
      <c r="T242" s="162"/>
    </row>
    <row r="243" spans="1:20" s="182" customFormat="1" x14ac:dyDescent="0.2">
      <c r="A243" s="118" t="s">
        <v>30</v>
      </c>
      <c r="B243" s="124" t="s">
        <v>151</v>
      </c>
      <c r="C243" s="157">
        <v>41493</v>
      </c>
      <c r="D243" s="380">
        <f>DATE(YEAR(C243),MONTH(C243)+18,DAY(C243))</f>
        <v>42042</v>
      </c>
      <c r="E243" s="380">
        <v>42142</v>
      </c>
      <c r="F243" s="172">
        <v>42163</v>
      </c>
      <c r="G243" s="383">
        <v>43683</v>
      </c>
      <c r="H243" s="554">
        <v>43075</v>
      </c>
      <c r="I243" s="122">
        <v>1</v>
      </c>
      <c r="J243" s="127"/>
      <c r="K243" s="122"/>
      <c r="L243" s="137"/>
      <c r="M243" s="157"/>
      <c r="N243" s="125">
        <f>SUM(N244)</f>
        <v>0</v>
      </c>
      <c r="O243" s="150"/>
      <c r="P243" s="151"/>
      <c r="Q243" s="158">
        <f>SUM(Q244)</f>
        <v>0</v>
      </c>
      <c r="R243" s="158">
        <f>SUM(R244)</f>
        <v>0</v>
      </c>
      <c r="S243" s="158"/>
      <c r="T243" s="181">
        <f>I243-(N243+Q243+R243)</f>
        <v>1</v>
      </c>
    </row>
    <row r="244" spans="1:20" s="26" customFormat="1" x14ac:dyDescent="0.2">
      <c r="A244" s="46" t="s">
        <v>30</v>
      </c>
      <c r="B244" s="4"/>
      <c r="C244" s="29" t="s">
        <v>197</v>
      </c>
      <c r="D244" s="15"/>
      <c r="E244" s="15"/>
      <c r="F244" s="173"/>
      <c r="G244" s="29" t="s">
        <v>275</v>
      </c>
      <c r="H244" s="489"/>
      <c r="I244" s="23"/>
      <c r="J244" s="16"/>
      <c r="K244" s="23" t="s">
        <v>427</v>
      </c>
      <c r="L244" s="42">
        <v>1</v>
      </c>
      <c r="M244" s="15">
        <v>43664</v>
      </c>
      <c r="N244" s="111" t="s">
        <v>81</v>
      </c>
      <c r="O244" s="30"/>
      <c r="P244" s="43"/>
      <c r="Q244" s="80" t="str">
        <f t="shared" ref="Q244:Q351" si="50">IF(N244="en attente",K244,"")</f>
        <v xml:space="preserve">        </v>
      </c>
      <c r="R244" s="80">
        <f t="shared" si="43"/>
        <v>0</v>
      </c>
      <c r="S244" s="80"/>
      <c r="T244" s="162"/>
    </row>
    <row r="245" spans="1:20" s="106" customFormat="1" x14ac:dyDescent="0.2">
      <c r="A245" s="118" t="s">
        <v>31</v>
      </c>
      <c r="B245" s="124" t="s">
        <v>147</v>
      </c>
      <c r="C245" s="157">
        <v>41855</v>
      </c>
      <c r="D245" s="157">
        <f>DATE(YEAR(C245),MONTH(C245)+18,DAY(C245))</f>
        <v>42404</v>
      </c>
      <c r="E245" s="157">
        <v>42935</v>
      </c>
      <c r="F245" s="556">
        <v>42933</v>
      </c>
      <c r="G245" s="383">
        <v>44046</v>
      </c>
      <c r="H245" s="554">
        <v>43655</v>
      </c>
      <c r="I245" s="122">
        <v>442750</v>
      </c>
      <c r="J245" s="127"/>
      <c r="K245" s="122"/>
      <c r="L245" s="137"/>
      <c r="M245" s="157"/>
      <c r="N245" s="125">
        <f>SUM(N246:N250)</f>
        <v>354200</v>
      </c>
      <c r="O245" s="150"/>
      <c r="P245" s="151"/>
      <c r="Q245" s="158">
        <f>SUM(Q246:Q250)</f>
        <v>0</v>
      </c>
      <c r="R245" s="158">
        <f>SUM(R246:R250)</f>
        <v>88549.999999999985</v>
      </c>
      <c r="S245" s="158"/>
      <c r="T245" s="165">
        <f>I245-(N245+Q245+R245)</f>
        <v>0</v>
      </c>
    </row>
    <row r="246" spans="1:20" s="106" customFormat="1" outlineLevel="1" x14ac:dyDescent="0.2">
      <c r="A246" s="46" t="s">
        <v>31</v>
      </c>
      <c r="B246" s="19"/>
      <c r="C246" s="104"/>
      <c r="D246" s="104"/>
      <c r="E246" s="104"/>
      <c r="F246" s="177"/>
      <c r="G246" s="431" t="s">
        <v>257</v>
      </c>
      <c r="H246" s="621"/>
      <c r="I246" s="21"/>
      <c r="J246" s="107">
        <v>0.3</v>
      </c>
      <c r="K246" s="23">
        <f>+I245*J246</f>
        <v>132825</v>
      </c>
      <c r="L246" s="42">
        <v>1</v>
      </c>
      <c r="M246" s="15">
        <v>42943</v>
      </c>
      <c r="N246" s="24">
        <v>132825</v>
      </c>
      <c r="O246" s="30">
        <v>42993</v>
      </c>
      <c r="P246" s="413"/>
      <c r="Q246" s="80" t="str">
        <f t="shared" si="50"/>
        <v/>
      </c>
      <c r="R246" s="80">
        <f t="shared" si="43"/>
        <v>0</v>
      </c>
      <c r="S246" s="105"/>
      <c r="T246" s="162"/>
    </row>
    <row r="247" spans="1:20" s="106" customFormat="1" outlineLevel="1" x14ac:dyDescent="0.2">
      <c r="A247" s="46" t="s">
        <v>31</v>
      </c>
      <c r="B247" s="19"/>
      <c r="C247" s="104"/>
      <c r="D247" s="104"/>
      <c r="E247" s="104"/>
      <c r="F247" s="177"/>
      <c r="G247" s="431"/>
      <c r="H247" s="621"/>
      <c r="I247" s="21"/>
      <c r="J247" s="230">
        <v>0.42809999999999998</v>
      </c>
      <c r="K247" s="23">
        <f>J247*I245-K246-0.01</f>
        <v>56716.264999999992</v>
      </c>
      <c r="L247" s="42">
        <v>2</v>
      </c>
      <c r="M247" s="15">
        <v>43242</v>
      </c>
      <c r="N247" s="24">
        <v>56716.27</v>
      </c>
      <c r="O247" s="30">
        <v>43270</v>
      </c>
      <c r="P247" s="413"/>
      <c r="Q247" s="80" t="str">
        <f t="shared" si="50"/>
        <v/>
      </c>
      <c r="R247" s="80"/>
      <c r="S247" s="105"/>
      <c r="T247" s="162"/>
    </row>
    <row r="248" spans="1:20" s="106" customFormat="1" outlineLevel="1" x14ac:dyDescent="0.2">
      <c r="A248" s="46" t="s">
        <v>31</v>
      </c>
      <c r="B248" s="19"/>
      <c r="C248" s="104"/>
      <c r="D248" s="104"/>
      <c r="E248" s="104"/>
      <c r="F248" s="177"/>
      <c r="G248" s="562"/>
      <c r="H248" s="621"/>
      <c r="I248" s="21"/>
      <c r="J248" s="230">
        <v>0.58099999999999996</v>
      </c>
      <c r="K248" s="23">
        <f>+I245*J248-K246-K247-0.01</f>
        <v>67696.474999999991</v>
      </c>
      <c r="L248" s="42">
        <v>3</v>
      </c>
      <c r="M248" s="15">
        <v>43291</v>
      </c>
      <c r="N248" s="24">
        <v>67696.479999999996</v>
      </c>
      <c r="O248" s="30">
        <v>43329</v>
      </c>
      <c r="P248" s="413"/>
      <c r="Q248" s="80" t="str">
        <f t="shared" si="50"/>
        <v/>
      </c>
      <c r="R248" s="80">
        <f t="shared" si="43"/>
        <v>0</v>
      </c>
      <c r="S248" s="105"/>
      <c r="T248" s="162"/>
    </row>
    <row r="249" spans="1:20" s="106" customFormat="1" outlineLevel="1" x14ac:dyDescent="0.2">
      <c r="A249" s="46" t="s">
        <v>31</v>
      </c>
      <c r="B249" s="19"/>
      <c r="C249" s="104"/>
      <c r="D249" s="104"/>
      <c r="E249" s="104"/>
      <c r="F249" s="177"/>
      <c r="G249" s="431"/>
      <c r="H249" s="621"/>
      <c r="I249" s="21"/>
      <c r="J249" s="107">
        <v>0.8</v>
      </c>
      <c r="K249" s="23">
        <f>+I245*J249-K246-K248-K247-0.01</f>
        <v>96962.250000000044</v>
      </c>
      <c r="L249" s="42">
        <v>4</v>
      </c>
      <c r="M249" s="15">
        <v>43370</v>
      </c>
      <c r="N249" s="24">
        <v>96962.25</v>
      </c>
      <c r="O249" s="30">
        <v>43440</v>
      </c>
      <c r="P249" s="413"/>
      <c r="Q249" s="80" t="str">
        <f t="shared" si="50"/>
        <v/>
      </c>
      <c r="R249" s="80">
        <f t="shared" si="43"/>
        <v>0</v>
      </c>
      <c r="S249" s="105"/>
      <c r="T249" s="162"/>
    </row>
    <row r="250" spans="1:20" s="26" customFormat="1" outlineLevel="1" x14ac:dyDescent="0.2">
      <c r="A250" s="117" t="s">
        <v>31</v>
      </c>
      <c r="B250" s="39"/>
      <c r="C250" s="33" t="s">
        <v>197</v>
      </c>
      <c r="D250" s="382"/>
      <c r="E250" s="36"/>
      <c r="F250" s="174"/>
      <c r="G250" s="451"/>
      <c r="H250" s="623"/>
      <c r="I250" s="25"/>
      <c r="J250" s="152">
        <v>1</v>
      </c>
      <c r="K250" s="159">
        <f>+I245-K246-K248-K249-K247-0.01</f>
        <v>88549.999999999985</v>
      </c>
      <c r="L250" s="44">
        <v>5</v>
      </c>
      <c r="M250" s="36"/>
      <c r="N250" s="37"/>
      <c r="O250" s="154"/>
      <c r="P250" s="155"/>
      <c r="Q250" s="80" t="str">
        <f t="shared" si="50"/>
        <v/>
      </c>
      <c r="R250" s="156">
        <f>IF(M250="",K250-N250,0)</f>
        <v>88549.999999999985</v>
      </c>
      <c r="S250" s="156"/>
      <c r="T250" s="162"/>
    </row>
    <row r="251" spans="1:20" s="106" customFormat="1" x14ac:dyDescent="0.2">
      <c r="A251" s="320" t="s">
        <v>252</v>
      </c>
      <c r="B251" s="327" t="s">
        <v>146</v>
      </c>
      <c r="C251" s="321">
        <v>41800</v>
      </c>
      <c r="D251" s="321">
        <f>DATE(YEAR(C251),MONTH(C251)+18,DAY(C251))</f>
        <v>42348</v>
      </c>
      <c r="E251" s="321">
        <v>42460</v>
      </c>
      <c r="F251" s="419">
        <v>42500</v>
      </c>
      <c r="G251" s="321">
        <f>DATE(YEAR(C251)+4,MONTH(C251),DAY(C251))</f>
        <v>43261</v>
      </c>
      <c r="H251" s="944">
        <v>43206</v>
      </c>
      <c r="I251" s="323">
        <v>1</v>
      </c>
      <c r="J251" s="322"/>
      <c r="K251" s="323"/>
      <c r="L251" s="324"/>
      <c r="M251" s="321"/>
      <c r="N251" s="325">
        <f>SUM(N252)</f>
        <v>0</v>
      </c>
      <c r="O251" s="326"/>
      <c r="P251" s="420"/>
      <c r="Q251" s="412">
        <f>SUM(Q252)</f>
        <v>0</v>
      </c>
      <c r="R251" s="412">
        <f>SUM(R252)</f>
        <v>0</v>
      </c>
      <c r="S251" s="328"/>
      <c r="T251" s="165">
        <f>I251-(N251+Q251+R251)</f>
        <v>1</v>
      </c>
    </row>
    <row r="252" spans="1:20" s="26" customFormat="1" x14ac:dyDescent="0.2">
      <c r="A252" s="351" t="s">
        <v>252</v>
      </c>
      <c r="B252" s="358"/>
      <c r="C252" s="390" t="s">
        <v>197</v>
      </c>
      <c r="D252" s="722"/>
      <c r="E252" s="390"/>
      <c r="F252" s="422"/>
      <c r="G252" s="353"/>
      <c r="H252" s="942"/>
      <c r="I252" s="354"/>
      <c r="J252" s="360"/>
      <c r="K252" s="354">
        <v>1</v>
      </c>
      <c r="L252" s="355">
        <v>1</v>
      </c>
      <c r="M252" s="353">
        <v>43440</v>
      </c>
      <c r="N252" s="356" t="s">
        <v>351</v>
      </c>
      <c r="O252" s="357"/>
      <c r="P252" s="424"/>
      <c r="Q252" s="359" t="str">
        <f t="shared" si="50"/>
        <v/>
      </c>
      <c r="R252" s="359">
        <f t="shared" si="43"/>
        <v>0</v>
      </c>
      <c r="S252" s="359"/>
      <c r="T252" s="162"/>
    </row>
    <row r="253" spans="1:20" s="106" customFormat="1" x14ac:dyDescent="0.2">
      <c r="A253" s="128" t="s">
        <v>250</v>
      </c>
      <c r="B253" s="133" t="s">
        <v>230</v>
      </c>
      <c r="C253" s="148">
        <v>42605</v>
      </c>
      <c r="D253" s="148">
        <f>DATE(YEAR(C253),MONTH(C253)+18,DAY(C253))</f>
        <v>43154</v>
      </c>
      <c r="E253" s="148">
        <v>42677</v>
      </c>
      <c r="F253" s="176">
        <v>42781</v>
      </c>
      <c r="G253" s="148">
        <f>DATE(YEAR(C253)+4,MONTH(C253),DAY(C253))</f>
        <v>44066</v>
      </c>
      <c r="H253" s="951">
        <v>43349</v>
      </c>
      <c r="I253" s="131">
        <v>280000</v>
      </c>
      <c r="J253" s="136"/>
      <c r="K253" s="131"/>
      <c r="L253" s="132"/>
      <c r="M253" s="148"/>
      <c r="N253" s="134">
        <f>SUM(N254:N259)</f>
        <v>224000</v>
      </c>
      <c r="O253" s="146"/>
      <c r="P253" s="147"/>
      <c r="Q253" s="183">
        <f>SUM(Q254:Q259)</f>
        <v>56000</v>
      </c>
      <c r="R253" s="149">
        <f>SUM(R254:R259)</f>
        <v>0</v>
      </c>
      <c r="S253" s="149"/>
      <c r="T253" s="165">
        <f>I253-(N253+Q253+R253)</f>
        <v>0</v>
      </c>
    </row>
    <row r="254" spans="1:20" s="106" customFormat="1" outlineLevel="1" x14ac:dyDescent="0.2">
      <c r="A254" s="46" t="s">
        <v>250</v>
      </c>
      <c r="B254" s="19"/>
      <c r="C254" s="104"/>
      <c r="D254" s="104"/>
      <c r="E254" s="104"/>
      <c r="F254" s="177"/>
      <c r="G254" s="104"/>
      <c r="H254" s="621"/>
      <c r="I254" s="21"/>
      <c r="J254" s="107">
        <v>0.3</v>
      </c>
      <c r="K254" s="23">
        <f>+I253*J254</f>
        <v>84000</v>
      </c>
      <c r="L254" s="42">
        <v>1</v>
      </c>
      <c r="M254" s="15">
        <v>42789</v>
      </c>
      <c r="N254" s="24">
        <v>84000</v>
      </c>
      <c r="O254" s="30">
        <v>42815</v>
      </c>
      <c r="P254" s="413"/>
      <c r="Q254" s="80" t="str">
        <f t="shared" si="50"/>
        <v/>
      </c>
      <c r="R254" s="80">
        <f t="shared" si="43"/>
        <v>0</v>
      </c>
      <c r="S254" s="105"/>
      <c r="T254" s="162"/>
    </row>
    <row r="255" spans="1:20" s="106" customFormat="1" outlineLevel="1" x14ac:dyDescent="0.2">
      <c r="A255" s="46" t="s">
        <v>250</v>
      </c>
      <c r="B255" s="19"/>
      <c r="C255" s="104"/>
      <c r="D255" s="104"/>
      <c r="E255" s="104"/>
      <c r="F255" s="177"/>
      <c r="G255" s="104"/>
      <c r="H255" s="621"/>
      <c r="I255" s="21"/>
      <c r="J255" s="230">
        <v>0.43340000000000001</v>
      </c>
      <c r="K255" s="23">
        <f>I253*J255-K254</f>
        <v>37352</v>
      </c>
      <c r="L255" s="42">
        <v>2</v>
      </c>
      <c r="M255" s="15">
        <v>43076</v>
      </c>
      <c r="N255" s="24">
        <v>37352</v>
      </c>
      <c r="O255" s="30">
        <v>43164</v>
      </c>
      <c r="P255" s="413"/>
      <c r="Q255" s="80" t="str">
        <f t="shared" si="50"/>
        <v/>
      </c>
      <c r="R255" s="80">
        <f t="shared" si="43"/>
        <v>0</v>
      </c>
      <c r="S255" s="105"/>
      <c r="T255" s="162"/>
    </row>
    <row r="256" spans="1:20" s="106" customFormat="1" outlineLevel="1" x14ac:dyDescent="0.2">
      <c r="A256" s="46" t="s">
        <v>250</v>
      </c>
      <c r="B256" s="19"/>
      <c r="C256" s="104"/>
      <c r="D256" s="104"/>
      <c r="E256" s="104"/>
      <c r="F256" s="177"/>
      <c r="G256" s="104"/>
      <c r="H256" s="621"/>
      <c r="I256" s="21"/>
      <c r="J256" s="230">
        <v>0.51439999999999997</v>
      </c>
      <c r="K256" s="23">
        <f>I253*J256-K254-K255</f>
        <v>22680</v>
      </c>
      <c r="L256" s="42">
        <v>3</v>
      </c>
      <c r="M256" s="15">
        <v>43202</v>
      </c>
      <c r="N256" s="24">
        <v>22680</v>
      </c>
      <c r="O256" s="30">
        <v>43252</v>
      </c>
      <c r="P256" s="413"/>
      <c r="Q256" s="80" t="str">
        <f t="shared" si="50"/>
        <v/>
      </c>
      <c r="R256" s="80">
        <f t="shared" si="43"/>
        <v>0</v>
      </c>
      <c r="S256" s="105"/>
      <c r="T256" s="162"/>
    </row>
    <row r="257" spans="1:20" s="106" customFormat="1" outlineLevel="1" x14ac:dyDescent="0.2">
      <c r="A257" s="46" t="s">
        <v>250</v>
      </c>
      <c r="B257" s="19"/>
      <c r="C257" s="104"/>
      <c r="D257" s="104"/>
      <c r="E257" s="104"/>
      <c r="F257" s="177"/>
      <c r="G257" s="104"/>
      <c r="H257" s="621"/>
      <c r="I257" s="21"/>
      <c r="J257" s="230">
        <v>0.64229999999999998</v>
      </c>
      <c r="K257" s="23">
        <v>35812</v>
      </c>
      <c r="L257" s="42">
        <v>4</v>
      </c>
      <c r="M257" s="15">
        <v>43277</v>
      </c>
      <c r="N257" s="24">
        <v>35812</v>
      </c>
      <c r="O257" s="30">
        <v>43325</v>
      </c>
      <c r="P257" s="413"/>
      <c r="Q257" s="80" t="str">
        <f t="shared" si="50"/>
        <v/>
      </c>
      <c r="R257" s="80"/>
      <c r="S257" s="105"/>
      <c r="T257" s="162"/>
    </row>
    <row r="258" spans="1:20" s="106" customFormat="1" outlineLevel="1" x14ac:dyDescent="0.2">
      <c r="A258" s="46" t="s">
        <v>250</v>
      </c>
      <c r="B258" s="19"/>
      <c r="C258" s="104"/>
      <c r="D258" s="104"/>
      <c r="E258" s="104"/>
      <c r="F258" s="177"/>
      <c r="G258" s="104"/>
      <c r="H258" s="621"/>
      <c r="I258" s="21"/>
      <c r="J258" s="107">
        <v>0.8</v>
      </c>
      <c r="K258" s="23">
        <f>I253*J258-K254-K255-K256-K257</f>
        <v>44156</v>
      </c>
      <c r="L258" s="42">
        <v>5</v>
      </c>
      <c r="M258" s="15">
        <v>43333</v>
      </c>
      <c r="N258" s="24">
        <v>44156</v>
      </c>
      <c r="O258" s="30">
        <v>43369</v>
      </c>
      <c r="P258" s="413"/>
      <c r="Q258" s="80" t="str">
        <f t="shared" si="50"/>
        <v/>
      </c>
      <c r="R258" s="80">
        <f t="shared" si="43"/>
        <v>0</v>
      </c>
      <c r="S258" s="105"/>
      <c r="T258" s="162"/>
    </row>
    <row r="259" spans="1:20" s="26" customFormat="1" outlineLevel="1" x14ac:dyDescent="0.2">
      <c r="A259" s="46" t="s">
        <v>250</v>
      </c>
      <c r="B259" s="4"/>
      <c r="C259" s="29"/>
      <c r="D259" s="382"/>
      <c r="E259" s="15"/>
      <c r="F259" s="173"/>
      <c r="G259" s="15"/>
      <c r="H259" s="489"/>
      <c r="I259" s="25"/>
      <c r="J259" s="107">
        <v>1</v>
      </c>
      <c r="K259" s="23">
        <f>I253-K254-K255-K256-K258-K257</f>
        <v>56000</v>
      </c>
      <c r="L259" s="42">
        <v>6</v>
      </c>
      <c r="M259" s="15">
        <v>43662</v>
      </c>
      <c r="N259" s="111" t="s">
        <v>81</v>
      </c>
      <c r="O259" s="30"/>
      <c r="P259" s="43"/>
      <c r="Q259" s="80">
        <f t="shared" si="50"/>
        <v>56000</v>
      </c>
      <c r="R259" s="80">
        <f t="shared" si="43"/>
        <v>0</v>
      </c>
      <c r="S259" s="80"/>
      <c r="T259" s="162"/>
    </row>
    <row r="260" spans="1:20" s="106" customFormat="1" x14ac:dyDescent="0.2">
      <c r="A260" s="118" t="s">
        <v>251</v>
      </c>
      <c r="B260" s="124" t="s">
        <v>144</v>
      </c>
      <c r="C260" s="157">
        <v>41890</v>
      </c>
      <c r="D260" s="157">
        <f>DATE(YEAR(C260),MONTH(C260)+18,DAY(C260))</f>
        <v>42437</v>
      </c>
      <c r="E260" s="157">
        <v>42326</v>
      </c>
      <c r="F260" s="454">
        <v>42774</v>
      </c>
      <c r="G260" s="157">
        <f>DATE(YEAR(C260)+4,MONTH(C260),DAY(C260))</f>
        <v>43351</v>
      </c>
      <c r="H260" s="554">
        <v>43341</v>
      </c>
      <c r="I260" s="122">
        <v>600000</v>
      </c>
      <c r="J260" s="127"/>
      <c r="K260" s="122"/>
      <c r="L260" s="137"/>
      <c r="M260" s="157"/>
      <c r="N260" s="125">
        <f>SUM(N261:N267)</f>
        <v>480000</v>
      </c>
      <c r="O260" s="150"/>
      <c r="P260" s="151"/>
      <c r="Q260" s="158">
        <f>SUM(Q261:Q267)</f>
        <v>0</v>
      </c>
      <c r="R260" s="158">
        <f>SUM(R261:R267)</f>
        <v>120000</v>
      </c>
      <c r="S260" s="158"/>
      <c r="T260" s="165">
        <f>I260-(N260+Q260+R260)</f>
        <v>0</v>
      </c>
    </row>
    <row r="261" spans="1:20" s="26" customFormat="1" outlineLevel="1" x14ac:dyDescent="0.2">
      <c r="A261" s="46" t="s">
        <v>251</v>
      </c>
      <c r="B261" s="4"/>
      <c r="C261" s="29" t="s">
        <v>197</v>
      </c>
      <c r="D261" s="15"/>
      <c r="E261" s="15"/>
      <c r="F261" s="173"/>
      <c r="G261" s="431"/>
      <c r="H261" s="489"/>
      <c r="I261" s="25"/>
      <c r="J261" s="107">
        <v>0.3</v>
      </c>
      <c r="K261" s="23">
        <f>+I260*J261</f>
        <v>180000</v>
      </c>
      <c r="L261" s="42">
        <v>1</v>
      </c>
      <c r="M261" s="15">
        <v>42782</v>
      </c>
      <c r="N261" s="24">
        <v>180000</v>
      </c>
      <c r="O261" s="30">
        <v>42811</v>
      </c>
      <c r="P261" s="43"/>
      <c r="Q261" s="80" t="str">
        <f t="shared" si="50"/>
        <v/>
      </c>
      <c r="R261" s="80">
        <f t="shared" ref="R261:R267" si="51">IF(M261="",K261-N261,0)</f>
        <v>0</v>
      </c>
      <c r="S261" s="80"/>
      <c r="T261" s="162"/>
    </row>
    <row r="262" spans="1:20" s="453" customFormat="1" outlineLevel="1" x14ac:dyDescent="0.2">
      <c r="A262" s="46" t="s">
        <v>251</v>
      </c>
      <c r="B262" s="4"/>
      <c r="C262" s="29"/>
      <c r="D262" s="15"/>
      <c r="E262" s="15"/>
      <c r="F262" s="173"/>
      <c r="G262" s="15"/>
      <c r="H262" s="489"/>
      <c r="I262" s="25"/>
      <c r="J262" s="230">
        <v>0.37959999999999999</v>
      </c>
      <c r="K262" s="23">
        <f>+I260*J262-K261</f>
        <v>47760</v>
      </c>
      <c r="L262" s="42">
        <v>2</v>
      </c>
      <c r="M262" s="15">
        <v>43053</v>
      </c>
      <c r="N262" s="24">
        <v>47760</v>
      </c>
      <c r="O262" s="30">
        <v>43077</v>
      </c>
      <c r="P262" s="43"/>
      <c r="Q262" s="80" t="str">
        <f>IF(N262="en attente",K262,"")</f>
        <v/>
      </c>
      <c r="R262" s="80">
        <f t="shared" si="51"/>
        <v>0</v>
      </c>
      <c r="S262" s="80"/>
      <c r="T262" s="163"/>
    </row>
    <row r="263" spans="1:20" s="453" customFormat="1" outlineLevel="1" x14ac:dyDescent="0.2">
      <c r="A263" s="46" t="s">
        <v>251</v>
      </c>
      <c r="B263" s="4"/>
      <c r="C263" s="29"/>
      <c r="D263" s="15"/>
      <c r="E263" s="15"/>
      <c r="F263" s="173"/>
      <c r="G263" s="15"/>
      <c r="H263" s="489"/>
      <c r="I263" s="25"/>
      <c r="J263" s="230">
        <v>0.49869999999999998</v>
      </c>
      <c r="K263" s="23">
        <f>+I260*J263-K261-K262</f>
        <v>71460</v>
      </c>
      <c r="L263" s="42">
        <v>3</v>
      </c>
      <c r="M263" s="15">
        <v>43158</v>
      </c>
      <c r="N263" s="24">
        <v>71460</v>
      </c>
      <c r="O263" s="30">
        <v>43186</v>
      </c>
      <c r="P263" s="43"/>
      <c r="Q263" s="80" t="str">
        <f t="shared" si="50"/>
        <v/>
      </c>
      <c r="R263" s="80">
        <f t="shared" si="51"/>
        <v>0</v>
      </c>
      <c r="S263" s="80"/>
      <c r="T263" s="163"/>
    </row>
    <row r="264" spans="1:20" s="453" customFormat="1" outlineLevel="1" x14ac:dyDescent="0.2">
      <c r="A264" s="46" t="s">
        <v>251</v>
      </c>
      <c r="B264" s="4"/>
      <c r="C264" s="29"/>
      <c r="D264" s="15"/>
      <c r="E264" s="15"/>
      <c r="F264" s="173"/>
      <c r="G264" s="15"/>
      <c r="H264" s="489"/>
      <c r="I264" s="25"/>
      <c r="J264" s="230">
        <v>0.59260000000000002</v>
      </c>
      <c r="K264" s="23">
        <v>56340</v>
      </c>
      <c r="L264" s="42">
        <v>4</v>
      </c>
      <c r="M264" s="15">
        <v>43223</v>
      </c>
      <c r="N264" s="24">
        <v>56340</v>
      </c>
      <c r="O264" s="30">
        <v>43266</v>
      </c>
      <c r="P264" s="43"/>
      <c r="Q264" s="80" t="str">
        <f t="shared" si="50"/>
        <v/>
      </c>
      <c r="R264" s="80"/>
      <c r="S264" s="80"/>
      <c r="T264" s="163"/>
    </row>
    <row r="265" spans="1:20" s="453" customFormat="1" outlineLevel="1" x14ac:dyDescent="0.2">
      <c r="A265" s="46" t="s">
        <v>251</v>
      </c>
      <c r="B265" s="4"/>
      <c r="C265" s="29"/>
      <c r="D265" s="15"/>
      <c r="E265" s="15"/>
      <c r="F265" s="173"/>
      <c r="G265" s="15"/>
      <c r="H265" s="489"/>
      <c r="I265" s="25"/>
      <c r="J265" s="230">
        <v>0.70879999999999999</v>
      </c>
      <c r="K265" s="23">
        <v>69720</v>
      </c>
      <c r="L265" s="42">
        <v>5</v>
      </c>
      <c r="M265" s="15">
        <v>43291</v>
      </c>
      <c r="N265" s="24">
        <v>69720</v>
      </c>
      <c r="O265" s="30">
        <v>43362</v>
      </c>
      <c r="P265" s="43"/>
      <c r="Q265" s="80" t="str">
        <f t="shared" si="50"/>
        <v/>
      </c>
      <c r="R265" s="80"/>
      <c r="S265" s="80"/>
      <c r="T265" s="163"/>
    </row>
    <row r="266" spans="1:20" s="453" customFormat="1" outlineLevel="1" x14ac:dyDescent="0.2">
      <c r="A266" s="46" t="s">
        <v>251</v>
      </c>
      <c r="B266" s="4"/>
      <c r="C266" s="29"/>
      <c r="D266" s="15"/>
      <c r="E266" s="15"/>
      <c r="F266" s="173"/>
      <c r="G266" s="15"/>
      <c r="H266" s="489"/>
      <c r="I266" s="25"/>
      <c r="J266" s="107">
        <v>0.8</v>
      </c>
      <c r="K266" s="23">
        <f>+J266*I260-K261-K262-K263-K264-K265</f>
        <v>54720</v>
      </c>
      <c r="L266" s="42">
        <v>6</v>
      </c>
      <c r="M266" s="15">
        <v>43440</v>
      </c>
      <c r="N266" s="24">
        <v>54720</v>
      </c>
      <c r="O266" s="30">
        <v>43524</v>
      </c>
      <c r="P266" s="43"/>
      <c r="Q266" s="80" t="str">
        <f t="shared" si="50"/>
        <v/>
      </c>
      <c r="R266" s="80">
        <f t="shared" si="51"/>
        <v>0</v>
      </c>
      <c r="S266" s="80"/>
      <c r="T266" s="163"/>
    </row>
    <row r="267" spans="1:20" s="26" customFormat="1" outlineLevel="1" x14ac:dyDescent="0.2">
      <c r="A267" s="46" t="s">
        <v>251</v>
      </c>
      <c r="B267" s="4"/>
      <c r="C267" s="29"/>
      <c r="D267" s="15"/>
      <c r="E267" s="15"/>
      <c r="F267" s="173"/>
      <c r="G267" s="15"/>
      <c r="H267" s="489"/>
      <c r="I267" s="25"/>
      <c r="J267" s="107">
        <v>1</v>
      </c>
      <c r="K267" s="110">
        <f>I260-K261-K262-K263-K264-K265-K266</f>
        <v>120000</v>
      </c>
      <c r="L267" s="42">
        <v>7</v>
      </c>
      <c r="M267" s="15"/>
      <c r="N267" s="24"/>
      <c r="O267" s="30"/>
      <c r="P267" s="43"/>
      <c r="Q267" s="80" t="str">
        <f t="shared" si="50"/>
        <v/>
      </c>
      <c r="R267" s="80">
        <f t="shared" si="51"/>
        <v>120000</v>
      </c>
      <c r="S267" s="80"/>
      <c r="T267" s="162"/>
    </row>
    <row r="268" spans="1:20" s="106" customFormat="1" x14ac:dyDescent="0.2">
      <c r="A268" s="118" t="s">
        <v>90</v>
      </c>
      <c r="B268" s="124" t="s">
        <v>143</v>
      </c>
      <c r="C268" s="157">
        <v>41855</v>
      </c>
      <c r="D268" s="157">
        <f>DATE(YEAR(C268),MONTH(C268)+18,DAY(C268))</f>
        <v>42404</v>
      </c>
      <c r="E268" s="157">
        <v>42072</v>
      </c>
      <c r="F268" s="172">
        <v>42348</v>
      </c>
      <c r="G268" s="157">
        <f>DATE(YEAR(C268)+4,MONTH(C268),DAY(C268))</f>
        <v>43316</v>
      </c>
      <c r="H268" s="554">
        <v>43189</v>
      </c>
      <c r="I268" s="122">
        <v>925000</v>
      </c>
      <c r="J268" s="127"/>
      <c r="K268" s="122"/>
      <c r="L268" s="137"/>
      <c r="M268" s="157"/>
      <c r="N268" s="125">
        <f>SUM(N269:N273)</f>
        <v>740000</v>
      </c>
      <c r="O268" s="150"/>
      <c r="P268" s="151"/>
      <c r="Q268" s="158">
        <f>SUM(Q269:Q273)</f>
        <v>0</v>
      </c>
      <c r="R268" s="158">
        <f>SUM(R269:R273)</f>
        <v>185000</v>
      </c>
      <c r="S268" s="158"/>
      <c r="T268" s="165">
        <f>I268-(N268+Q268+R268)</f>
        <v>0</v>
      </c>
    </row>
    <row r="269" spans="1:20" s="26" customFormat="1" outlineLevel="1" x14ac:dyDescent="0.2">
      <c r="A269" s="46" t="s">
        <v>90</v>
      </c>
      <c r="B269" s="4"/>
      <c r="C269" s="29" t="s">
        <v>197</v>
      </c>
      <c r="D269" s="15"/>
      <c r="E269" s="15"/>
      <c r="F269" s="173"/>
      <c r="G269" s="15"/>
      <c r="H269" s="489"/>
      <c r="I269" s="25"/>
      <c r="J269" s="108">
        <f>K269/I268</f>
        <v>0.3</v>
      </c>
      <c r="K269" s="23">
        <f>30%*I268</f>
        <v>277500</v>
      </c>
      <c r="L269" s="42">
        <v>1</v>
      </c>
      <c r="M269" s="15">
        <v>42411</v>
      </c>
      <c r="N269" s="24">
        <v>277500</v>
      </c>
      <c r="O269" s="30">
        <v>42438</v>
      </c>
      <c r="P269" s="43">
        <f>IF(O269="",$R$2-M269,O269-M269)</f>
        <v>27</v>
      </c>
      <c r="Q269" s="80" t="str">
        <f t="shared" si="50"/>
        <v/>
      </c>
      <c r="R269" s="80">
        <f t="shared" si="43"/>
        <v>0</v>
      </c>
      <c r="S269" s="80"/>
      <c r="T269" s="162"/>
    </row>
    <row r="270" spans="1:20" s="26" customFormat="1" outlineLevel="1" x14ac:dyDescent="0.2">
      <c r="A270" s="46" t="s">
        <v>90</v>
      </c>
      <c r="B270" s="4"/>
      <c r="C270" s="15"/>
      <c r="D270" s="15"/>
      <c r="E270" s="15"/>
      <c r="F270" s="173"/>
      <c r="G270" s="15"/>
      <c r="H270" s="489"/>
      <c r="I270" s="25"/>
      <c r="J270" s="230">
        <v>0.41360000000000002</v>
      </c>
      <c r="K270" s="23">
        <f>I268*J270-K269</f>
        <v>105080</v>
      </c>
      <c r="L270" s="42">
        <v>2</v>
      </c>
      <c r="M270" s="15">
        <v>42866</v>
      </c>
      <c r="N270" s="24">
        <v>105080</v>
      </c>
      <c r="O270" s="30">
        <v>42906</v>
      </c>
      <c r="P270" s="43"/>
      <c r="Q270" s="80" t="str">
        <f t="shared" si="50"/>
        <v/>
      </c>
      <c r="R270" s="80">
        <f t="shared" si="43"/>
        <v>0</v>
      </c>
      <c r="S270" s="80"/>
      <c r="T270" s="162"/>
    </row>
    <row r="271" spans="1:20" s="26" customFormat="1" outlineLevel="1" x14ac:dyDescent="0.2">
      <c r="A271" s="46" t="s">
        <v>90</v>
      </c>
      <c r="B271" s="4"/>
      <c r="C271" s="15"/>
      <c r="D271" s="15"/>
      <c r="E271" s="15"/>
      <c r="F271" s="173"/>
      <c r="G271" s="15"/>
      <c r="H271" s="489"/>
      <c r="I271" s="25"/>
      <c r="J271" s="230">
        <v>0.55430000000000001</v>
      </c>
      <c r="K271" s="23">
        <f>I268*J271-K269-K270</f>
        <v>130147.5</v>
      </c>
      <c r="L271" s="42">
        <v>3</v>
      </c>
      <c r="M271" s="15">
        <v>43032</v>
      </c>
      <c r="N271" s="24">
        <v>130147.5</v>
      </c>
      <c r="O271" s="30">
        <v>43077</v>
      </c>
      <c r="P271" s="43"/>
      <c r="Q271" s="80" t="str">
        <f t="shared" si="50"/>
        <v/>
      </c>
      <c r="R271" s="80">
        <f t="shared" si="43"/>
        <v>0</v>
      </c>
      <c r="S271" s="80"/>
      <c r="T271" s="162"/>
    </row>
    <row r="272" spans="1:20" s="26" customFormat="1" outlineLevel="1" x14ac:dyDescent="0.2">
      <c r="A272" s="46" t="s">
        <v>90</v>
      </c>
      <c r="B272" s="4"/>
      <c r="C272" s="15"/>
      <c r="D272" s="15"/>
      <c r="E272" s="15"/>
      <c r="F272" s="173"/>
      <c r="G272" s="15"/>
      <c r="H272" s="489"/>
      <c r="I272" s="25"/>
      <c r="J272" s="230">
        <v>0.8</v>
      </c>
      <c r="K272" s="23">
        <f>I268*J272-K269-K270-K271</f>
        <v>227272.5</v>
      </c>
      <c r="L272" s="42">
        <v>4</v>
      </c>
      <c r="M272" s="15">
        <v>43066</v>
      </c>
      <c r="N272" s="24">
        <v>227272.5</v>
      </c>
      <c r="O272" s="30">
        <v>43193</v>
      </c>
      <c r="P272" s="43"/>
      <c r="Q272" s="80" t="str">
        <f t="shared" si="50"/>
        <v/>
      </c>
      <c r="R272" s="362">
        <f t="shared" si="43"/>
        <v>0</v>
      </c>
      <c r="S272" s="80"/>
      <c r="T272" s="162"/>
    </row>
    <row r="273" spans="1:20" s="26" customFormat="1" outlineLevel="1" x14ac:dyDescent="0.2">
      <c r="A273" s="46" t="s">
        <v>90</v>
      </c>
      <c r="B273" s="39"/>
      <c r="C273" s="36"/>
      <c r="D273" s="36"/>
      <c r="E273" s="36"/>
      <c r="F273" s="174"/>
      <c r="G273" s="36"/>
      <c r="H273" s="623"/>
      <c r="I273" s="25"/>
      <c r="J273" s="152">
        <v>1</v>
      </c>
      <c r="K273" s="159">
        <f>I268-K269-K270-K271-K272</f>
        <v>185000</v>
      </c>
      <c r="L273" s="44">
        <v>5</v>
      </c>
      <c r="M273" s="36"/>
      <c r="N273" s="37"/>
      <c r="O273" s="154"/>
      <c r="P273" s="43"/>
      <c r="Q273" s="80" t="str">
        <f t="shared" si="50"/>
        <v/>
      </c>
      <c r="R273" s="156">
        <f t="shared" si="43"/>
        <v>185000</v>
      </c>
      <c r="S273" s="156"/>
      <c r="T273" s="162"/>
    </row>
    <row r="274" spans="1:20" s="106" customFormat="1" x14ac:dyDescent="0.2">
      <c r="A274" s="118" t="s">
        <v>91</v>
      </c>
      <c r="B274" s="124" t="s">
        <v>142</v>
      </c>
      <c r="C274" s="157">
        <v>41956</v>
      </c>
      <c r="D274" s="157">
        <f>DATE(YEAR(C274),MONTH(C274)+18,DAY(C274))</f>
        <v>42503</v>
      </c>
      <c r="E274" s="157"/>
      <c r="F274" s="172"/>
      <c r="G274" s="157">
        <f>DATE(YEAR(C274)+4,MONTH(C274),DAY(C274))</f>
        <v>43417</v>
      </c>
      <c r="H274" s="554"/>
      <c r="I274" s="122">
        <v>543200</v>
      </c>
      <c r="J274" s="127"/>
      <c r="K274" s="122"/>
      <c r="L274" s="137"/>
      <c r="M274" s="157"/>
      <c r="N274" s="125">
        <f>SUM(N275)</f>
        <v>0</v>
      </c>
      <c r="O274" s="150"/>
      <c r="P274" s="151"/>
      <c r="Q274" s="158">
        <f>SUM(Q275)</f>
        <v>0</v>
      </c>
      <c r="R274" s="158">
        <f>SUM(R275)</f>
        <v>543200</v>
      </c>
      <c r="S274" s="158"/>
      <c r="T274" s="165">
        <f>I274-(N274+Q274+R274)</f>
        <v>0</v>
      </c>
    </row>
    <row r="275" spans="1:20" s="26" customFormat="1" x14ac:dyDescent="0.2">
      <c r="A275" s="117" t="s">
        <v>91</v>
      </c>
      <c r="B275" s="39"/>
      <c r="C275" s="33" t="s">
        <v>197</v>
      </c>
      <c r="D275" s="381" t="s">
        <v>137</v>
      </c>
      <c r="E275" s="36"/>
      <c r="F275" s="174"/>
      <c r="G275" s="36"/>
      <c r="H275" s="623"/>
      <c r="I275" s="35"/>
      <c r="J275" s="40"/>
      <c r="K275" s="35">
        <v>543200</v>
      </c>
      <c r="L275" s="44">
        <v>1</v>
      </c>
      <c r="M275" s="36"/>
      <c r="N275" s="37"/>
      <c r="O275" s="154"/>
      <c r="P275" s="155"/>
      <c r="Q275" s="156" t="str">
        <f>IF(N275="en attente",K275,"")</f>
        <v/>
      </c>
      <c r="R275" s="156">
        <f>IF(M275="",K275-N275,0)</f>
        <v>543200</v>
      </c>
      <c r="S275" s="156"/>
      <c r="T275" s="162"/>
    </row>
    <row r="276" spans="1:20" s="106" customFormat="1" x14ac:dyDescent="0.2">
      <c r="A276" s="118" t="s">
        <v>117</v>
      </c>
      <c r="B276" s="124" t="s">
        <v>122</v>
      </c>
      <c r="C276" s="157">
        <v>42249</v>
      </c>
      <c r="D276" s="157">
        <f>DATE(YEAR(C276),MONTH(C276)+18,DAY(C276))</f>
        <v>42796</v>
      </c>
      <c r="E276" s="157">
        <v>42677</v>
      </c>
      <c r="F276" s="172">
        <v>42786</v>
      </c>
      <c r="G276" s="157">
        <f>DATE(YEAR(C276)+4,MONTH(C276),DAY(C276))</f>
        <v>43710</v>
      </c>
      <c r="H276" s="554">
        <v>43361</v>
      </c>
      <c r="I276" s="122">
        <v>400000</v>
      </c>
      <c r="J276" s="127"/>
      <c r="K276" s="122"/>
      <c r="L276" s="137"/>
      <c r="M276" s="157"/>
      <c r="N276" s="125">
        <f>SUM(N277:N283)</f>
        <v>307160</v>
      </c>
      <c r="O276" s="150"/>
      <c r="P276" s="151"/>
      <c r="Q276" s="158">
        <f>SUM(Q277:Q283)</f>
        <v>0</v>
      </c>
      <c r="R276" s="158">
        <f>SUM(R277:R283)</f>
        <v>92840</v>
      </c>
      <c r="S276" s="158"/>
      <c r="T276" s="165">
        <f>I276-(N276+Q276+R276)</f>
        <v>0</v>
      </c>
    </row>
    <row r="277" spans="1:20" s="106" customFormat="1" outlineLevel="1" x14ac:dyDescent="0.2">
      <c r="A277" s="46" t="s">
        <v>117</v>
      </c>
      <c r="B277" s="19"/>
      <c r="C277" s="104"/>
      <c r="D277" s="104"/>
      <c r="E277" s="104"/>
      <c r="F277" s="177"/>
      <c r="G277" s="104"/>
      <c r="H277" s="621"/>
      <c r="I277" s="21"/>
      <c r="J277" s="107">
        <v>0.3</v>
      </c>
      <c r="K277" s="23">
        <f>+I276*J277</f>
        <v>120000</v>
      </c>
      <c r="L277" s="42">
        <v>1</v>
      </c>
      <c r="M277" s="15">
        <v>42787</v>
      </c>
      <c r="N277" s="24">
        <v>120000</v>
      </c>
      <c r="O277" s="30">
        <v>42815</v>
      </c>
      <c r="P277" s="413"/>
      <c r="Q277" s="80" t="str">
        <f t="shared" si="50"/>
        <v/>
      </c>
      <c r="R277" s="80">
        <f t="shared" ref="R277:R289" si="52">IF(M277="",K277-N277,0)</f>
        <v>0</v>
      </c>
      <c r="S277" s="105"/>
      <c r="T277" s="162"/>
    </row>
    <row r="278" spans="1:20" s="106" customFormat="1" outlineLevel="1" x14ac:dyDescent="0.2">
      <c r="A278" s="46" t="s">
        <v>117</v>
      </c>
      <c r="B278" s="19"/>
      <c r="C278" s="104"/>
      <c r="D278" s="104"/>
      <c r="E278" s="104"/>
      <c r="F278" s="177"/>
      <c r="G278" s="104"/>
      <c r="H278" s="621"/>
      <c r="I278" s="21"/>
      <c r="J278" s="230">
        <v>0.44619999999999999</v>
      </c>
      <c r="K278" s="23">
        <f>+I276*J278-K277</f>
        <v>58480</v>
      </c>
      <c r="L278" s="42">
        <v>2</v>
      </c>
      <c r="M278" s="15">
        <v>43053</v>
      </c>
      <c r="N278" s="24">
        <v>58480</v>
      </c>
      <c r="O278" s="30">
        <v>43077</v>
      </c>
      <c r="P278" s="413"/>
      <c r="Q278" s="80" t="str">
        <f t="shared" si="50"/>
        <v/>
      </c>
      <c r="R278" s="80">
        <f t="shared" si="52"/>
        <v>0</v>
      </c>
      <c r="S278" s="105"/>
      <c r="T278" s="162"/>
    </row>
    <row r="279" spans="1:20" s="106" customFormat="1" outlineLevel="1" x14ac:dyDescent="0.2">
      <c r="A279" s="46" t="s">
        <v>117</v>
      </c>
      <c r="B279" s="19"/>
      <c r="C279" s="104"/>
      <c r="D279" s="104"/>
      <c r="E279" s="104"/>
      <c r="F279" s="177"/>
      <c r="G279" s="104"/>
      <c r="H279" s="621"/>
      <c r="I279" s="21"/>
      <c r="J279" s="230">
        <v>0.57030000000000003</v>
      </c>
      <c r="K279" s="23">
        <v>49640</v>
      </c>
      <c r="L279" s="42">
        <v>3</v>
      </c>
      <c r="M279" s="15">
        <v>43158</v>
      </c>
      <c r="N279" s="24">
        <v>49640</v>
      </c>
      <c r="O279" s="30">
        <v>43186</v>
      </c>
      <c r="P279" s="413"/>
      <c r="Q279" s="80" t="str">
        <f t="shared" si="50"/>
        <v/>
      </c>
      <c r="R279" s="80">
        <f t="shared" si="52"/>
        <v>0</v>
      </c>
      <c r="S279" s="105"/>
      <c r="T279" s="162"/>
    </row>
    <row r="280" spans="1:20" s="106" customFormat="1" outlineLevel="1" x14ac:dyDescent="0.2">
      <c r="A280" s="46" t="s">
        <v>117</v>
      </c>
      <c r="B280" s="19"/>
      <c r="C280" s="104"/>
      <c r="D280" s="104"/>
      <c r="E280" s="104"/>
      <c r="F280" s="177"/>
      <c r="G280" s="104"/>
      <c r="H280" s="621"/>
      <c r="I280" s="21"/>
      <c r="J280" s="230">
        <v>0.65329999999999999</v>
      </c>
      <c r="K280" s="23">
        <f>33200</f>
        <v>33200</v>
      </c>
      <c r="L280" s="42">
        <v>4</v>
      </c>
      <c r="M280" s="15">
        <v>43244</v>
      </c>
      <c r="N280" s="24">
        <v>33200</v>
      </c>
      <c r="O280" s="30">
        <v>43266</v>
      </c>
      <c r="P280" s="413"/>
      <c r="Q280" s="80" t="str">
        <f t="shared" si="50"/>
        <v/>
      </c>
      <c r="R280" s="80"/>
      <c r="S280" s="105"/>
      <c r="T280" s="162"/>
    </row>
    <row r="281" spans="1:20" s="106" customFormat="1" outlineLevel="1" x14ac:dyDescent="0.2">
      <c r="A281" s="46" t="s">
        <v>117</v>
      </c>
      <c r="B281" s="19"/>
      <c r="C281" s="104"/>
      <c r="D281" s="104"/>
      <c r="E281" s="104"/>
      <c r="F281" s="177"/>
      <c r="G281" s="104"/>
      <c r="H281" s="621"/>
      <c r="I281" s="21"/>
      <c r="J281" s="230">
        <v>0.76790000000000003</v>
      </c>
      <c r="K281" s="23">
        <f>45840</f>
        <v>45840</v>
      </c>
      <c r="L281" s="42">
        <v>5</v>
      </c>
      <c r="M281" s="15">
        <v>43291</v>
      </c>
      <c r="N281" s="24">
        <v>45840</v>
      </c>
      <c r="O281" s="30">
        <v>43329</v>
      </c>
      <c r="P281" s="413"/>
      <c r="Q281" s="80" t="str">
        <f t="shared" si="50"/>
        <v/>
      </c>
      <c r="R281" s="80"/>
      <c r="S281" s="105"/>
      <c r="T281" s="162"/>
    </row>
    <row r="282" spans="1:20" s="106" customFormat="1" outlineLevel="1" x14ac:dyDescent="0.2">
      <c r="A282" s="46" t="s">
        <v>117</v>
      </c>
      <c r="B282" s="19"/>
      <c r="C282" s="104"/>
      <c r="D282" s="104"/>
      <c r="E282" s="104"/>
      <c r="F282" s="177"/>
      <c r="G282" s="104"/>
      <c r="H282" s="621"/>
      <c r="I282" s="21"/>
      <c r="J282" s="107">
        <v>0.8</v>
      </c>
      <c r="K282" s="110">
        <f>+I276*J282-K277-K278-K279-K280-K281</f>
        <v>12840</v>
      </c>
      <c r="L282" s="42">
        <v>6</v>
      </c>
      <c r="M282" s="104"/>
      <c r="N282" s="20"/>
      <c r="O282" s="84"/>
      <c r="P282" s="413"/>
      <c r="Q282" s="80" t="str">
        <f t="shared" si="50"/>
        <v/>
      </c>
      <c r="R282" s="80">
        <f t="shared" si="52"/>
        <v>12840</v>
      </c>
      <c r="S282" s="105"/>
      <c r="T282" s="162"/>
    </row>
    <row r="283" spans="1:20" s="26" customFormat="1" outlineLevel="1" x14ac:dyDescent="0.2">
      <c r="A283" s="46" t="s">
        <v>117</v>
      </c>
      <c r="B283" s="4"/>
      <c r="C283" s="29" t="s">
        <v>197</v>
      </c>
      <c r="D283" s="15"/>
      <c r="E283" s="15"/>
      <c r="F283" s="173"/>
      <c r="G283" s="15"/>
      <c r="H283" s="489"/>
      <c r="I283" s="25"/>
      <c r="J283" s="107">
        <v>1</v>
      </c>
      <c r="K283" s="110">
        <f>400000-K277-K278-K282-K279-K280-K281</f>
        <v>80000</v>
      </c>
      <c r="L283" s="42">
        <v>7</v>
      </c>
      <c r="M283" s="15"/>
      <c r="N283" s="24"/>
      <c r="O283" s="30"/>
      <c r="P283" s="43"/>
      <c r="Q283" s="80" t="str">
        <f t="shared" si="50"/>
        <v/>
      </c>
      <c r="R283" s="80">
        <f t="shared" si="52"/>
        <v>80000</v>
      </c>
      <c r="S283" s="80"/>
      <c r="T283" s="165"/>
    </row>
    <row r="284" spans="1:20" s="106" customFormat="1" x14ac:dyDescent="0.2">
      <c r="A284" s="118" t="s">
        <v>118</v>
      </c>
      <c r="B284" s="124" t="s">
        <v>123</v>
      </c>
      <c r="C284" s="157">
        <v>42248</v>
      </c>
      <c r="D284" s="157">
        <f>DATE(YEAR(C284),MONTH(C284)+18,DAY(C284))</f>
        <v>42795</v>
      </c>
      <c r="E284" s="157">
        <v>42682</v>
      </c>
      <c r="F284" s="172">
        <v>42947</v>
      </c>
      <c r="G284" s="157">
        <f>DATE(YEAR(C284)+4,MONTH(C284),DAY(C284))</f>
        <v>43709</v>
      </c>
      <c r="H284" s="554">
        <v>43650</v>
      </c>
      <c r="I284" s="122">
        <v>420000</v>
      </c>
      <c r="J284" s="127"/>
      <c r="K284" s="122"/>
      <c r="L284" s="137"/>
      <c r="M284" s="157"/>
      <c r="N284" s="125">
        <f>SUM(N285:N290)</f>
        <v>336000</v>
      </c>
      <c r="O284" s="150"/>
      <c r="P284" s="151"/>
      <c r="Q284" s="158">
        <f>SUM(Q285:Q290)</f>
        <v>0</v>
      </c>
      <c r="R284" s="158">
        <f>SUM(R286:R290)</f>
        <v>84000</v>
      </c>
      <c r="S284" s="158"/>
      <c r="T284" s="165">
        <f>I284-(N284+Q284+R284)</f>
        <v>0</v>
      </c>
    </row>
    <row r="285" spans="1:20" s="106" customFormat="1" outlineLevel="1" x14ac:dyDescent="0.2">
      <c r="A285" s="46" t="s">
        <v>118</v>
      </c>
      <c r="B285" s="19"/>
      <c r="C285" s="104"/>
      <c r="D285" s="104"/>
      <c r="E285" s="104"/>
      <c r="F285" s="177"/>
      <c r="G285" s="431"/>
      <c r="H285" s="621"/>
      <c r="I285" s="21"/>
      <c r="J285" s="107">
        <v>0.3</v>
      </c>
      <c r="K285" s="555">
        <f>+I284*J285</f>
        <v>126000</v>
      </c>
      <c r="L285" s="42">
        <v>1</v>
      </c>
      <c r="M285" s="15">
        <v>42943</v>
      </c>
      <c r="N285" s="24">
        <v>126000</v>
      </c>
      <c r="O285" s="30">
        <v>42998</v>
      </c>
      <c r="P285" s="413"/>
      <c r="Q285" s="80" t="str">
        <f t="shared" si="50"/>
        <v/>
      </c>
      <c r="R285" s="80"/>
      <c r="S285" s="105"/>
      <c r="T285" s="162"/>
    </row>
    <row r="286" spans="1:20" s="106" customFormat="1" outlineLevel="1" x14ac:dyDescent="0.2">
      <c r="A286" s="46" t="s">
        <v>118</v>
      </c>
      <c r="B286" s="19"/>
      <c r="C286" s="104"/>
      <c r="D286" s="104"/>
      <c r="E286" s="104"/>
      <c r="F286" s="177"/>
      <c r="G286" s="104"/>
      <c r="H286" s="621"/>
      <c r="I286" s="21"/>
      <c r="J286" s="230">
        <v>0.38119999999999998</v>
      </c>
      <c r="K286" s="555">
        <f>+I284*J286-K285</f>
        <v>34104</v>
      </c>
      <c r="L286" s="42">
        <v>2</v>
      </c>
      <c r="M286" s="15">
        <v>43200</v>
      </c>
      <c r="N286" s="24">
        <v>34104</v>
      </c>
      <c r="O286" s="30">
        <v>43231</v>
      </c>
      <c r="P286" s="413"/>
      <c r="Q286" s="80" t="str">
        <f t="shared" si="50"/>
        <v/>
      </c>
      <c r="R286" s="80">
        <f t="shared" si="52"/>
        <v>0</v>
      </c>
      <c r="S286" s="105"/>
      <c r="T286" s="162"/>
    </row>
    <row r="287" spans="1:20" s="106" customFormat="1" outlineLevel="1" x14ac:dyDescent="0.2">
      <c r="A287" s="46" t="s">
        <v>118</v>
      </c>
      <c r="B287" s="19"/>
      <c r="C287" s="104"/>
      <c r="D287" s="104"/>
      <c r="E287" s="104"/>
      <c r="F287" s="177"/>
      <c r="G287" s="104"/>
      <c r="H287" s="621"/>
      <c r="I287" s="21"/>
      <c r="J287" s="230">
        <v>0.58179999999999998</v>
      </c>
      <c r="K287" s="555">
        <v>84252</v>
      </c>
      <c r="L287" s="42">
        <v>3</v>
      </c>
      <c r="M287" s="15">
        <v>43291</v>
      </c>
      <c r="N287" s="24">
        <v>84252</v>
      </c>
      <c r="O287" s="30">
        <v>43350</v>
      </c>
      <c r="P287" s="413"/>
      <c r="Q287" s="80" t="str">
        <f t="shared" si="50"/>
        <v/>
      </c>
      <c r="R287" s="80"/>
      <c r="S287" s="105"/>
      <c r="T287" s="162"/>
    </row>
    <row r="288" spans="1:20" s="106" customFormat="1" outlineLevel="1" x14ac:dyDescent="0.2">
      <c r="A288" s="46" t="s">
        <v>118</v>
      </c>
      <c r="B288" s="19"/>
      <c r="C288" s="104"/>
      <c r="D288" s="104"/>
      <c r="E288" s="104"/>
      <c r="F288" s="177"/>
      <c r="G288" s="104"/>
      <c r="H288" s="621"/>
      <c r="I288" s="21"/>
      <c r="J288" s="230">
        <v>0.70989999999999998</v>
      </c>
      <c r="K288" s="555">
        <f>I284*J288-K285-K286-K287</f>
        <v>53802</v>
      </c>
      <c r="L288" s="42">
        <v>4</v>
      </c>
      <c r="M288" s="15">
        <v>43391</v>
      </c>
      <c r="N288" s="24">
        <v>53802</v>
      </c>
      <c r="O288" s="30">
        <v>43441</v>
      </c>
      <c r="P288" s="413"/>
      <c r="Q288" s="80" t="str">
        <f t="shared" si="50"/>
        <v/>
      </c>
      <c r="R288" s="80"/>
      <c r="S288" s="105"/>
      <c r="T288" s="162"/>
    </row>
    <row r="289" spans="1:20" s="106" customFormat="1" outlineLevel="1" x14ac:dyDescent="0.2">
      <c r="A289" s="46" t="s">
        <v>118</v>
      </c>
      <c r="B289" s="19"/>
      <c r="C289" s="104"/>
      <c r="D289" s="104"/>
      <c r="E289" s="104"/>
      <c r="F289" s="177"/>
      <c r="G289" s="104"/>
      <c r="H289" s="621"/>
      <c r="I289" s="21"/>
      <c r="J289" s="107">
        <v>0.8</v>
      </c>
      <c r="K289" s="555">
        <f>+I284*J289-K285-K286-K287-K288</f>
        <v>37842</v>
      </c>
      <c r="L289" s="42">
        <v>5</v>
      </c>
      <c r="M289" s="15">
        <v>43489</v>
      </c>
      <c r="N289" s="24">
        <v>37842</v>
      </c>
      <c r="O289" s="30">
        <v>43553</v>
      </c>
      <c r="P289" s="413"/>
      <c r="Q289" s="80" t="str">
        <f t="shared" si="50"/>
        <v/>
      </c>
      <c r="R289" s="80">
        <f t="shared" si="52"/>
        <v>0</v>
      </c>
      <c r="S289" s="105"/>
      <c r="T289" s="162"/>
    </row>
    <row r="290" spans="1:20" s="26" customFormat="1" outlineLevel="1" x14ac:dyDescent="0.2">
      <c r="A290" s="46" t="s">
        <v>118</v>
      </c>
      <c r="B290" s="4"/>
      <c r="C290" s="29" t="s">
        <v>197</v>
      </c>
      <c r="D290" s="15"/>
      <c r="E290" s="15"/>
      <c r="F290" s="173"/>
      <c r="G290" s="15"/>
      <c r="H290" s="489"/>
      <c r="I290" s="25"/>
      <c r="J290" s="107">
        <v>1</v>
      </c>
      <c r="K290" s="110">
        <f>+I284-K285-K286-K289-K287-K288</f>
        <v>84000</v>
      </c>
      <c r="L290" s="42">
        <v>6</v>
      </c>
      <c r="M290" s="15"/>
      <c r="N290" s="24"/>
      <c r="O290" s="30"/>
      <c r="P290" s="43"/>
      <c r="Q290" s="80" t="str">
        <f t="shared" si="50"/>
        <v/>
      </c>
      <c r="R290" s="80">
        <f>IF(M290="",K290-N290,0)</f>
        <v>84000</v>
      </c>
      <c r="S290" s="80"/>
      <c r="T290" s="165"/>
    </row>
    <row r="291" spans="1:20" s="26" customFormat="1" x14ac:dyDescent="0.2">
      <c r="A291" s="118" t="s">
        <v>241</v>
      </c>
      <c r="B291" s="126" t="s">
        <v>124</v>
      </c>
      <c r="C291" s="150">
        <v>42304</v>
      </c>
      <c r="D291" s="157">
        <f>DATE(YEAR(C291),MONTH(C291)+18,DAY(C291))</f>
        <v>42852</v>
      </c>
      <c r="E291" s="157">
        <v>42682</v>
      </c>
      <c r="F291" s="501">
        <v>42782</v>
      </c>
      <c r="G291" s="157">
        <f>DATE(YEAR(C291)+4,MONTH(C291),DAY(C291))</f>
        <v>43765</v>
      </c>
      <c r="H291" s="952">
        <v>43522</v>
      </c>
      <c r="I291" s="256">
        <v>406000</v>
      </c>
      <c r="J291" s="440"/>
      <c r="K291" s="249"/>
      <c r="L291" s="253"/>
      <c r="M291" s="213"/>
      <c r="N291" s="122">
        <f>SUM(N292:N298)</f>
        <v>324800</v>
      </c>
      <c r="O291" s="213"/>
      <c r="P291" s="254"/>
      <c r="Q291" s="169">
        <f>SUM(Q292:Q298)</f>
        <v>0</v>
      </c>
      <c r="R291" s="169">
        <f>SUM(R292:R298)</f>
        <v>81200</v>
      </c>
      <c r="S291" s="255"/>
      <c r="T291" s="165">
        <f>I291-(N291+Q291+R291)</f>
        <v>0</v>
      </c>
    </row>
    <row r="292" spans="1:20" s="26" customFormat="1" outlineLevel="1" x14ac:dyDescent="0.2">
      <c r="A292" s="46" t="s">
        <v>241</v>
      </c>
      <c r="B292" s="19"/>
      <c r="C292" s="104"/>
      <c r="D292" s="104"/>
      <c r="E292" s="104"/>
      <c r="F292" s="173"/>
      <c r="G292" s="104"/>
      <c r="H292" s="489"/>
      <c r="I292" s="25"/>
      <c r="J292" s="107">
        <v>0.3</v>
      </c>
      <c r="K292" s="23">
        <f>+I291*J292</f>
        <v>121800</v>
      </c>
      <c r="L292" s="42">
        <v>1</v>
      </c>
      <c r="M292" s="15">
        <v>42787</v>
      </c>
      <c r="N292" s="24">
        <v>121800</v>
      </c>
      <c r="O292" s="30">
        <v>42816</v>
      </c>
      <c r="P292" s="43"/>
      <c r="Q292" s="80" t="str">
        <f t="shared" si="50"/>
        <v/>
      </c>
      <c r="R292" s="80">
        <f t="shared" ref="R292:R298" si="53">IF(M292="",K292-N292,0)</f>
        <v>0</v>
      </c>
      <c r="S292" s="80"/>
      <c r="T292" s="162"/>
    </row>
    <row r="293" spans="1:20" s="26" customFormat="1" outlineLevel="1" x14ac:dyDescent="0.2">
      <c r="A293" s="46" t="s">
        <v>241</v>
      </c>
      <c r="B293" s="19"/>
      <c r="C293" s="104"/>
      <c r="D293" s="104"/>
      <c r="E293" s="104"/>
      <c r="F293" s="173"/>
      <c r="G293" s="104"/>
      <c r="H293" s="489"/>
      <c r="I293" s="25"/>
      <c r="J293" s="230">
        <v>0.37759999999999999</v>
      </c>
      <c r="K293" s="23">
        <v>31505.599999999999</v>
      </c>
      <c r="L293" s="42">
        <v>2</v>
      </c>
      <c r="M293" s="15">
        <v>43158</v>
      </c>
      <c r="N293" s="24">
        <v>31505.599999999999</v>
      </c>
      <c r="O293" s="30">
        <v>43186</v>
      </c>
      <c r="P293" s="43"/>
      <c r="Q293" s="80" t="str">
        <f t="shared" si="50"/>
        <v/>
      </c>
      <c r="R293" s="80">
        <f t="shared" si="53"/>
        <v>0</v>
      </c>
      <c r="S293" s="80"/>
      <c r="T293" s="162"/>
    </row>
    <row r="294" spans="1:20" s="26" customFormat="1" outlineLevel="1" x14ac:dyDescent="0.2">
      <c r="A294" s="46" t="s">
        <v>241</v>
      </c>
      <c r="B294" s="19"/>
      <c r="C294" s="104"/>
      <c r="D294" s="104"/>
      <c r="E294" s="104"/>
      <c r="F294" s="173"/>
      <c r="G294" s="104"/>
      <c r="H294" s="489"/>
      <c r="I294" s="25"/>
      <c r="J294" s="230">
        <v>0.50860000000000005</v>
      </c>
      <c r="K294" s="23">
        <v>53186</v>
      </c>
      <c r="L294" s="42">
        <v>3</v>
      </c>
      <c r="M294" s="15">
        <v>43251</v>
      </c>
      <c r="N294" s="24">
        <v>53186</v>
      </c>
      <c r="O294" s="30">
        <v>43284</v>
      </c>
      <c r="P294" s="43"/>
      <c r="Q294" s="80" t="str">
        <f t="shared" si="50"/>
        <v/>
      </c>
      <c r="R294" s="80">
        <f t="shared" si="53"/>
        <v>0</v>
      </c>
      <c r="S294" s="80"/>
      <c r="T294" s="162"/>
    </row>
    <row r="295" spans="1:20" s="26" customFormat="1" outlineLevel="1" x14ac:dyDescent="0.2">
      <c r="A295" s="46" t="s">
        <v>241</v>
      </c>
      <c r="B295" s="19"/>
      <c r="C295" s="104"/>
      <c r="D295" s="104"/>
      <c r="E295" s="104"/>
      <c r="F295" s="173"/>
      <c r="G295" s="104"/>
      <c r="H295" s="489"/>
      <c r="I295" s="25"/>
      <c r="J295" s="230">
        <v>0.60929999999999995</v>
      </c>
      <c r="K295" s="23">
        <v>40884.199999999997</v>
      </c>
      <c r="L295" s="42">
        <v>4</v>
      </c>
      <c r="M295" s="15">
        <v>43307</v>
      </c>
      <c r="N295" s="24">
        <v>40884.199999999997</v>
      </c>
      <c r="O295" s="30">
        <v>43335</v>
      </c>
      <c r="P295" s="43"/>
      <c r="Q295" s="80" t="str">
        <f t="shared" si="50"/>
        <v/>
      </c>
      <c r="R295" s="80">
        <f t="shared" si="53"/>
        <v>0</v>
      </c>
      <c r="S295" s="80"/>
      <c r="T295" s="162"/>
    </row>
    <row r="296" spans="1:20" s="26" customFormat="1" outlineLevel="1" x14ac:dyDescent="0.2">
      <c r="A296" s="46" t="s">
        <v>241</v>
      </c>
      <c r="B296" s="19"/>
      <c r="C296" s="104"/>
      <c r="D296" s="104"/>
      <c r="E296" s="104"/>
      <c r="F296" s="173"/>
      <c r="G296" s="104"/>
      <c r="H296" s="489"/>
      <c r="I296" s="25"/>
      <c r="J296" s="230">
        <v>0.7006</v>
      </c>
      <c r="K296" s="23">
        <f>+I291*J296-K292-K293-K294-K295</f>
        <v>37067.799999999974</v>
      </c>
      <c r="L296" s="42">
        <v>5</v>
      </c>
      <c r="M296" s="15">
        <v>43384</v>
      </c>
      <c r="N296" s="24">
        <v>37067.800000000003</v>
      </c>
      <c r="O296" s="30">
        <v>43441</v>
      </c>
      <c r="P296" s="43"/>
      <c r="Q296" s="80" t="str">
        <f t="shared" si="50"/>
        <v/>
      </c>
      <c r="R296" s="80">
        <f t="shared" si="53"/>
        <v>0</v>
      </c>
      <c r="S296" s="80"/>
      <c r="T296" s="162"/>
    </row>
    <row r="297" spans="1:20" s="26" customFormat="1" outlineLevel="1" x14ac:dyDescent="0.2">
      <c r="A297" s="46" t="s">
        <v>241</v>
      </c>
      <c r="B297" s="19"/>
      <c r="C297" s="104"/>
      <c r="D297" s="104"/>
      <c r="E297" s="104"/>
      <c r="F297" s="173"/>
      <c r="G297" s="104"/>
      <c r="H297" s="489"/>
      <c r="I297" s="25"/>
      <c r="J297" s="107">
        <v>0.8</v>
      </c>
      <c r="K297" s="23">
        <f>I291*J297-K292-K293-K294-K295-K296</f>
        <v>40356.400000000023</v>
      </c>
      <c r="L297" s="42">
        <v>6</v>
      </c>
      <c r="M297" s="15">
        <v>43489</v>
      </c>
      <c r="N297" s="24">
        <v>40356.400000000001</v>
      </c>
      <c r="O297" s="30">
        <v>43553</v>
      </c>
      <c r="P297" s="43"/>
      <c r="Q297" s="80" t="str">
        <f t="shared" si="50"/>
        <v/>
      </c>
      <c r="R297" s="80">
        <f t="shared" si="53"/>
        <v>0</v>
      </c>
      <c r="S297" s="80"/>
      <c r="T297" s="162"/>
    </row>
    <row r="298" spans="1:20" s="26" customFormat="1" outlineLevel="1" x14ac:dyDescent="0.2">
      <c r="A298" s="46" t="s">
        <v>241</v>
      </c>
      <c r="B298" s="4"/>
      <c r="C298" s="29" t="s">
        <v>197</v>
      </c>
      <c r="D298" s="15"/>
      <c r="E298" s="15"/>
      <c r="F298" s="173"/>
      <c r="G298" s="15"/>
      <c r="H298" s="489"/>
      <c r="I298" s="25"/>
      <c r="J298" s="107">
        <v>1</v>
      </c>
      <c r="K298" s="110">
        <f>406000-K292-K294-K293-K297-K295-K296</f>
        <v>81200</v>
      </c>
      <c r="L298" s="42">
        <v>7</v>
      </c>
      <c r="M298" s="15"/>
      <c r="N298" s="24"/>
      <c r="O298" s="30"/>
      <c r="P298" s="43"/>
      <c r="Q298" s="80" t="str">
        <f t="shared" si="50"/>
        <v/>
      </c>
      <c r="R298" s="80">
        <f t="shared" si="53"/>
        <v>81200</v>
      </c>
      <c r="S298" s="80"/>
      <c r="T298" s="162"/>
    </row>
    <row r="299" spans="1:20" s="26" customFormat="1" x14ac:dyDescent="0.2">
      <c r="A299" s="118" t="s">
        <v>241</v>
      </c>
      <c r="B299" s="124" t="s">
        <v>131</v>
      </c>
      <c r="C299" s="157">
        <v>42306</v>
      </c>
      <c r="D299" s="157">
        <f>DATE(YEAR(C299),MONTH(C299)+18,DAY(C299))</f>
        <v>42854</v>
      </c>
      <c r="E299" s="157">
        <v>42682</v>
      </c>
      <c r="F299" s="172">
        <v>42782</v>
      </c>
      <c r="G299" s="157">
        <f>DATE(YEAR(C299)+4,MONTH(C299),DAY(C299))</f>
        <v>43767</v>
      </c>
      <c r="H299" s="554">
        <v>43522</v>
      </c>
      <c r="I299" s="256">
        <v>266000</v>
      </c>
      <c r="J299" s="440"/>
      <c r="K299" s="249"/>
      <c r="L299" s="250"/>
      <c r="M299" s="120"/>
      <c r="N299" s="125">
        <f>SUM(N300:N306)</f>
        <v>212800</v>
      </c>
      <c r="O299" s="213"/>
      <c r="P299" s="251"/>
      <c r="Q299" s="158">
        <f>SUM(Q300:Q306)</f>
        <v>0</v>
      </c>
      <c r="R299" s="158">
        <f>SUM(R300:R306)</f>
        <v>53200.000000000007</v>
      </c>
      <c r="S299" s="252"/>
      <c r="T299" s="165">
        <f>I299-(N299+Q299+R299)</f>
        <v>0</v>
      </c>
    </row>
    <row r="300" spans="1:20" s="26" customFormat="1" outlineLevel="1" x14ac:dyDescent="0.2">
      <c r="A300" s="46" t="s">
        <v>241</v>
      </c>
      <c r="B300" s="19"/>
      <c r="C300" s="104"/>
      <c r="D300" s="104"/>
      <c r="E300" s="104"/>
      <c r="F300" s="173"/>
      <c r="G300" s="104"/>
      <c r="H300" s="489"/>
      <c r="I300" s="25"/>
      <c r="J300" s="107">
        <v>0.3</v>
      </c>
      <c r="K300" s="23">
        <f>+I299*J300</f>
        <v>79800</v>
      </c>
      <c r="L300" s="42">
        <v>1</v>
      </c>
      <c r="M300" s="15">
        <v>42787</v>
      </c>
      <c r="N300" s="24">
        <v>79800</v>
      </c>
      <c r="O300" s="30">
        <v>42816</v>
      </c>
      <c r="P300" s="43"/>
      <c r="Q300" s="80" t="str">
        <f t="shared" si="50"/>
        <v/>
      </c>
      <c r="R300" s="80">
        <f t="shared" ref="R300:R306" si="54">IF(M300="",K300-N300,0)</f>
        <v>0</v>
      </c>
      <c r="S300" s="80"/>
      <c r="T300" s="162"/>
    </row>
    <row r="301" spans="1:20" s="26" customFormat="1" outlineLevel="1" x14ac:dyDescent="0.2">
      <c r="A301" s="46" t="s">
        <v>241</v>
      </c>
      <c r="B301" s="19"/>
      <c r="C301" s="104"/>
      <c r="D301" s="104"/>
      <c r="E301" s="104"/>
      <c r="F301" s="173"/>
      <c r="G301" s="104"/>
      <c r="H301" s="489"/>
      <c r="I301" s="25"/>
      <c r="J301" s="230">
        <v>0.37869999999999998</v>
      </c>
      <c r="K301" s="23">
        <v>20934.2</v>
      </c>
      <c r="L301" s="42">
        <v>2</v>
      </c>
      <c r="M301" s="15">
        <v>43158</v>
      </c>
      <c r="N301" s="24">
        <v>20934.2</v>
      </c>
      <c r="O301" s="30">
        <v>43186</v>
      </c>
      <c r="P301" s="43"/>
      <c r="Q301" s="80" t="str">
        <f t="shared" si="50"/>
        <v/>
      </c>
      <c r="R301" s="80">
        <f t="shared" si="54"/>
        <v>0</v>
      </c>
      <c r="S301" s="80"/>
      <c r="T301" s="162"/>
    </row>
    <row r="302" spans="1:20" s="26" customFormat="1" outlineLevel="1" x14ac:dyDescent="0.2">
      <c r="A302" s="46" t="s">
        <v>241</v>
      </c>
      <c r="B302" s="19"/>
      <c r="C302" s="104"/>
      <c r="D302" s="104"/>
      <c r="E302" s="104"/>
      <c r="F302" s="173"/>
      <c r="G302" s="104"/>
      <c r="H302" s="489"/>
      <c r="I302" s="25"/>
      <c r="J302" s="230">
        <v>0.50870000000000004</v>
      </c>
      <c r="K302" s="23">
        <f>+J302*I299-K300-K301</f>
        <v>34580.000000000015</v>
      </c>
      <c r="L302" s="42">
        <v>3</v>
      </c>
      <c r="M302" s="15">
        <v>43251</v>
      </c>
      <c r="N302" s="24">
        <v>34580</v>
      </c>
      <c r="O302" s="30">
        <v>43286</v>
      </c>
      <c r="P302" s="43"/>
      <c r="Q302" s="80" t="str">
        <f t="shared" si="50"/>
        <v/>
      </c>
      <c r="R302" s="80">
        <f t="shared" si="54"/>
        <v>0</v>
      </c>
      <c r="S302" s="80"/>
      <c r="T302" s="162"/>
    </row>
    <row r="303" spans="1:20" s="26" customFormat="1" outlineLevel="1" x14ac:dyDescent="0.2">
      <c r="A303" s="46" t="s">
        <v>241</v>
      </c>
      <c r="B303" s="19"/>
      <c r="C303" s="104"/>
      <c r="D303" s="104"/>
      <c r="E303" s="104"/>
      <c r="F303" s="173"/>
      <c r="G303" s="104"/>
      <c r="H303" s="489"/>
      <c r="I303" s="25"/>
      <c r="J303" s="230">
        <v>0.60909999999999997</v>
      </c>
      <c r="K303" s="23">
        <v>26706.400000000001</v>
      </c>
      <c r="L303" s="42">
        <v>4</v>
      </c>
      <c r="M303" s="15">
        <v>43307</v>
      </c>
      <c r="N303" s="24">
        <v>26706.400000000001</v>
      </c>
      <c r="O303" s="30">
        <v>43335</v>
      </c>
      <c r="P303" s="43"/>
      <c r="Q303" s="80" t="str">
        <f t="shared" si="50"/>
        <v/>
      </c>
      <c r="R303" s="80">
        <f t="shared" si="54"/>
        <v>0</v>
      </c>
      <c r="S303" s="80"/>
      <c r="T303" s="162"/>
    </row>
    <row r="304" spans="1:20" s="26" customFormat="1" outlineLevel="1" x14ac:dyDescent="0.2">
      <c r="A304" s="46" t="s">
        <v>241</v>
      </c>
      <c r="B304" s="19"/>
      <c r="C304" s="104"/>
      <c r="D304" s="104"/>
      <c r="E304" s="104"/>
      <c r="F304" s="173"/>
      <c r="G304" s="104"/>
      <c r="H304" s="489"/>
      <c r="I304" s="25"/>
      <c r="J304" s="230">
        <v>0.69969999999999999</v>
      </c>
      <c r="K304" s="23">
        <f>+I299*J304-K300-K301-K302-K303</f>
        <v>24099.599999999969</v>
      </c>
      <c r="L304" s="42">
        <v>5</v>
      </c>
      <c r="M304" s="15">
        <v>43384</v>
      </c>
      <c r="N304" s="24">
        <v>24099.599999999999</v>
      </c>
      <c r="O304" s="30">
        <v>43441</v>
      </c>
      <c r="P304" s="43"/>
      <c r="Q304" s="80" t="str">
        <f t="shared" si="50"/>
        <v/>
      </c>
      <c r="R304" s="80">
        <f t="shared" si="54"/>
        <v>0</v>
      </c>
      <c r="S304" s="80"/>
      <c r="T304" s="162"/>
    </row>
    <row r="305" spans="1:20" s="26" customFormat="1" outlineLevel="1" x14ac:dyDescent="0.2">
      <c r="A305" s="46" t="s">
        <v>241</v>
      </c>
      <c r="B305" s="19"/>
      <c r="C305" s="104"/>
      <c r="D305" s="104"/>
      <c r="E305" s="104"/>
      <c r="F305" s="173"/>
      <c r="G305" s="104"/>
      <c r="H305" s="489"/>
      <c r="I305" s="25"/>
      <c r="J305" s="107">
        <v>0.8</v>
      </c>
      <c r="K305" s="23">
        <f>J305*I299-K300-K301-K302-K303-K304</f>
        <v>26679.800000000017</v>
      </c>
      <c r="L305" s="42">
        <v>6</v>
      </c>
      <c r="M305" s="15">
        <v>43489</v>
      </c>
      <c r="N305" s="24">
        <v>26679.8</v>
      </c>
      <c r="O305" s="30">
        <v>43545</v>
      </c>
      <c r="P305" s="43"/>
      <c r="Q305" s="80" t="str">
        <f t="shared" si="50"/>
        <v/>
      </c>
      <c r="R305" s="80">
        <f t="shared" si="54"/>
        <v>0</v>
      </c>
      <c r="S305" s="80"/>
      <c r="T305" s="162"/>
    </row>
    <row r="306" spans="1:20" s="26" customFormat="1" outlineLevel="1" x14ac:dyDescent="0.2">
      <c r="A306" s="46" t="s">
        <v>241</v>
      </c>
      <c r="B306" s="4"/>
      <c r="C306" s="29" t="s">
        <v>197</v>
      </c>
      <c r="D306" s="15"/>
      <c r="E306" s="15"/>
      <c r="F306" s="173"/>
      <c r="G306" s="15"/>
      <c r="H306" s="489"/>
      <c r="I306" s="25"/>
      <c r="J306" s="107">
        <v>1</v>
      </c>
      <c r="K306" s="110">
        <f>266000-K300-K302-K301-K305-K303-K304</f>
        <v>53200.000000000007</v>
      </c>
      <c r="L306" s="42">
        <v>7</v>
      </c>
      <c r="M306" s="15"/>
      <c r="N306" s="649"/>
      <c r="O306" s="30"/>
      <c r="P306" s="43"/>
      <c r="Q306" s="80" t="str">
        <f t="shared" si="50"/>
        <v/>
      </c>
      <c r="R306" s="80">
        <f t="shared" si="54"/>
        <v>53200.000000000007</v>
      </c>
      <c r="S306" s="80"/>
      <c r="T306" s="165"/>
    </row>
    <row r="307" spans="1:20" s="26" customFormat="1" x14ac:dyDescent="0.2">
      <c r="A307" s="118" t="s">
        <v>132</v>
      </c>
      <c r="B307" s="124" t="s">
        <v>133</v>
      </c>
      <c r="C307" s="157">
        <v>42298</v>
      </c>
      <c r="D307" s="157">
        <f>DATE(YEAR(C307),MONTH(C307)+18,DAY(C307))</f>
        <v>42846</v>
      </c>
      <c r="E307" s="157">
        <v>43090</v>
      </c>
      <c r="F307" s="172">
        <v>43122</v>
      </c>
      <c r="G307" s="383">
        <v>44489</v>
      </c>
      <c r="H307" s="554">
        <v>43671</v>
      </c>
      <c r="I307" s="256">
        <v>360000</v>
      </c>
      <c r="J307" s="440"/>
      <c r="K307" s="249"/>
      <c r="L307" s="250"/>
      <c r="M307" s="120"/>
      <c r="N307" s="125">
        <f>SUM(N308:N312)</f>
        <v>201456</v>
      </c>
      <c r="O307" s="213"/>
      <c r="P307" s="251"/>
      <c r="Q307" s="158">
        <f>SUM(Q308:Q312)</f>
        <v>83520</v>
      </c>
      <c r="R307" s="158">
        <f>SUM(R308:R312)</f>
        <v>75024</v>
      </c>
      <c r="S307" s="252"/>
      <c r="T307" s="165">
        <f>I307-(N307+Q307+R307)</f>
        <v>0</v>
      </c>
    </row>
    <row r="308" spans="1:20" s="26" customFormat="1" outlineLevel="1" x14ac:dyDescent="0.2">
      <c r="A308" s="46" t="s">
        <v>132</v>
      </c>
      <c r="B308" s="19"/>
      <c r="C308" s="104"/>
      <c r="D308" s="104"/>
      <c r="E308" s="104"/>
      <c r="F308" s="177"/>
      <c r="G308" s="29" t="s">
        <v>227</v>
      </c>
      <c r="H308" s="489"/>
      <c r="I308" s="25"/>
      <c r="J308" s="107">
        <v>0.3</v>
      </c>
      <c r="K308" s="23">
        <f>+I307*J308</f>
        <v>108000</v>
      </c>
      <c r="L308" s="42">
        <v>1</v>
      </c>
      <c r="M308" s="15">
        <v>43129</v>
      </c>
      <c r="N308" s="24">
        <v>108000</v>
      </c>
      <c r="O308" s="30">
        <v>43231</v>
      </c>
      <c r="P308" s="43"/>
      <c r="Q308" s="80" t="str">
        <f t="shared" si="50"/>
        <v/>
      </c>
      <c r="R308" s="80">
        <f>IF(M308="",K308-N308,0)</f>
        <v>0</v>
      </c>
      <c r="S308" s="80"/>
      <c r="T308" s="165"/>
    </row>
    <row r="309" spans="1:20" s="26" customFormat="1" outlineLevel="1" x14ac:dyDescent="0.2">
      <c r="A309" s="46" t="s">
        <v>132</v>
      </c>
      <c r="B309" s="19"/>
      <c r="C309" s="104"/>
      <c r="D309" s="104"/>
      <c r="E309" s="104"/>
      <c r="F309" s="177"/>
      <c r="G309" s="431"/>
      <c r="H309" s="489"/>
      <c r="I309" s="25"/>
      <c r="J309" s="230">
        <v>0.40250000000000002</v>
      </c>
      <c r="K309" s="23">
        <f>+I307*J309-K308</f>
        <v>36900</v>
      </c>
      <c r="L309" s="42">
        <v>2</v>
      </c>
      <c r="M309" s="15">
        <v>43349</v>
      </c>
      <c r="N309" s="24">
        <v>36900</v>
      </c>
      <c r="O309" s="30">
        <v>43406</v>
      </c>
      <c r="P309" s="43"/>
      <c r="Q309" s="80" t="str">
        <f t="shared" si="50"/>
        <v/>
      </c>
      <c r="R309" s="80">
        <f>IF(M309="",K309-N309,0)</f>
        <v>0</v>
      </c>
      <c r="S309" s="80"/>
      <c r="T309" s="165"/>
    </row>
    <row r="310" spans="1:20" s="26" customFormat="1" outlineLevel="1" x14ac:dyDescent="0.2">
      <c r="A310" s="46" t="s">
        <v>132</v>
      </c>
      <c r="B310" s="19"/>
      <c r="C310" s="104"/>
      <c r="D310" s="104"/>
      <c r="E310" s="104"/>
      <c r="F310" s="177"/>
      <c r="G310" s="431"/>
      <c r="H310" s="489"/>
      <c r="I310" s="25"/>
      <c r="J310" s="230">
        <v>0.55959999999999999</v>
      </c>
      <c r="K310" s="23">
        <f>+I307*J310-K308-K309</f>
        <v>56556</v>
      </c>
      <c r="L310" s="42">
        <v>3</v>
      </c>
      <c r="M310" s="15">
        <v>43489</v>
      </c>
      <c r="N310" s="24">
        <v>56556</v>
      </c>
      <c r="O310" s="30">
        <v>43543</v>
      </c>
      <c r="P310" s="43"/>
      <c r="Q310" s="80" t="str">
        <f t="shared" si="50"/>
        <v/>
      </c>
      <c r="R310" s="80">
        <f>IF(M310="",K310-N310,0)</f>
        <v>0</v>
      </c>
      <c r="S310" s="80"/>
      <c r="T310" s="165"/>
    </row>
    <row r="311" spans="1:20" s="26" customFormat="1" outlineLevel="1" x14ac:dyDescent="0.2">
      <c r="A311" s="46" t="s">
        <v>132</v>
      </c>
      <c r="B311" s="19"/>
      <c r="C311" s="104"/>
      <c r="D311" s="104"/>
      <c r="E311" s="104"/>
      <c r="F311" s="177"/>
      <c r="G311" s="431"/>
      <c r="H311" s="489"/>
      <c r="I311" s="25"/>
      <c r="J311" s="230">
        <v>0.79159999999999997</v>
      </c>
      <c r="K311" s="23">
        <f>+I307*J311-K308-K309-K310</f>
        <v>83520</v>
      </c>
      <c r="L311" s="42">
        <v>4</v>
      </c>
      <c r="M311" s="15">
        <v>43634</v>
      </c>
      <c r="N311" s="111" t="s">
        <v>81</v>
      </c>
      <c r="O311" s="30"/>
      <c r="P311" s="43"/>
      <c r="Q311" s="80">
        <f t="shared" si="50"/>
        <v>83520</v>
      </c>
      <c r="R311" s="80">
        <f>IF(M311="",K311-N311,0)</f>
        <v>0</v>
      </c>
      <c r="S311" s="80"/>
      <c r="T311" s="165"/>
    </row>
    <row r="312" spans="1:20" s="26" customFormat="1" outlineLevel="1" x14ac:dyDescent="0.2">
      <c r="A312" s="46" t="s">
        <v>132</v>
      </c>
      <c r="B312" s="4"/>
      <c r="C312" s="29" t="s">
        <v>197</v>
      </c>
      <c r="D312" s="15"/>
      <c r="E312" s="29"/>
      <c r="F312" s="173"/>
      <c r="G312" s="29"/>
      <c r="H312" s="489"/>
      <c r="I312" s="25"/>
      <c r="J312" s="107">
        <v>1</v>
      </c>
      <c r="K312" s="23">
        <f>+I307-K308-K309-K311-K310</f>
        <v>75024</v>
      </c>
      <c r="L312" s="42">
        <v>5</v>
      </c>
      <c r="M312" s="15"/>
      <c r="N312" s="24"/>
      <c r="O312" s="30"/>
      <c r="P312" s="43"/>
      <c r="Q312" s="80" t="str">
        <f t="shared" si="50"/>
        <v/>
      </c>
      <c r="R312" s="80">
        <f>IF(M312="",K312-N312,0)</f>
        <v>75024</v>
      </c>
      <c r="S312" s="80"/>
      <c r="T312" s="165"/>
    </row>
    <row r="313" spans="1:20" s="26" customFormat="1" x14ac:dyDescent="0.2">
      <c r="A313" s="118" t="s">
        <v>270</v>
      </c>
      <c r="B313" s="124" t="s">
        <v>129</v>
      </c>
      <c r="C313" s="157">
        <v>42320</v>
      </c>
      <c r="D313" s="157">
        <f>DATE(YEAR(C313),MONTH(C313)+18,DAY(C313))</f>
        <v>42867</v>
      </c>
      <c r="E313" s="157">
        <v>42761</v>
      </c>
      <c r="F313" s="172">
        <v>42767</v>
      </c>
      <c r="G313" s="157">
        <f>DATE(YEAR(C313)+4,MONTH(C313),DAY(C313))</f>
        <v>43781</v>
      </c>
      <c r="H313" s="549"/>
      <c r="I313" s="256">
        <v>1100000</v>
      </c>
      <c r="J313" s="440"/>
      <c r="K313" s="249"/>
      <c r="L313" s="250"/>
      <c r="M313" s="120"/>
      <c r="N313" s="125">
        <f>SUM(N314:N319)</f>
        <v>808060</v>
      </c>
      <c r="O313" s="213"/>
      <c r="P313" s="251"/>
      <c r="Q313" s="158">
        <f>SUM(Q314:Q319)</f>
        <v>71940</v>
      </c>
      <c r="R313" s="169">
        <f>SUM(R314:R319)</f>
        <v>220000.00000000006</v>
      </c>
      <c r="S313" s="252"/>
      <c r="T313" s="165">
        <f>I313-(N313+Q313+R313)</f>
        <v>0</v>
      </c>
    </row>
    <row r="314" spans="1:20" s="26" customFormat="1" outlineLevel="1" x14ac:dyDescent="0.2">
      <c r="A314" s="46" t="s">
        <v>270</v>
      </c>
      <c r="B314" s="19"/>
      <c r="C314" s="104"/>
      <c r="D314" s="104"/>
      <c r="E314" s="104"/>
      <c r="F314" s="173"/>
      <c r="G314" s="104"/>
      <c r="H314" s="489"/>
      <c r="I314" s="25"/>
      <c r="J314" s="107">
        <v>0.3</v>
      </c>
      <c r="K314" s="23">
        <f>+J314*I313</f>
        <v>330000</v>
      </c>
      <c r="L314" s="42">
        <v>1</v>
      </c>
      <c r="M314" s="15">
        <v>42787</v>
      </c>
      <c r="N314" s="24">
        <v>330000</v>
      </c>
      <c r="O314" s="30">
        <v>42817</v>
      </c>
      <c r="P314" s="43"/>
      <c r="Q314" s="80" t="str">
        <f t="shared" si="50"/>
        <v/>
      </c>
      <c r="R314" s="80">
        <f>IF(M314="",K314-N314,0)</f>
        <v>0</v>
      </c>
      <c r="S314" s="80"/>
      <c r="T314" s="162"/>
    </row>
    <row r="315" spans="1:20" s="26" customFormat="1" outlineLevel="1" x14ac:dyDescent="0.2">
      <c r="A315" s="46" t="s">
        <v>270</v>
      </c>
      <c r="B315" s="19"/>
      <c r="C315" s="104"/>
      <c r="D315" s="104"/>
      <c r="E315" s="104"/>
      <c r="F315" s="173"/>
      <c r="G315" s="104"/>
      <c r="H315" s="489"/>
      <c r="I315" s="25"/>
      <c r="J315" s="230">
        <v>0.33160000000000001</v>
      </c>
      <c r="K315" s="23">
        <f>I313*J315-K314</f>
        <v>34760</v>
      </c>
      <c r="L315" s="42">
        <v>2</v>
      </c>
      <c r="M315" s="15">
        <v>43061</v>
      </c>
      <c r="N315" s="24">
        <v>34760</v>
      </c>
      <c r="O315" s="30">
        <v>43164</v>
      </c>
      <c r="P315" s="43"/>
      <c r="Q315" s="80"/>
      <c r="R315" s="80"/>
      <c r="S315" s="80"/>
      <c r="T315" s="162"/>
    </row>
    <row r="316" spans="1:20" s="26" customFormat="1" outlineLevel="1" x14ac:dyDescent="0.2">
      <c r="A316" s="46" t="s">
        <v>270</v>
      </c>
      <c r="B316" s="19"/>
      <c r="C316" s="104"/>
      <c r="D316" s="104"/>
      <c r="E316" s="104"/>
      <c r="F316" s="173"/>
      <c r="G316" s="104"/>
      <c r="H316" s="489"/>
      <c r="I316" s="25"/>
      <c r="J316" s="230">
        <v>0.40550000000000003</v>
      </c>
      <c r="K316" s="23">
        <f>I313*J316-K314-K315</f>
        <v>81290.000000000058</v>
      </c>
      <c r="L316" s="42">
        <v>3</v>
      </c>
      <c r="M316" s="647">
        <v>43200</v>
      </c>
      <c r="N316" s="24">
        <v>81290</v>
      </c>
      <c r="O316" s="30">
        <v>43231</v>
      </c>
      <c r="P316" s="43"/>
      <c r="Q316" s="80" t="str">
        <f t="shared" si="50"/>
        <v/>
      </c>
      <c r="R316" s="80">
        <f>IF(M316="",K316-N316,0)</f>
        <v>0</v>
      </c>
      <c r="S316" s="80"/>
      <c r="T316" s="162"/>
    </row>
    <row r="317" spans="1:20" s="26" customFormat="1" outlineLevel="1" x14ac:dyDescent="0.2">
      <c r="A317" s="46" t="s">
        <v>270</v>
      </c>
      <c r="B317" s="19"/>
      <c r="C317" s="104"/>
      <c r="D317" s="104"/>
      <c r="E317" s="104"/>
      <c r="F317" s="173"/>
      <c r="G317" s="104"/>
      <c r="H317" s="489"/>
      <c r="I317" s="25"/>
      <c r="J317" s="230">
        <v>0.73460000000000003</v>
      </c>
      <c r="K317" s="23">
        <f>I313*J317-(K314+K315+K316)</f>
        <v>362009.99999999994</v>
      </c>
      <c r="L317" s="42">
        <v>4</v>
      </c>
      <c r="M317" s="15">
        <v>43377</v>
      </c>
      <c r="N317" s="24">
        <v>362010</v>
      </c>
      <c r="O317" s="30">
        <v>43446</v>
      </c>
      <c r="P317" s="43"/>
      <c r="Q317" s="80" t="str">
        <f t="shared" si="50"/>
        <v/>
      </c>
      <c r="R317" s="80">
        <f>IF(M317="",K317-N317,0)</f>
        <v>0</v>
      </c>
      <c r="S317" s="80"/>
      <c r="T317" s="162"/>
    </row>
    <row r="318" spans="1:20" s="26" customFormat="1" outlineLevel="1" x14ac:dyDescent="0.2">
      <c r="A318" s="46" t="s">
        <v>270</v>
      </c>
      <c r="B318" s="19"/>
      <c r="C318" s="104"/>
      <c r="D318" s="104"/>
      <c r="E318" s="104"/>
      <c r="F318" s="173"/>
      <c r="G318" s="104"/>
      <c r="H318" s="489"/>
      <c r="I318" s="25"/>
      <c r="J318" s="230">
        <v>0.8</v>
      </c>
      <c r="K318" s="23">
        <f>+I313*J318-K314-K315-K316-K317</f>
        <v>71940</v>
      </c>
      <c r="L318" s="42">
        <v>5</v>
      </c>
      <c r="M318" s="15">
        <v>43690</v>
      </c>
      <c r="N318" s="111" t="s">
        <v>81</v>
      </c>
      <c r="O318" s="30"/>
      <c r="P318" s="43"/>
      <c r="Q318" s="80">
        <f t="shared" si="50"/>
        <v>71940</v>
      </c>
      <c r="R318" s="80">
        <f>IF(M318="",K318-N318,0)</f>
        <v>0</v>
      </c>
      <c r="S318" s="80"/>
      <c r="T318" s="162"/>
    </row>
    <row r="319" spans="1:20" s="26" customFormat="1" outlineLevel="1" x14ac:dyDescent="0.2">
      <c r="A319" s="46" t="s">
        <v>270</v>
      </c>
      <c r="B319" s="4"/>
      <c r="C319" s="29" t="s">
        <v>197</v>
      </c>
      <c r="D319" s="15"/>
      <c r="E319" s="15"/>
      <c r="F319" s="173"/>
      <c r="G319" s="15"/>
      <c r="H319" s="489"/>
      <c r="I319" s="25"/>
      <c r="J319" s="107">
        <v>1</v>
      </c>
      <c r="K319" s="23">
        <f>1100000-K314-K316-K315-K317-K318</f>
        <v>220000.00000000006</v>
      </c>
      <c r="L319" s="42">
        <v>6</v>
      </c>
      <c r="M319" s="15"/>
      <c r="N319" s="24"/>
      <c r="O319" s="30"/>
      <c r="P319" s="43"/>
      <c r="Q319" s="80" t="str">
        <f t="shared" si="50"/>
        <v/>
      </c>
      <c r="R319" s="80">
        <f>IF(M319="",K319-N319,0)</f>
        <v>220000.00000000006</v>
      </c>
      <c r="S319" s="80"/>
      <c r="T319" s="165"/>
    </row>
    <row r="320" spans="1:20" s="26" customFormat="1" x14ac:dyDescent="0.2">
      <c r="A320" s="118" t="s">
        <v>128</v>
      </c>
      <c r="B320" s="124" t="s">
        <v>130</v>
      </c>
      <c r="C320" s="157">
        <v>42320</v>
      </c>
      <c r="D320" s="150">
        <f>DATE(YEAR(C320),MONTH(C320)+18,DAY(C320))</f>
        <v>42867</v>
      </c>
      <c r="E320" s="157">
        <v>42676</v>
      </c>
      <c r="F320" s="172">
        <v>42772</v>
      </c>
      <c r="G320" s="150">
        <f>DATE(YEAR(C320)+4,MONTH(C320),DAY(C320))</f>
        <v>43781</v>
      </c>
      <c r="H320" s="554">
        <v>43360</v>
      </c>
      <c r="I320" s="256">
        <v>360000</v>
      </c>
      <c r="J320" s="440"/>
      <c r="K320" s="249"/>
      <c r="L320" s="250"/>
      <c r="M320" s="120"/>
      <c r="N320" s="125">
        <f>SUM(N321:N327)</f>
        <v>288000</v>
      </c>
      <c r="O320" s="213"/>
      <c r="P320" s="251"/>
      <c r="Q320" s="158">
        <f>SUM(Q321:Q327)</f>
        <v>0</v>
      </c>
      <c r="R320" s="169">
        <f>SUM(R321:R327)</f>
        <v>72000</v>
      </c>
      <c r="S320" s="252"/>
      <c r="T320" s="165">
        <f>I320-(N320+Q320+R320)</f>
        <v>0</v>
      </c>
    </row>
    <row r="321" spans="1:20" s="26" customFormat="1" outlineLevel="1" x14ac:dyDescent="0.2">
      <c r="A321" s="46" t="s">
        <v>128</v>
      </c>
      <c r="B321" s="19"/>
      <c r="C321" s="104"/>
      <c r="D321" s="84"/>
      <c r="E321" s="104"/>
      <c r="F321" s="173"/>
      <c r="G321" s="84"/>
      <c r="H321" s="489"/>
      <c r="I321" s="25"/>
      <c r="J321" s="107">
        <v>0.3</v>
      </c>
      <c r="K321" s="23">
        <f>+I320*J321</f>
        <v>108000</v>
      </c>
      <c r="L321" s="42">
        <v>1</v>
      </c>
      <c r="M321" s="15">
        <v>42796</v>
      </c>
      <c r="N321" s="24">
        <v>108000</v>
      </c>
      <c r="O321" s="30">
        <v>42816</v>
      </c>
      <c r="P321" s="43"/>
      <c r="Q321" s="80" t="str">
        <f t="shared" si="50"/>
        <v/>
      </c>
      <c r="R321" s="105">
        <f t="shared" ref="R321:R327" si="55">IF(M321="",K321-N321,0)</f>
        <v>0</v>
      </c>
      <c r="S321" s="80"/>
      <c r="T321" s="162"/>
    </row>
    <row r="322" spans="1:20" s="26" customFormat="1" outlineLevel="1" x14ac:dyDescent="0.2">
      <c r="A322" s="46" t="s">
        <v>128</v>
      </c>
      <c r="B322" s="19"/>
      <c r="C322" s="104"/>
      <c r="D322" s="84"/>
      <c r="E322" s="104"/>
      <c r="F322" s="173"/>
      <c r="G322" s="84"/>
      <c r="H322" s="489"/>
      <c r="I322" s="25"/>
      <c r="J322" s="230">
        <v>0.38490000000000002</v>
      </c>
      <c r="K322" s="23">
        <f>+I320*J322-K321</f>
        <v>30564</v>
      </c>
      <c r="L322" s="42">
        <v>2</v>
      </c>
      <c r="M322" s="15">
        <v>43053</v>
      </c>
      <c r="N322" s="24">
        <v>30564</v>
      </c>
      <c r="O322" s="30">
        <v>43077</v>
      </c>
      <c r="P322" s="43"/>
      <c r="Q322" s="80" t="str">
        <f t="shared" si="50"/>
        <v/>
      </c>
      <c r="R322" s="80">
        <f t="shared" si="55"/>
        <v>0</v>
      </c>
      <c r="S322" s="80"/>
      <c r="T322" s="162"/>
    </row>
    <row r="323" spans="1:20" s="26" customFormat="1" outlineLevel="1" x14ac:dyDescent="0.2">
      <c r="A323" s="46" t="s">
        <v>128</v>
      </c>
      <c r="B323" s="19"/>
      <c r="C323" s="104"/>
      <c r="D323" s="84"/>
      <c r="E323" s="104"/>
      <c r="F323" s="173"/>
      <c r="G323" s="84"/>
      <c r="H323" s="489"/>
      <c r="I323" s="25"/>
      <c r="J323" s="230">
        <v>0.49880000000000002</v>
      </c>
      <c r="K323" s="23">
        <f>+I320*J323-K321-K322</f>
        <v>41004</v>
      </c>
      <c r="L323" s="42">
        <v>3</v>
      </c>
      <c r="M323" s="15">
        <v>43158</v>
      </c>
      <c r="N323" s="24">
        <v>41004</v>
      </c>
      <c r="O323" s="30">
        <v>43186</v>
      </c>
      <c r="P323" s="43"/>
      <c r="Q323" s="80" t="str">
        <f t="shared" si="50"/>
        <v/>
      </c>
      <c r="R323" s="80">
        <f t="shared" si="55"/>
        <v>0</v>
      </c>
      <c r="S323" s="80"/>
      <c r="T323" s="162"/>
    </row>
    <row r="324" spans="1:20" s="26" customFormat="1" outlineLevel="1" x14ac:dyDescent="0.2">
      <c r="A324" s="46" t="s">
        <v>128</v>
      </c>
      <c r="B324" s="19"/>
      <c r="C324" s="104"/>
      <c r="D324" s="84"/>
      <c r="E324" s="104"/>
      <c r="F324" s="173"/>
      <c r="G324" s="84"/>
      <c r="H324" s="489"/>
      <c r="I324" s="25"/>
      <c r="J324" s="230">
        <v>0.6089</v>
      </c>
      <c r="K324" s="23">
        <f>I320*J324-K321-K322-K323</f>
        <v>39636</v>
      </c>
      <c r="L324" s="42">
        <v>4</v>
      </c>
      <c r="M324" s="15">
        <v>43244</v>
      </c>
      <c r="N324" s="24">
        <v>39636</v>
      </c>
      <c r="O324" s="30">
        <v>43270</v>
      </c>
      <c r="P324" s="43"/>
      <c r="Q324" s="80" t="str">
        <f t="shared" si="50"/>
        <v/>
      </c>
      <c r="R324" s="80">
        <f t="shared" si="55"/>
        <v>0</v>
      </c>
      <c r="S324" s="80"/>
      <c r="T324" s="162"/>
    </row>
    <row r="325" spans="1:20" s="26" customFormat="1" outlineLevel="1" x14ac:dyDescent="0.2">
      <c r="A325" s="46" t="s">
        <v>128</v>
      </c>
      <c r="B325" s="19"/>
      <c r="C325" s="104"/>
      <c r="D325" s="84"/>
      <c r="E325" s="104"/>
      <c r="F325" s="173"/>
      <c r="G325" s="84"/>
      <c r="H325" s="489"/>
      <c r="I325" s="25"/>
      <c r="J325" s="230">
        <v>0.67679999999999996</v>
      </c>
      <c r="K325" s="23">
        <v>24444</v>
      </c>
      <c r="L325" s="42">
        <v>5</v>
      </c>
      <c r="M325" s="15">
        <v>43291</v>
      </c>
      <c r="N325" s="24">
        <v>24444</v>
      </c>
      <c r="O325" s="30">
        <v>43325</v>
      </c>
      <c r="P325" s="43"/>
      <c r="Q325" s="80" t="str">
        <f t="shared" si="50"/>
        <v/>
      </c>
      <c r="R325" s="80">
        <f t="shared" si="55"/>
        <v>0</v>
      </c>
      <c r="S325" s="80"/>
      <c r="T325" s="162"/>
    </row>
    <row r="326" spans="1:20" s="26" customFormat="1" outlineLevel="1" x14ac:dyDescent="0.2">
      <c r="A326" s="46" t="s">
        <v>128</v>
      </c>
      <c r="B326" s="19"/>
      <c r="C326" s="104"/>
      <c r="D326" s="84"/>
      <c r="E326" s="104"/>
      <c r="F326" s="173"/>
      <c r="G326" s="84"/>
      <c r="H326" s="489"/>
      <c r="I326" s="25"/>
      <c r="J326" s="230">
        <v>0.8</v>
      </c>
      <c r="K326" s="23">
        <f>+I320*J326-K321-K322-K323-K324-K325</f>
        <v>44352</v>
      </c>
      <c r="L326" s="42">
        <v>6</v>
      </c>
      <c r="M326" s="15">
        <v>43391</v>
      </c>
      <c r="N326" s="24">
        <v>44352</v>
      </c>
      <c r="O326" s="30">
        <v>43417</v>
      </c>
      <c r="P326" s="43"/>
      <c r="Q326" s="80" t="str">
        <f t="shared" si="50"/>
        <v/>
      </c>
      <c r="R326" s="80">
        <f t="shared" si="55"/>
        <v>0</v>
      </c>
      <c r="S326" s="80"/>
      <c r="T326" s="162"/>
    </row>
    <row r="327" spans="1:20" s="26" customFormat="1" ht="11.25" customHeight="1" outlineLevel="1" x14ac:dyDescent="0.2">
      <c r="A327" s="46" t="s">
        <v>128</v>
      </c>
      <c r="B327" s="4"/>
      <c r="C327" s="29" t="s">
        <v>197</v>
      </c>
      <c r="D327" s="385"/>
      <c r="E327" s="15"/>
      <c r="F327" s="173"/>
      <c r="G327" s="385"/>
      <c r="H327" s="489"/>
      <c r="I327" s="25"/>
      <c r="J327" s="107">
        <v>1</v>
      </c>
      <c r="K327" s="110">
        <f>+I320-K321-K322-K323-K324-K325-K326</f>
        <v>72000</v>
      </c>
      <c r="L327" s="42">
        <v>7</v>
      </c>
      <c r="M327" s="15"/>
      <c r="N327" s="384"/>
      <c r="O327" s="30"/>
      <c r="P327" s="43"/>
      <c r="Q327" s="80" t="str">
        <f t="shared" si="50"/>
        <v/>
      </c>
      <c r="R327" s="80">
        <f t="shared" si="55"/>
        <v>72000</v>
      </c>
      <c r="S327" s="80"/>
      <c r="T327" s="165"/>
    </row>
    <row r="328" spans="1:20" s="26" customFormat="1" x14ac:dyDescent="0.2">
      <c r="A328" s="118" t="s">
        <v>381</v>
      </c>
      <c r="B328" s="124" t="s">
        <v>214</v>
      </c>
      <c r="C328" s="157">
        <v>42354</v>
      </c>
      <c r="D328" s="150">
        <f>DATE(YEAR(C328),MONTH(C328)+18,DAY(C328))</f>
        <v>42902</v>
      </c>
      <c r="E328" s="157">
        <v>43091</v>
      </c>
      <c r="F328" s="172">
        <v>43129</v>
      </c>
      <c r="G328" s="544">
        <v>44545</v>
      </c>
      <c r="H328" s="549"/>
      <c r="I328" s="256">
        <v>200000</v>
      </c>
      <c r="J328" s="440"/>
      <c r="K328" s="249"/>
      <c r="L328" s="250"/>
      <c r="M328" s="120"/>
      <c r="N328" s="125">
        <f>SUM(N329:N333)</f>
        <v>108080</v>
      </c>
      <c r="O328" s="213"/>
      <c r="P328" s="251"/>
      <c r="Q328" s="158">
        <f>SUM(Q329:Q333)</f>
        <v>20200</v>
      </c>
      <c r="R328" s="169">
        <f>SUM(R329:R333)</f>
        <v>71720</v>
      </c>
      <c r="S328" s="252"/>
      <c r="T328" s="165">
        <f>I328-(N328+Q328+R328)</f>
        <v>0</v>
      </c>
    </row>
    <row r="329" spans="1:20" s="26" customFormat="1" outlineLevel="1" x14ac:dyDescent="0.2">
      <c r="A329" s="46" t="s">
        <v>381</v>
      </c>
      <c r="B329" s="19"/>
      <c r="C329" s="104"/>
      <c r="D329" s="104"/>
      <c r="E329" s="104"/>
      <c r="F329" s="177"/>
      <c r="G329" s="29" t="s">
        <v>227</v>
      </c>
      <c r="H329" s="489"/>
      <c r="I329" s="25"/>
      <c r="J329" s="230">
        <v>0.3</v>
      </c>
      <c r="K329" s="23">
        <f>+I328*J329</f>
        <v>60000</v>
      </c>
      <c r="L329" s="42">
        <v>1</v>
      </c>
      <c r="M329" s="15">
        <v>43129</v>
      </c>
      <c r="N329" s="24">
        <v>60000</v>
      </c>
      <c r="O329" s="30">
        <v>43186</v>
      </c>
      <c r="P329" s="43"/>
      <c r="Q329" s="80" t="str">
        <f t="shared" si="50"/>
        <v/>
      </c>
      <c r="R329" s="80">
        <f>IF(M329="",K329-N329,0)</f>
        <v>0</v>
      </c>
      <c r="S329" s="80"/>
      <c r="T329" s="162"/>
    </row>
    <row r="330" spans="1:20" s="26" customFormat="1" outlineLevel="1" x14ac:dyDescent="0.2">
      <c r="A330" s="46" t="s">
        <v>381</v>
      </c>
      <c r="B330" s="19"/>
      <c r="C330" s="104"/>
      <c r="D330" s="104"/>
      <c r="E330" s="104"/>
      <c r="F330" s="177"/>
      <c r="G330" s="431"/>
      <c r="H330" s="489"/>
      <c r="I330" s="25"/>
      <c r="J330" s="230">
        <v>0.441</v>
      </c>
      <c r="K330" s="23">
        <f>+I328*J330-K329</f>
        <v>28200</v>
      </c>
      <c r="L330" s="42">
        <v>2</v>
      </c>
      <c r="M330" s="15">
        <v>43489</v>
      </c>
      <c r="N330" s="24">
        <v>28200</v>
      </c>
      <c r="O330" s="30">
        <v>43543</v>
      </c>
      <c r="P330" s="43"/>
      <c r="Q330" s="80" t="str">
        <f t="shared" si="50"/>
        <v/>
      </c>
      <c r="R330" s="362">
        <f>IF(M330="",K330-N330,0)</f>
        <v>0</v>
      </c>
      <c r="S330" s="80"/>
      <c r="T330" s="162"/>
    </row>
    <row r="331" spans="1:20" s="26" customFormat="1" outlineLevel="1" x14ac:dyDescent="0.2">
      <c r="A331" s="46" t="s">
        <v>381</v>
      </c>
      <c r="B331" s="19"/>
      <c r="C331" s="104"/>
      <c r="D331" s="104"/>
      <c r="E331" s="104"/>
      <c r="F331" s="177"/>
      <c r="G331" s="431"/>
      <c r="H331" s="489"/>
      <c r="I331" s="25"/>
      <c r="J331" s="230">
        <v>0.54039999999999999</v>
      </c>
      <c r="K331" s="23">
        <v>19880</v>
      </c>
      <c r="L331" s="42">
        <v>3</v>
      </c>
      <c r="M331" s="15">
        <v>43585</v>
      </c>
      <c r="N331" s="24">
        <v>19880</v>
      </c>
      <c r="O331" s="30">
        <v>43613</v>
      </c>
      <c r="P331" s="43"/>
      <c r="Q331" s="80" t="str">
        <f t="shared" si="50"/>
        <v/>
      </c>
      <c r="R331" s="362">
        <f>IF(M331="",K331-N331,0)</f>
        <v>0</v>
      </c>
      <c r="S331" s="80"/>
      <c r="T331" s="162"/>
    </row>
    <row r="332" spans="1:20" s="26" customFormat="1" outlineLevel="1" x14ac:dyDescent="0.2">
      <c r="A332" s="46" t="s">
        <v>381</v>
      </c>
      <c r="B332" s="19"/>
      <c r="C332" s="104"/>
      <c r="D332" s="104"/>
      <c r="E332" s="104"/>
      <c r="F332" s="177"/>
      <c r="G332" s="431"/>
      <c r="H332" s="489"/>
      <c r="I332" s="25"/>
      <c r="J332" s="230">
        <v>0.64139999999999997</v>
      </c>
      <c r="K332" s="23">
        <f>+I328*J332-(K329+K330+K331)</f>
        <v>20200</v>
      </c>
      <c r="L332" s="42">
        <v>4</v>
      </c>
      <c r="M332" s="15">
        <v>43669</v>
      </c>
      <c r="N332" s="111" t="s">
        <v>81</v>
      </c>
      <c r="O332" s="30"/>
      <c r="P332" s="43"/>
      <c r="Q332" s="80">
        <f t="shared" si="50"/>
        <v>20200</v>
      </c>
      <c r="R332" s="362">
        <f>IF(M332="",K332-N332,0)</f>
        <v>0</v>
      </c>
      <c r="S332" s="80"/>
      <c r="T332" s="162"/>
    </row>
    <row r="333" spans="1:20" s="26" customFormat="1" ht="11.25" customHeight="1" outlineLevel="1" x14ac:dyDescent="0.2">
      <c r="A333" s="117" t="s">
        <v>381</v>
      </c>
      <c r="B333" s="4"/>
      <c r="C333" s="29"/>
      <c r="D333" s="104"/>
      <c r="E333" s="29"/>
      <c r="F333" s="177"/>
      <c r="G333" s="29"/>
      <c r="H333" s="489"/>
      <c r="I333" s="25"/>
      <c r="J333" s="230">
        <v>1</v>
      </c>
      <c r="K333" s="23">
        <f>+I328-K329-K330-K331-K332</f>
        <v>71720</v>
      </c>
      <c r="L333" s="42">
        <v>5</v>
      </c>
      <c r="M333" s="15"/>
      <c r="N333" s="20"/>
      <c r="O333" s="30"/>
      <c r="P333" s="43"/>
      <c r="Q333" s="80" t="str">
        <f t="shared" si="50"/>
        <v/>
      </c>
      <c r="R333" s="80">
        <f>IF(M333="",K333-N333,0)</f>
        <v>71720</v>
      </c>
      <c r="S333" s="80"/>
      <c r="T333" s="165"/>
    </row>
    <row r="334" spans="1:20" s="26" customFormat="1" x14ac:dyDescent="0.2">
      <c r="A334" s="118" t="s">
        <v>381</v>
      </c>
      <c r="B334" s="124" t="s">
        <v>213</v>
      </c>
      <c r="C334" s="157">
        <v>42462</v>
      </c>
      <c r="D334" s="157">
        <f>DATE(YEAR(C334),MONTH(C334)+18,DAY(C334))</f>
        <v>43010</v>
      </c>
      <c r="E334" s="619">
        <v>43091</v>
      </c>
      <c r="F334" s="501">
        <v>43129</v>
      </c>
      <c r="G334" s="383">
        <v>44652</v>
      </c>
      <c r="H334" s="549"/>
      <c r="I334" s="256">
        <v>700000</v>
      </c>
      <c r="J334" s="440"/>
      <c r="K334" s="249"/>
      <c r="L334" s="250"/>
      <c r="M334" s="120"/>
      <c r="N334" s="125">
        <f>SUM(N335:N339)</f>
        <v>362390</v>
      </c>
      <c r="O334" s="213"/>
      <c r="P334" s="251"/>
      <c r="Q334" s="158">
        <f>SUM(Q335:Q339)</f>
        <v>66010</v>
      </c>
      <c r="R334" s="169">
        <f>SUM(R335:R339)</f>
        <v>271600</v>
      </c>
      <c r="S334" s="252"/>
      <c r="T334" s="165">
        <f>I334-(N334+Q334+R334)</f>
        <v>0</v>
      </c>
    </row>
    <row r="335" spans="1:20" s="26" customFormat="1" outlineLevel="1" x14ac:dyDescent="0.2">
      <c r="A335" s="46" t="s">
        <v>381</v>
      </c>
      <c r="B335" s="19"/>
      <c r="C335" s="104"/>
      <c r="D335" s="104"/>
      <c r="E335" s="620"/>
      <c r="F335" s="563"/>
      <c r="G335" s="29" t="s">
        <v>227</v>
      </c>
      <c r="H335" s="489"/>
      <c r="I335" s="25"/>
      <c r="J335" s="230">
        <v>0.3</v>
      </c>
      <c r="K335" s="23">
        <f>+I334*J335</f>
        <v>210000</v>
      </c>
      <c r="L335" s="42">
        <v>1</v>
      </c>
      <c r="M335" s="15">
        <v>43129</v>
      </c>
      <c r="N335" s="24">
        <v>210000</v>
      </c>
      <c r="O335" s="30">
        <v>43186</v>
      </c>
      <c r="P335" s="43"/>
      <c r="Q335" s="80" t="str">
        <f t="shared" si="50"/>
        <v/>
      </c>
      <c r="R335" s="80">
        <f>IF(M335="",K335-N335,0)</f>
        <v>0</v>
      </c>
      <c r="S335" s="80"/>
      <c r="T335" s="162"/>
    </row>
    <row r="336" spans="1:20" s="26" customFormat="1" outlineLevel="1" x14ac:dyDescent="0.2">
      <c r="A336" s="46" t="s">
        <v>381</v>
      </c>
      <c r="B336" s="19"/>
      <c r="C336" s="104"/>
      <c r="D336" s="104"/>
      <c r="E336" s="620"/>
      <c r="F336" s="563"/>
      <c r="G336" s="431"/>
      <c r="H336" s="489"/>
      <c r="I336" s="25"/>
      <c r="J336" s="230">
        <v>0.42049999999999998</v>
      </c>
      <c r="K336" s="23">
        <f>+I334*J336-K335</f>
        <v>84350</v>
      </c>
      <c r="L336" s="42">
        <v>2</v>
      </c>
      <c r="M336" s="15">
        <v>43489</v>
      </c>
      <c r="N336" s="24">
        <v>84350</v>
      </c>
      <c r="O336" s="30">
        <v>43524</v>
      </c>
      <c r="P336" s="43"/>
      <c r="Q336" s="80" t="str">
        <f t="shared" si="50"/>
        <v/>
      </c>
      <c r="R336" s="80">
        <f>IF(M336="",K336-N336,0)</f>
        <v>0</v>
      </c>
      <c r="S336" s="80"/>
      <c r="T336" s="162"/>
    </row>
    <row r="337" spans="1:20" s="26" customFormat="1" outlineLevel="1" x14ac:dyDescent="0.2">
      <c r="A337" s="46" t="s">
        <v>381</v>
      </c>
      <c r="B337" s="19"/>
      <c r="C337" s="104"/>
      <c r="D337" s="104"/>
      <c r="E337" s="620"/>
      <c r="F337" s="563"/>
      <c r="G337" s="431"/>
      <c r="H337" s="489"/>
      <c r="I337" s="25"/>
      <c r="J337" s="230">
        <v>0.51770000000000005</v>
      </c>
      <c r="K337" s="23">
        <v>68040</v>
      </c>
      <c r="L337" s="42">
        <v>3</v>
      </c>
      <c r="M337" s="15">
        <v>43585</v>
      </c>
      <c r="N337" s="24">
        <v>68040</v>
      </c>
      <c r="O337" s="30">
        <v>43613</v>
      </c>
      <c r="P337" s="43"/>
      <c r="Q337" s="80" t="str">
        <f t="shared" si="50"/>
        <v/>
      </c>
      <c r="R337" s="80"/>
      <c r="S337" s="80"/>
      <c r="T337" s="162"/>
    </row>
    <row r="338" spans="1:20" s="26" customFormat="1" outlineLevel="1" x14ac:dyDescent="0.2">
      <c r="A338" s="46" t="s">
        <v>381</v>
      </c>
      <c r="B338" s="19"/>
      <c r="C338" s="104"/>
      <c r="D338" s="104"/>
      <c r="E338" s="620"/>
      <c r="F338" s="563"/>
      <c r="G338" s="431"/>
      <c r="H338" s="489"/>
      <c r="I338" s="25"/>
      <c r="J338" s="230">
        <v>0.61199999999999999</v>
      </c>
      <c r="K338" s="23">
        <f>I334*J338-(K335+K336+K337)</f>
        <v>66010</v>
      </c>
      <c r="L338" s="42">
        <v>4</v>
      </c>
      <c r="M338" s="15">
        <v>43669</v>
      </c>
      <c r="N338" s="111" t="s">
        <v>81</v>
      </c>
      <c r="O338" s="30"/>
      <c r="P338" s="43"/>
      <c r="Q338" s="80">
        <f t="shared" si="50"/>
        <v>66010</v>
      </c>
      <c r="R338" s="80"/>
      <c r="S338" s="80"/>
      <c r="T338" s="162"/>
    </row>
    <row r="339" spans="1:20" s="26" customFormat="1" outlineLevel="1" x14ac:dyDescent="0.2">
      <c r="A339" s="46" t="s">
        <v>381</v>
      </c>
      <c r="B339" s="4"/>
      <c r="C339" s="29"/>
      <c r="D339" s="385"/>
      <c r="E339" s="489"/>
      <c r="F339" s="553"/>
      <c r="G339" s="29"/>
      <c r="H339" s="489"/>
      <c r="I339" s="25"/>
      <c r="J339" s="230">
        <v>1</v>
      </c>
      <c r="K339" s="23">
        <f>+I334-K335-K336-K337-K338</f>
        <v>271600</v>
      </c>
      <c r="L339" s="42">
        <v>5</v>
      </c>
      <c r="M339" s="15"/>
      <c r="N339" s="24"/>
      <c r="O339" s="30"/>
      <c r="P339" s="43"/>
      <c r="Q339" s="80" t="str">
        <f t="shared" si="50"/>
        <v/>
      </c>
      <c r="R339" s="80">
        <f>IF(M339="",K339-N339,0)</f>
        <v>271600</v>
      </c>
      <c r="S339" s="80"/>
      <c r="T339" s="165"/>
    </row>
    <row r="340" spans="1:20" s="26" customFormat="1" x14ac:dyDescent="0.2">
      <c r="A340" s="118" t="s">
        <v>242</v>
      </c>
      <c r="B340" s="124" t="s">
        <v>243</v>
      </c>
      <c r="C340" s="157">
        <v>42604</v>
      </c>
      <c r="D340" s="157">
        <f>DATE(YEAR(C340),MONTH(C340)+18,DAY(C340))</f>
        <v>43153</v>
      </c>
      <c r="E340" s="157">
        <v>43084</v>
      </c>
      <c r="F340" s="172">
        <v>43263</v>
      </c>
      <c r="G340" s="157">
        <f>DATE(YEAR(C340)+4,MONTH(C340),DAY(C340))</f>
        <v>44065</v>
      </c>
      <c r="H340" s="549"/>
      <c r="I340" s="256">
        <v>656000</v>
      </c>
      <c r="J340" s="440"/>
      <c r="K340" s="249"/>
      <c r="L340" s="250"/>
      <c r="M340" s="120"/>
      <c r="N340" s="125">
        <f>SUM(N341:N345)</f>
        <v>298808</v>
      </c>
      <c r="O340" s="213"/>
      <c r="P340" s="251"/>
      <c r="Q340" s="158">
        <f>SUM(Q341:Q345)</f>
        <v>0</v>
      </c>
      <c r="R340" s="158">
        <f>SUM(R341:R345)</f>
        <v>357192</v>
      </c>
      <c r="S340" s="252"/>
      <c r="T340" s="165">
        <f>I340-(N340+Q340+R340)</f>
        <v>0</v>
      </c>
    </row>
    <row r="341" spans="1:20" s="26" customFormat="1" outlineLevel="1" x14ac:dyDescent="0.2">
      <c r="A341" s="46" t="s">
        <v>242</v>
      </c>
      <c r="B341" s="19"/>
      <c r="C341" s="104"/>
      <c r="D341" s="104"/>
      <c r="E341" s="104"/>
      <c r="F341" s="173"/>
      <c r="G341" s="104"/>
      <c r="H341" s="489"/>
      <c r="I341" s="25"/>
      <c r="J341" s="107">
        <v>0.3</v>
      </c>
      <c r="K341" s="23">
        <f>+I340*J341</f>
        <v>196800</v>
      </c>
      <c r="L341" s="42">
        <v>1</v>
      </c>
      <c r="M341" s="15">
        <v>43264</v>
      </c>
      <c r="N341" s="24">
        <v>196800</v>
      </c>
      <c r="O341" s="30">
        <v>43325</v>
      </c>
      <c r="P341" s="43"/>
      <c r="Q341" s="80" t="str">
        <f t="shared" si="50"/>
        <v/>
      </c>
      <c r="R341" s="362">
        <f>IF(M341="",K341-N341,0)</f>
        <v>0</v>
      </c>
      <c r="S341" s="80"/>
      <c r="T341" s="162"/>
    </row>
    <row r="342" spans="1:20" s="26" customFormat="1" outlineLevel="1" x14ac:dyDescent="0.2">
      <c r="A342" s="46" t="s">
        <v>242</v>
      </c>
      <c r="B342" s="19"/>
      <c r="C342" s="104"/>
      <c r="D342" s="104"/>
      <c r="E342" s="104"/>
      <c r="F342" s="173"/>
      <c r="G342" s="104"/>
      <c r="H342" s="489"/>
      <c r="I342" s="25"/>
      <c r="J342" s="230">
        <v>0.34</v>
      </c>
      <c r="K342" s="23">
        <v>26240</v>
      </c>
      <c r="L342" s="42">
        <v>2</v>
      </c>
      <c r="M342" s="15">
        <v>43585</v>
      </c>
      <c r="N342" s="24">
        <v>26240</v>
      </c>
      <c r="O342" s="30">
        <v>43613</v>
      </c>
      <c r="P342" s="43"/>
      <c r="Q342" s="80" t="str">
        <f t="shared" si="50"/>
        <v/>
      </c>
      <c r="R342" s="362"/>
      <c r="S342" s="80"/>
      <c r="T342" s="162"/>
    </row>
    <row r="343" spans="1:20" s="26" customFormat="1" outlineLevel="1" x14ac:dyDescent="0.2">
      <c r="A343" s="46" t="s">
        <v>242</v>
      </c>
      <c r="B343" s="19"/>
      <c r="C343" s="104"/>
      <c r="D343" s="104"/>
      <c r="E343" s="104"/>
      <c r="F343" s="173"/>
      <c r="G343" s="104"/>
      <c r="H343" s="489"/>
      <c r="I343" s="25"/>
      <c r="J343" s="230">
        <v>0.45550000000000002</v>
      </c>
      <c r="K343" s="23">
        <f>I340*J343-K341-K342</f>
        <v>75768</v>
      </c>
      <c r="L343" s="42">
        <v>3</v>
      </c>
      <c r="M343" s="15">
        <v>43634</v>
      </c>
      <c r="N343" s="24">
        <v>75768</v>
      </c>
      <c r="O343" s="30">
        <v>43664</v>
      </c>
      <c r="P343" s="43"/>
      <c r="Q343" s="80" t="str">
        <f t="shared" si="50"/>
        <v/>
      </c>
      <c r="R343" s="362">
        <f>IF(M343="",K343-N343,0)</f>
        <v>0</v>
      </c>
      <c r="S343" s="80"/>
      <c r="T343" s="162"/>
    </row>
    <row r="344" spans="1:20" s="26" customFormat="1" outlineLevel="1" x14ac:dyDescent="0.2">
      <c r="A344" s="46" t="s">
        <v>242</v>
      </c>
      <c r="B344" s="19"/>
      <c r="C344" s="104"/>
      <c r="D344" s="104"/>
      <c r="E344" s="104"/>
      <c r="F344" s="173"/>
      <c r="G344" s="104"/>
      <c r="H344" s="489"/>
      <c r="I344" s="25"/>
      <c r="J344" s="230">
        <v>0.8</v>
      </c>
      <c r="K344" s="23">
        <f>I340*J344-K341-K342-K343</f>
        <v>225992</v>
      </c>
      <c r="L344" s="42">
        <v>4</v>
      </c>
      <c r="M344" s="15"/>
      <c r="N344" s="20"/>
      <c r="O344" s="30"/>
      <c r="P344" s="43"/>
      <c r="Q344" s="80" t="str">
        <f t="shared" si="50"/>
        <v/>
      </c>
      <c r="R344" s="362">
        <f>IF(M344="",K344-N344,0)</f>
        <v>225992</v>
      </c>
      <c r="S344" s="80"/>
      <c r="T344" s="162"/>
    </row>
    <row r="345" spans="1:20" s="26" customFormat="1" outlineLevel="1" x14ac:dyDescent="0.2">
      <c r="A345" s="46" t="s">
        <v>242</v>
      </c>
      <c r="B345" s="4"/>
      <c r="C345" s="29"/>
      <c r="D345" s="104"/>
      <c r="E345" s="15"/>
      <c r="F345" s="173"/>
      <c r="G345" s="104"/>
      <c r="H345" s="489"/>
      <c r="I345" s="25"/>
      <c r="J345" s="230">
        <v>1</v>
      </c>
      <c r="K345" s="23">
        <f>+I340-K341-K343-K344-K342</f>
        <v>131200</v>
      </c>
      <c r="L345" s="42">
        <v>5</v>
      </c>
      <c r="M345" s="15"/>
      <c r="N345" s="24"/>
      <c r="O345" s="30"/>
      <c r="P345" s="43"/>
      <c r="Q345" s="80" t="str">
        <f t="shared" si="50"/>
        <v/>
      </c>
      <c r="R345" s="439">
        <f>IF(M345="",K345-N345,0)</f>
        <v>131200</v>
      </c>
      <c r="S345" s="80"/>
      <c r="T345" s="165"/>
    </row>
    <row r="346" spans="1:20" s="26" customFormat="1" x14ac:dyDescent="0.2">
      <c r="A346" s="118" t="s">
        <v>233</v>
      </c>
      <c r="B346" s="124" t="s">
        <v>232</v>
      </c>
      <c r="C346" s="157">
        <v>42606</v>
      </c>
      <c r="D346" s="157">
        <f>DATE(YEAR(C346),MONTH(C346)+18,DAY(C346))</f>
        <v>43155</v>
      </c>
      <c r="E346" s="157"/>
      <c r="F346" s="257"/>
      <c r="G346" s="383">
        <v>44796</v>
      </c>
      <c r="H346" s="549"/>
      <c r="I346" s="256">
        <v>400000</v>
      </c>
      <c r="J346" s="440"/>
      <c r="K346" s="249"/>
      <c r="L346" s="250"/>
      <c r="M346" s="120"/>
      <c r="N346" s="125">
        <f>SUM(N347)</f>
        <v>0</v>
      </c>
      <c r="O346" s="213"/>
      <c r="P346" s="251"/>
      <c r="Q346" s="252">
        <f>SUM(Q347)</f>
        <v>0</v>
      </c>
      <c r="R346" s="158">
        <f>SUM(R347)</f>
        <v>400000</v>
      </c>
      <c r="S346" s="252"/>
      <c r="T346" s="165">
        <f>I346-(N346+Q346+R346)</f>
        <v>0</v>
      </c>
    </row>
    <row r="347" spans="1:20" s="26" customFormat="1" x14ac:dyDescent="0.2">
      <c r="A347" s="117" t="s">
        <v>233</v>
      </c>
      <c r="B347" s="39"/>
      <c r="C347" s="33"/>
      <c r="D347" s="385"/>
      <c r="E347" s="36"/>
      <c r="F347" s="174"/>
      <c r="G347" s="856" t="s">
        <v>227</v>
      </c>
      <c r="H347" s="623"/>
      <c r="I347" s="550"/>
      <c r="J347" s="152"/>
      <c r="K347" s="35">
        <v>400000</v>
      </c>
      <c r="L347" s="44">
        <v>1</v>
      </c>
      <c r="M347" s="36"/>
      <c r="N347" s="37"/>
      <c r="O347" s="154"/>
      <c r="P347" s="155"/>
      <c r="Q347" s="80" t="str">
        <f t="shared" si="50"/>
        <v/>
      </c>
      <c r="R347" s="439">
        <f>IF(M347="",K347-N347,0)</f>
        <v>400000</v>
      </c>
      <c r="S347" s="156"/>
      <c r="T347" s="165"/>
    </row>
    <row r="348" spans="1:20" s="26" customFormat="1" x14ac:dyDescent="0.2">
      <c r="A348" s="118" t="s">
        <v>235</v>
      </c>
      <c r="B348" s="124" t="s">
        <v>236</v>
      </c>
      <c r="C348" s="157">
        <v>42620</v>
      </c>
      <c r="D348" s="150">
        <f>DATE(YEAR(C348),MONTH(C348)+18,DAY(C348))</f>
        <v>43166</v>
      </c>
      <c r="E348" s="157"/>
      <c r="F348" s="257"/>
      <c r="G348" s="383">
        <v>44810</v>
      </c>
      <c r="H348" s="549"/>
      <c r="I348" s="256">
        <v>270000</v>
      </c>
      <c r="J348" s="440"/>
      <c r="K348" s="249"/>
      <c r="L348" s="250"/>
      <c r="M348" s="120"/>
      <c r="N348" s="125">
        <f>SUM(N349)</f>
        <v>0</v>
      </c>
      <c r="O348" s="213"/>
      <c r="P348" s="251"/>
      <c r="Q348" s="252">
        <f>SUM(Q349)</f>
        <v>0</v>
      </c>
      <c r="R348" s="158">
        <f>SUM(R349)</f>
        <v>270000</v>
      </c>
      <c r="S348" s="252"/>
      <c r="T348" s="165">
        <f>I348-(N348+Q348+R348)</f>
        <v>0</v>
      </c>
    </row>
    <row r="349" spans="1:20" s="26" customFormat="1" x14ac:dyDescent="0.2">
      <c r="A349" s="117" t="s">
        <v>235</v>
      </c>
      <c r="B349" s="39"/>
      <c r="C349" s="33"/>
      <c r="D349" s="104"/>
      <c r="E349" s="36"/>
      <c r="F349" s="174"/>
      <c r="G349" s="856" t="s">
        <v>227</v>
      </c>
      <c r="H349" s="623"/>
      <c r="I349" s="550"/>
      <c r="J349" s="152"/>
      <c r="K349" s="35">
        <v>270000</v>
      </c>
      <c r="L349" s="44">
        <v>1</v>
      </c>
      <c r="M349" s="36"/>
      <c r="N349" s="37"/>
      <c r="O349" s="154"/>
      <c r="P349" s="155"/>
      <c r="Q349" s="80" t="str">
        <f t="shared" si="50"/>
        <v/>
      </c>
      <c r="R349" s="439">
        <f>IF(M349="",K349-N349,0)</f>
        <v>270000</v>
      </c>
      <c r="S349" s="156"/>
      <c r="T349" s="165"/>
    </row>
    <row r="350" spans="1:20" s="26" customFormat="1" x14ac:dyDescent="0.2">
      <c r="A350" s="118" t="s">
        <v>237</v>
      </c>
      <c r="B350" s="124" t="s">
        <v>238</v>
      </c>
      <c r="C350" s="157">
        <v>42618</v>
      </c>
      <c r="D350" s="157">
        <f>DATE(YEAR(C350),MONTH(C350)+18,DAY(C350))</f>
        <v>43164</v>
      </c>
      <c r="E350" s="120"/>
      <c r="F350" s="257"/>
      <c r="G350" s="383">
        <v>44809</v>
      </c>
      <c r="H350" s="549"/>
      <c r="I350" s="256">
        <v>270000</v>
      </c>
      <c r="J350" s="440"/>
      <c r="K350" s="249"/>
      <c r="L350" s="250"/>
      <c r="M350" s="120"/>
      <c r="N350" s="125">
        <f>SUM(N351)</f>
        <v>0</v>
      </c>
      <c r="O350" s="213"/>
      <c r="P350" s="251"/>
      <c r="Q350" s="252">
        <f>SUM(Q351)</f>
        <v>0</v>
      </c>
      <c r="R350" s="183">
        <f>SUM(R351)</f>
        <v>270000</v>
      </c>
      <c r="S350" s="252"/>
      <c r="T350" s="165">
        <f>I350-(N350+Q350+R350)</f>
        <v>0</v>
      </c>
    </row>
    <row r="351" spans="1:20" s="26" customFormat="1" x14ac:dyDescent="0.2">
      <c r="A351" s="46" t="s">
        <v>237</v>
      </c>
      <c r="B351" s="4"/>
      <c r="C351" s="29"/>
      <c r="D351" s="385"/>
      <c r="E351" s="15"/>
      <c r="F351" s="173"/>
      <c r="G351" s="856" t="s">
        <v>227</v>
      </c>
      <c r="H351" s="489"/>
      <c r="I351" s="624"/>
      <c r="J351" s="107"/>
      <c r="K351" s="23">
        <v>270000</v>
      </c>
      <c r="L351" s="42">
        <v>1</v>
      </c>
      <c r="M351" s="15"/>
      <c r="N351" s="24"/>
      <c r="O351" s="30"/>
      <c r="P351" s="43"/>
      <c r="Q351" s="80" t="str">
        <f t="shared" si="50"/>
        <v/>
      </c>
      <c r="R351" s="362">
        <f>IF(M351="",K351-N351,0)</f>
        <v>270000</v>
      </c>
      <c r="S351" s="80"/>
      <c r="T351" s="165"/>
    </row>
    <row r="352" spans="1:20" s="26" customFormat="1" x14ac:dyDescent="0.2">
      <c r="A352" s="118" t="s">
        <v>239</v>
      </c>
      <c r="B352" s="124" t="s">
        <v>240</v>
      </c>
      <c r="C352" s="157">
        <v>42629</v>
      </c>
      <c r="D352" s="157">
        <f>DATE(YEAR(C352),MONTH(C352)+18,DAY(C352))</f>
        <v>43175</v>
      </c>
      <c r="E352" s="120"/>
      <c r="F352" s="257"/>
      <c r="G352" s="383">
        <v>44819</v>
      </c>
      <c r="H352" s="549"/>
      <c r="I352" s="256">
        <v>800000</v>
      </c>
      <c r="J352" s="440"/>
      <c r="K352" s="249"/>
      <c r="L352" s="250"/>
      <c r="M352" s="120"/>
      <c r="N352" s="125">
        <f>SUM(N353)</f>
        <v>0</v>
      </c>
      <c r="O352" s="213"/>
      <c r="P352" s="251"/>
      <c r="Q352" s="252">
        <f>SUM(Q353)</f>
        <v>0</v>
      </c>
      <c r="R352" s="169">
        <f>SUM(R353)</f>
        <v>800000</v>
      </c>
      <c r="S352" s="252"/>
      <c r="T352" s="165">
        <f>I352-(N352+Q352+R352)</f>
        <v>0</v>
      </c>
    </row>
    <row r="353" spans="1:20" s="26" customFormat="1" x14ac:dyDescent="0.2">
      <c r="A353" s="117" t="s">
        <v>239</v>
      </c>
      <c r="B353" s="39"/>
      <c r="C353" s="33"/>
      <c r="D353" s="385"/>
      <c r="E353" s="36"/>
      <c r="F353" s="174"/>
      <c r="G353" s="856" t="s">
        <v>227</v>
      </c>
      <c r="H353" s="623"/>
      <c r="I353" s="550"/>
      <c r="J353" s="152"/>
      <c r="K353" s="35">
        <v>800000</v>
      </c>
      <c r="L353" s="44">
        <v>1</v>
      </c>
      <c r="M353" s="36"/>
      <c r="N353" s="37"/>
      <c r="O353" s="154"/>
      <c r="P353" s="155"/>
      <c r="Q353" s="80" t="str">
        <f>IF(N353="en attente",K353,"")</f>
        <v/>
      </c>
      <c r="R353" s="362">
        <f>IF(M353="",K353-N353,0)</f>
        <v>800000</v>
      </c>
      <c r="S353" s="156"/>
      <c r="T353" s="165"/>
    </row>
    <row r="354" spans="1:20" s="26" customFormat="1" x14ac:dyDescent="0.2">
      <c r="A354" s="118" t="s">
        <v>258</v>
      </c>
      <c r="B354" s="124" t="s">
        <v>249</v>
      </c>
      <c r="C354" s="554">
        <v>42660</v>
      </c>
      <c r="D354" s="150">
        <f>DATE(YEAR(C354),MONTH(C354)+18,DAY(C354))</f>
        <v>43207</v>
      </c>
      <c r="E354" s="554">
        <v>43090</v>
      </c>
      <c r="F354" s="501">
        <v>43164</v>
      </c>
      <c r="G354" s="150">
        <f>DATE(YEAR(C354)+4,MONTH(C354),DAY(C354))</f>
        <v>44121</v>
      </c>
      <c r="H354" s="549"/>
      <c r="I354" s="256">
        <v>945000</v>
      </c>
      <c r="J354" s="440"/>
      <c r="K354" s="249"/>
      <c r="L354" s="253"/>
      <c r="M354" s="213"/>
      <c r="N354" s="125">
        <f>SUM(N355:N361)</f>
        <v>644395.5</v>
      </c>
      <c r="O354" s="213"/>
      <c r="P354" s="552"/>
      <c r="Q354" s="169">
        <f>SUM(Q355:Q361)</f>
        <v>0</v>
      </c>
      <c r="R354" s="169">
        <f>SUM(R355:R361)</f>
        <v>300604.5</v>
      </c>
      <c r="S354" s="255"/>
      <c r="T354" s="165">
        <f>I354-(N354+Q354+R354)</f>
        <v>0</v>
      </c>
    </row>
    <row r="355" spans="1:20" s="26" customFormat="1" outlineLevel="1" x14ac:dyDescent="0.2">
      <c r="A355" s="46" t="s">
        <v>258</v>
      </c>
      <c r="B355" s="182"/>
      <c r="C355" s="621"/>
      <c r="D355" s="84"/>
      <c r="E355" s="489"/>
      <c r="F355" s="226"/>
      <c r="G355" s="84"/>
      <c r="H355" s="489"/>
      <c r="I355" s="25"/>
      <c r="J355" s="230">
        <v>0.3</v>
      </c>
      <c r="K355" s="23">
        <v>283500</v>
      </c>
      <c r="L355" s="625">
        <v>1</v>
      </c>
      <c r="M355" s="30">
        <v>43172</v>
      </c>
      <c r="N355" s="24">
        <v>283500</v>
      </c>
      <c r="O355" s="30">
        <v>43207</v>
      </c>
      <c r="P355" s="548"/>
      <c r="Q355" s="362" t="str">
        <f>IF(N355="en attente",K355,"")</f>
        <v/>
      </c>
      <c r="R355" s="362">
        <f>IF(M355="",K355-N355,0)</f>
        <v>0</v>
      </c>
      <c r="S355" s="362"/>
      <c r="T355" s="162"/>
    </row>
    <row r="356" spans="1:20" s="26" customFormat="1" outlineLevel="1" x14ac:dyDescent="0.2">
      <c r="A356" s="46" t="s">
        <v>258</v>
      </c>
      <c r="B356" s="182"/>
      <c r="C356" s="621"/>
      <c r="D356" s="84"/>
      <c r="E356" s="489"/>
      <c r="F356" s="226"/>
      <c r="G356" s="84"/>
      <c r="H356" s="489"/>
      <c r="I356" s="25"/>
      <c r="J356" s="230">
        <v>0.35249999999999998</v>
      </c>
      <c r="K356" s="23">
        <f>I354*J356-K355</f>
        <v>49612.5</v>
      </c>
      <c r="L356" s="625">
        <v>2</v>
      </c>
      <c r="M356" s="30">
        <v>43403</v>
      </c>
      <c r="N356" s="24">
        <v>49612.5</v>
      </c>
      <c r="O356" s="30">
        <v>43448</v>
      </c>
      <c r="P356" s="548"/>
      <c r="Q356" s="362"/>
      <c r="R356" s="362"/>
      <c r="S356" s="362"/>
      <c r="T356" s="162"/>
    </row>
    <row r="357" spans="1:20" s="26" customFormat="1" ht="10.5" customHeight="1" outlineLevel="1" x14ac:dyDescent="0.2">
      <c r="A357" s="46" t="s">
        <v>258</v>
      </c>
      <c r="B357" s="182"/>
      <c r="C357" s="621"/>
      <c r="D357" s="84"/>
      <c r="E357" s="489"/>
      <c r="F357" s="226"/>
      <c r="G357" s="84"/>
      <c r="H357" s="489"/>
      <c r="I357" s="25"/>
      <c r="J357" s="230">
        <v>0.47120000000000001</v>
      </c>
      <c r="K357" s="23">
        <f>I354*J357-K355-K356</f>
        <v>112171.5</v>
      </c>
      <c r="L357" s="625">
        <v>3</v>
      </c>
      <c r="M357" s="30">
        <v>43489</v>
      </c>
      <c r="N357" s="24">
        <v>112171.5</v>
      </c>
      <c r="O357" s="30">
        <v>43524</v>
      </c>
      <c r="P357" s="548"/>
      <c r="Q357" s="362" t="str">
        <f>IF(N357="en attente",K357,"")</f>
        <v/>
      </c>
      <c r="R357" s="362">
        <f>IF(M357="",K357-N357,0)</f>
        <v>0</v>
      </c>
      <c r="S357" s="362"/>
      <c r="T357" s="162"/>
    </row>
    <row r="358" spans="1:20" s="26" customFormat="1" ht="10.5" customHeight="1" outlineLevel="1" x14ac:dyDescent="0.2">
      <c r="A358" s="46" t="s">
        <v>258</v>
      </c>
      <c r="B358" s="182"/>
      <c r="C358" s="621"/>
      <c r="D358" s="84"/>
      <c r="E358" s="489"/>
      <c r="F358" s="226"/>
      <c r="G358" s="84"/>
      <c r="H358" s="489"/>
      <c r="I358" s="25"/>
      <c r="J358" s="230">
        <v>0.54569999999999996</v>
      </c>
      <c r="K358" s="23">
        <f>I354*J358-K355-K356-K357</f>
        <v>70402.499999999942</v>
      </c>
      <c r="L358" s="625">
        <v>4</v>
      </c>
      <c r="M358" s="30">
        <v>43559</v>
      </c>
      <c r="N358" s="24">
        <v>70402.5</v>
      </c>
      <c r="O358" s="30">
        <v>43601</v>
      </c>
      <c r="P358" s="548"/>
      <c r="Q358" s="362" t="str">
        <f t="shared" ref="Q358:Q361" si="56">IF(N358="en attente",K358,"")</f>
        <v/>
      </c>
      <c r="R358" s="362">
        <f t="shared" ref="R358:R359" si="57">IF(M358="",K358-N358,0)</f>
        <v>0</v>
      </c>
      <c r="S358" s="362"/>
      <c r="T358" s="162"/>
    </row>
    <row r="359" spans="1:20" s="26" customFormat="1" ht="10.5" customHeight="1" outlineLevel="1" x14ac:dyDescent="0.2">
      <c r="A359" s="46" t="s">
        <v>258</v>
      </c>
      <c r="B359" s="182"/>
      <c r="C359" s="621"/>
      <c r="D359" s="84"/>
      <c r="E359" s="489"/>
      <c r="F359" s="226"/>
      <c r="G359" s="84"/>
      <c r="H359" s="489"/>
      <c r="I359" s="25"/>
      <c r="J359" s="230">
        <v>0.68189999999999995</v>
      </c>
      <c r="K359" s="23">
        <f>I354*J359-K355-K356-K357-K358</f>
        <v>128709.00000000006</v>
      </c>
      <c r="L359" s="625">
        <v>5</v>
      </c>
      <c r="M359" s="30">
        <v>43634</v>
      </c>
      <c r="N359" s="24">
        <v>128709</v>
      </c>
      <c r="O359" s="30">
        <v>43664</v>
      </c>
      <c r="P359" s="548"/>
      <c r="Q359" s="362" t="str">
        <f t="shared" si="56"/>
        <v/>
      </c>
      <c r="R359" s="362">
        <f t="shared" si="57"/>
        <v>0</v>
      </c>
      <c r="S359" s="362"/>
      <c r="T359" s="162"/>
    </row>
    <row r="360" spans="1:20" s="26" customFormat="1" outlineLevel="1" x14ac:dyDescent="0.2">
      <c r="A360" s="46" t="s">
        <v>258</v>
      </c>
      <c r="B360" s="182"/>
      <c r="C360" s="621"/>
      <c r="D360" s="84"/>
      <c r="E360" s="489"/>
      <c r="F360" s="226"/>
      <c r="G360" s="84"/>
      <c r="H360" s="489"/>
      <c r="I360" s="25"/>
      <c r="J360" s="230">
        <v>0.8</v>
      </c>
      <c r="K360" s="23">
        <f>I354*J360-K357-K355-K356-K358-K359</f>
        <v>111604.5</v>
      </c>
      <c r="L360" s="625">
        <v>6</v>
      </c>
      <c r="M360" s="30"/>
      <c r="N360" s="20"/>
      <c r="O360" s="30"/>
      <c r="P360" s="548"/>
      <c r="Q360" s="362" t="str">
        <f t="shared" si="56"/>
        <v/>
      </c>
      <c r="R360" s="362">
        <f>IF(M360="",K360-N360,0)</f>
        <v>111604.5</v>
      </c>
      <c r="S360" s="362"/>
      <c r="T360" s="162"/>
    </row>
    <row r="361" spans="1:20" s="26" customFormat="1" outlineLevel="1" x14ac:dyDescent="0.2">
      <c r="A361" s="117" t="s">
        <v>258</v>
      </c>
      <c r="B361" s="453"/>
      <c r="C361" s="547"/>
      <c r="D361" s="385"/>
      <c r="E361" s="489"/>
      <c r="F361" s="553"/>
      <c r="G361" s="154"/>
      <c r="H361" s="489"/>
      <c r="I361" s="25"/>
      <c r="J361" s="752">
        <v>1</v>
      </c>
      <c r="K361" s="35">
        <f>945000-K360-K357-K355-K356-K358-K359</f>
        <v>189000</v>
      </c>
      <c r="L361" s="551">
        <v>7</v>
      </c>
      <c r="M361" s="154"/>
      <c r="N361" s="24"/>
      <c r="O361" s="154"/>
      <c r="P361" s="548"/>
      <c r="Q361" s="362" t="str">
        <f t="shared" si="56"/>
        <v/>
      </c>
      <c r="R361" s="362">
        <f>IF(M361="",K361-N361,0)</f>
        <v>189000</v>
      </c>
      <c r="S361" s="439"/>
      <c r="T361" s="165"/>
    </row>
    <row r="362" spans="1:20" s="26" customFormat="1" x14ac:dyDescent="0.2">
      <c r="A362" s="118" t="s">
        <v>279</v>
      </c>
      <c r="B362" s="124" t="s">
        <v>278</v>
      </c>
      <c r="C362" s="554">
        <v>42909</v>
      </c>
      <c r="D362" s="150">
        <f>DATE(YEAR(C362),MONTH(C362)+18,DAY(C362))</f>
        <v>43457</v>
      </c>
      <c r="E362" s="150">
        <v>43073</v>
      </c>
      <c r="F362" s="618">
        <v>43101</v>
      </c>
      <c r="G362" s="150">
        <f>DATE(YEAR(C362)+4,MONTH(C362),DAY(C362))</f>
        <v>44370</v>
      </c>
      <c r="H362" s="549"/>
      <c r="I362" s="256">
        <v>700000</v>
      </c>
      <c r="J362" s="440"/>
      <c r="K362" s="249"/>
      <c r="L362" s="253"/>
      <c r="M362" s="213"/>
      <c r="N362" s="125">
        <f>SUM(N363:N368)</f>
        <v>454440</v>
      </c>
      <c r="O362" s="213"/>
      <c r="P362" s="552"/>
      <c r="Q362" s="169">
        <f>SUM(Q363:Q368)</f>
        <v>0</v>
      </c>
      <c r="R362" s="169">
        <f>SUM(R363:R368)</f>
        <v>245560</v>
      </c>
      <c r="S362" s="255"/>
      <c r="T362" s="165">
        <f>I362-(N362+Q362+R362)</f>
        <v>0</v>
      </c>
    </row>
    <row r="363" spans="1:20" s="26" customFormat="1" outlineLevel="1" x14ac:dyDescent="0.2">
      <c r="A363" s="46" t="s">
        <v>279</v>
      </c>
      <c r="B363" s="19"/>
      <c r="C363" s="621"/>
      <c r="D363" s="84"/>
      <c r="E363" s="84"/>
      <c r="F363" s="622"/>
      <c r="G363" s="84"/>
      <c r="H363" s="489"/>
      <c r="I363" s="25"/>
      <c r="J363" s="107">
        <v>0.3</v>
      </c>
      <c r="K363" s="23">
        <f>+I362*J363</f>
        <v>210000</v>
      </c>
      <c r="L363" s="42">
        <v>1</v>
      </c>
      <c r="M363" s="15">
        <v>43139</v>
      </c>
      <c r="N363" s="24">
        <v>210000</v>
      </c>
      <c r="O363" s="30">
        <v>43223</v>
      </c>
      <c r="P363" s="548"/>
      <c r="Q363" s="362" t="str">
        <f>IF(N363="en attente",K363,"")</f>
        <v/>
      </c>
      <c r="R363" s="80"/>
      <c r="S363" s="80"/>
      <c r="T363" s="162"/>
    </row>
    <row r="364" spans="1:20" s="26" customFormat="1" outlineLevel="1" x14ac:dyDescent="0.2">
      <c r="A364" s="46" t="s">
        <v>279</v>
      </c>
      <c r="B364" s="19"/>
      <c r="C364" s="621"/>
      <c r="D364" s="84"/>
      <c r="E364" s="84"/>
      <c r="F364" s="622"/>
      <c r="G364" s="84"/>
      <c r="H364" s="489"/>
      <c r="I364" s="25"/>
      <c r="J364" s="230">
        <v>0.37130000000000002</v>
      </c>
      <c r="K364" s="16">
        <v>49910</v>
      </c>
      <c r="L364" s="42">
        <v>2</v>
      </c>
      <c r="M364" s="15">
        <v>43237</v>
      </c>
      <c r="N364" s="24">
        <v>49910</v>
      </c>
      <c r="O364" s="30">
        <v>43530</v>
      </c>
      <c r="P364" s="548"/>
      <c r="Q364" s="362" t="str">
        <f t="shared" ref="Q364:Q368" si="58">IF(N364="en attente",K364,"")</f>
        <v/>
      </c>
      <c r="R364" s="362"/>
      <c r="S364" s="80"/>
      <c r="T364" s="162"/>
    </row>
    <row r="365" spans="1:20" s="26" customFormat="1" outlineLevel="1" x14ac:dyDescent="0.2">
      <c r="A365" s="46" t="s">
        <v>279</v>
      </c>
      <c r="B365" s="19"/>
      <c r="C365" s="621"/>
      <c r="D365" s="84"/>
      <c r="E365" s="84"/>
      <c r="F365" s="622"/>
      <c r="G365" s="84"/>
      <c r="H365" s="489"/>
      <c r="I365" s="25"/>
      <c r="J365" s="230">
        <v>0.48570000000000002</v>
      </c>
      <c r="K365" s="16">
        <f>+I362*J365-K363-K364</f>
        <v>80080</v>
      </c>
      <c r="L365" s="42">
        <v>3</v>
      </c>
      <c r="M365" s="15">
        <v>43489</v>
      </c>
      <c r="N365" s="24">
        <v>80080</v>
      </c>
      <c r="O365" s="30">
        <v>43544</v>
      </c>
      <c r="P365" s="548"/>
      <c r="Q365" s="362" t="str">
        <f t="shared" si="58"/>
        <v/>
      </c>
      <c r="R365" s="362">
        <f>IF(M365="",K365-N365,0)</f>
        <v>0</v>
      </c>
      <c r="S365" s="80"/>
      <c r="T365" s="162"/>
    </row>
    <row r="366" spans="1:20" s="26" customFormat="1" outlineLevel="1" x14ac:dyDescent="0.2">
      <c r="A366" s="46" t="s">
        <v>279</v>
      </c>
      <c r="B366" s="19"/>
      <c r="C366" s="621"/>
      <c r="D366" s="84"/>
      <c r="E366" s="84"/>
      <c r="F366" s="622"/>
      <c r="G366" s="84"/>
      <c r="H366" s="489"/>
      <c r="I366" s="25"/>
      <c r="J366" s="230">
        <v>0.6492</v>
      </c>
      <c r="K366" s="16">
        <v>114450</v>
      </c>
      <c r="L366" s="42">
        <v>4</v>
      </c>
      <c r="M366" s="15">
        <v>43559</v>
      </c>
      <c r="N366" s="24">
        <v>114450</v>
      </c>
      <c r="O366" s="30">
        <v>43600</v>
      </c>
      <c r="P366" s="548"/>
      <c r="Q366" s="362" t="str">
        <f t="shared" si="58"/>
        <v/>
      </c>
      <c r="R366" s="362">
        <f>IF(M366="",K366-N366,0)</f>
        <v>0</v>
      </c>
      <c r="S366" s="80"/>
      <c r="T366" s="162"/>
    </row>
    <row r="367" spans="1:20" s="26" customFormat="1" outlineLevel="1" x14ac:dyDescent="0.2">
      <c r="A367" s="46" t="s">
        <v>279</v>
      </c>
      <c r="B367" s="19"/>
      <c r="C367" s="621"/>
      <c r="D367" s="84"/>
      <c r="E367" s="84"/>
      <c r="F367" s="622"/>
      <c r="G367" s="84"/>
      <c r="H367" s="489"/>
      <c r="I367" s="25"/>
      <c r="J367" s="107">
        <v>0.8</v>
      </c>
      <c r="K367" s="16">
        <f>+I362*J367-K363-K364-K365-K366</f>
        <v>105560</v>
      </c>
      <c r="L367" s="42">
        <v>5</v>
      </c>
      <c r="M367" s="15"/>
      <c r="N367" s="20"/>
      <c r="O367" s="30"/>
      <c r="P367" s="548"/>
      <c r="Q367" s="362" t="str">
        <f t="shared" si="58"/>
        <v/>
      </c>
      <c r="R367" s="362">
        <f>IF(M367="",K367-N367,0)</f>
        <v>105560</v>
      </c>
      <c r="S367" s="80"/>
      <c r="T367" s="162"/>
    </row>
    <row r="368" spans="1:20" s="26" customFormat="1" outlineLevel="1" x14ac:dyDescent="0.2">
      <c r="A368" s="117" t="s">
        <v>279</v>
      </c>
      <c r="B368" s="39"/>
      <c r="C368" s="557"/>
      <c r="D368" s="84"/>
      <c r="E368" s="154"/>
      <c r="F368" s="558"/>
      <c r="G368" s="84"/>
      <c r="H368" s="623"/>
      <c r="I368" s="25"/>
      <c r="J368" s="152">
        <v>1</v>
      </c>
      <c r="K368" s="35">
        <f>700000-K363-K365-K364-K367-K366</f>
        <v>140000</v>
      </c>
      <c r="L368" s="44">
        <v>6</v>
      </c>
      <c r="M368" s="36"/>
      <c r="N368" s="37"/>
      <c r="O368" s="154"/>
      <c r="P368" s="155"/>
      <c r="Q368" s="362" t="str">
        <f t="shared" si="58"/>
        <v/>
      </c>
      <c r="R368" s="439">
        <f>IF(M368="",K368-N368,0)</f>
        <v>140000</v>
      </c>
      <c r="S368" s="156"/>
      <c r="T368" s="165"/>
    </row>
    <row r="369" spans="1:20" s="26" customFormat="1" x14ac:dyDescent="0.2">
      <c r="A369" s="118" t="s">
        <v>280</v>
      </c>
      <c r="B369" s="124" t="s">
        <v>281</v>
      </c>
      <c r="C369" s="554">
        <v>42916</v>
      </c>
      <c r="D369" s="150">
        <f>DATE(YEAR(C369),MONTH(C369)+18,DAY(C369))</f>
        <v>43464</v>
      </c>
      <c r="E369" s="554">
        <v>43585</v>
      </c>
      <c r="F369" s="501">
        <v>43585</v>
      </c>
      <c r="G369" s="150">
        <f>DATE(YEAR(C369)+4,MONTH(C369),DAY(C369))</f>
        <v>44377</v>
      </c>
      <c r="H369" s="549"/>
      <c r="I369" s="256">
        <v>480000</v>
      </c>
      <c r="J369" s="440"/>
      <c r="K369" s="249"/>
      <c r="L369" s="253"/>
      <c r="M369" s="213"/>
      <c r="N369" s="125">
        <f>SUM(N370:N373)</f>
        <v>144000</v>
      </c>
      <c r="O369" s="213"/>
      <c r="P369" s="552"/>
      <c r="Q369" s="255">
        <f>SUM(Q370:Q373)</f>
        <v>0</v>
      </c>
      <c r="R369" s="169">
        <f>SUM(R370:R373)</f>
        <v>336000</v>
      </c>
      <c r="S369" s="252"/>
      <c r="T369" s="165">
        <f>I369-(N369+Q369+R369)</f>
        <v>0</v>
      </c>
    </row>
    <row r="370" spans="1:20" s="26" customFormat="1" x14ac:dyDescent="0.2">
      <c r="A370" s="46" t="s">
        <v>280</v>
      </c>
      <c r="B370" s="19"/>
      <c r="C370" s="621"/>
      <c r="D370" s="84"/>
      <c r="E370" s="489"/>
      <c r="F370" s="226"/>
      <c r="G370" s="84"/>
      <c r="H370" s="489"/>
      <c r="I370" s="25"/>
      <c r="J370" s="108">
        <v>0.3</v>
      </c>
      <c r="K370" s="23">
        <f>+J370*I369</f>
        <v>144000</v>
      </c>
      <c r="L370" s="42">
        <v>1</v>
      </c>
      <c r="M370" s="15">
        <v>43594</v>
      </c>
      <c r="N370" s="24">
        <v>144000</v>
      </c>
      <c r="O370" s="30">
        <v>43628</v>
      </c>
      <c r="P370" s="548"/>
      <c r="Q370" s="362" t="str">
        <f>IF(N370="en attente",K370,"")</f>
        <v/>
      </c>
      <c r="R370" s="362">
        <f>IF(M370="",K370-N370,0)</f>
        <v>0</v>
      </c>
      <c r="S370" s="80"/>
      <c r="T370" s="162"/>
    </row>
    <row r="371" spans="1:20" s="26" customFormat="1" x14ac:dyDescent="0.2">
      <c r="A371" s="46" t="s">
        <v>280</v>
      </c>
      <c r="B371" s="19"/>
      <c r="C371" s="621"/>
      <c r="D371" s="84"/>
      <c r="E371" s="489"/>
      <c r="F371" s="226"/>
      <c r="G371" s="84"/>
      <c r="H371" s="489"/>
      <c r="I371" s="25"/>
      <c r="J371" s="108">
        <v>0.5</v>
      </c>
      <c r="K371" s="23">
        <f>+I369*J371-K370</f>
        <v>96000</v>
      </c>
      <c r="L371" s="42">
        <v>2</v>
      </c>
      <c r="M371" s="15"/>
      <c r="N371" s="20"/>
      <c r="O371" s="30"/>
      <c r="P371" s="548"/>
      <c r="Q371" s="362" t="str">
        <f t="shared" ref="Q371:Q373" si="59">IF(N371="en attente",K371,"")</f>
        <v/>
      </c>
      <c r="R371" s="362">
        <f t="shared" ref="R371:R373" si="60">IF(M371="",K371-N371,0)</f>
        <v>96000</v>
      </c>
      <c r="S371" s="80"/>
      <c r="T371" s="162"/>
    </row>
    <row r="372" spans="1:20" s="26" customFormat="1" x14ac:dyDescent="0.2">
      <c r="A372" s="46" t="s">
        <v>280</v>
      </c>
      <c r="B372" s="19"/>
      <c r="C372" s="621"/>
      <c r="D372" s="84"/>
      <c r="E372" s="489"/>
      <c r="F372" s="226"/>
      <c r="G372" s="84"/>
      <c r="H372" s="489"/>
      <c r="I372" s="25"/>
      <c r="J372" s="108">
        <v>0.8</v>
      </c>
      <c r="K372" s="23">
        <f>+I369*J372-K370-K371</f>
        <v>144000</v>
      </c>
      <c r="L372" s="42">
        <v>3</v>
      </c>
      <c r="M372" s="15"/>
      <c r="N372" s="20"/>
      <c r="O372" s="30"/>
      <c r="P372" s="548"/>
      <c r="Q372" s="362" t="str">
        <f t="shared" si="59"/>
        <v/>
      </c>
      <c r="R372" s="362">
        <f t="shared" si="60"/>
        <v>144000</v>
      </c>
      <c r="S372" s="80"/>
      <c r="T372" s="162"/>
    </row>
    <row r="373" spans="1:20" s="26" customFormat="1" x14ac:dyDescent="0.2">
      <c r="A373" s="46" t="s">
        <v>280</v>
      </c>
      <c r="B373" s="4"/>
      <c r="C373" s="547"/>
      <c r="D373" s="385"/>
      <c r="E373" s="489"/>
      <c r="F373" s="553"/>
      <c r="G373" s="385"/>
      <c r="H373" s="489"/>
      <c r="I373" s="25"/>
      <c r="J373" s="956">
        <v>1</v>
      </c>
      <c r="K373" s="23">
        <f>+I369-K370-K371-K372</f>
        <v>96000</v>
      </c>
      <c r="L373" s="42">
        <v>4</v>
      </c>
      <c r="M373" s="15"/>
      <c r="N373" s="24"/>
      <c r="O373" s="30"/>
      <c r="P373" s="548"/>
      <c r="Q373" s="362" t="str">
        <f t="shared" si="59"/>
        <v/>
      </c>
      <c r="R373" s="439">
        <f t="shared" si="60"/>
        <v>96000</v>
      </c>
      <c r="S373" s="80"/>
      <c r="T373" s="165"/>
    </row>
    <row r="374" spans="1:20" s="26" customFormat="1" x14ac:dyDescent="0.2">
      <c r="A374" s="118" t="s">
        <v>283</v>
      </c>
      <c r="B374" s="124" t="s">
        <v>282</v>
      </c>
      <c r="C374" s="554">
        <v>42929</v>
      </c>
      <c r="D374" s="150">
        <f>DATE(YEAR(C374),MONTH(C374)+18,DAY(C374))</f>
        <v>43478</v>
      </c>
      <c r="E374" s="549"/>
      <c r="F374" s="559"/>
      <c r="G374" s="150">
        <f>DATE(YEAR(C374)+4,MONTH(C374),DAY(C374))</f>
        <v>44390</v>
      </c>
      <c r="H374" s="549"/>
      <c r="I374" s="256">
        <v>1512000</v>
      </c>
      <c r="J374" s="440"/>
      <c r="K374" s="249"/>
      <c r="L374" s="253"/>
      <c r="M374" s="213"/>
      <c r="N374" s="125">
        <f>SUM(N375)</f>
        <v>0</v>
      </c>
      <c r="O374" s="213"/>
      <c r="P374" s="552"/>
      <c r="Q374" s="255">
        <f>SUM(Q375)</f>
        <v>0</v>
      </c>
      <c r="R374" s="183">
        <f>SUM(R375)</f>
        <v>1512000</v>
      </c>
      <c r="S374" s="255"/>
      <c r="T374" s="165">
        <f>I374-(N374+Q374+R374)</f>
        <v>0</v>
      </c>
    </row>
    <row r="375" spans="1:20" s="26" customFormat="1" x14ac:dyDescent="0.2">
      <c r="A375" s="117" t="s">
        <v>283</v>
      </c>
      <c r="B375" s="39"/>
      <c r="C375" s="33"/>
      <c r="D375" s="36"/>
      <c r="E375" s="36"/>
      <c r="F375" s="174"/>
      <c r="G375" s="36"/>
      <c r="H375" s="623"/>
      <c r="I375" s="550"/>
      <c r="J375" s="152"/>
      <c r="K375" s="35">
        <v>1512000</v>
      </c>
      <c r="L375" s="44"/>
      <c r="M375" s="36"/>
      <c r="N375" s="37"/>
      <c r="O375" s="154"/>
      <c r="P375" s="155"/>
      <c r="Q375" s="80" t="str">
        <f>IF(N375="en attente",K375,"")</f>
        <v/>
      </c>
      <c r="R375" s="439">
        <f>IF(M375="",K375-N375,0)</f>
        <v>1512000</v>
      </c>
      <c r="S375" s="156"/>
      <c r="T375" s="165"/>
    </row>
    <row r="376" spans="1:20" s="26" customFormat="1" x14ac:dyDescent="0.2">
      <c r="A376" s="118" t="s">
        <v>285</v>
      </c>
      <c r="B376" s="124" t="s">
        <v>286</v>
      </c>
      <c r="C376" s="554">
        <v>42970</v>
      </c>
      <c r="D376" s="150">
        <f>DATE(YEAR(C376),MONTH(C376)+18,DAY(C376))</f>
        <v>43519</v>
      </c>
      <c r="E376" s="549"/>
      <c r="F376" s="559"/>
      <c r="G376" s="150">
        <f>DATE(YEAR(C376)+4,MONTH(C376),DAY(C376))</f>
        <v>44431</v>
      </c>
      <c r="H376" s="549"/>
      <c r="I376" s="256">
        <v>520000</v>
      </c>
      <c r="J376" s="440"/>
      <c r="K376" s="249"/>
      <c r="L376" s="253"/>
      <c r="M376" s="213"/>
      <c r="N376" s="125">
        <f>SUM(N377)</f>
        <v>0</v>
      </c>
      <c r="O376" s="213"/>
      <c r="P376" s="552"/>
      <c r="Q376" s="255">
        <f>SUM(Q377)</f>
        <v>0</v>
      </c>
      <c r="R376" s="169">
        <f>SUM(R377)</f>
        <v>520000</v>
      </c>
      <c r="S376" s="255"/>
      <c r="T376" s="165">
        <f>I376-(N376+Q376+R376)</f>
        <v>0</v>
      </c>
    </row>
    <row r="377" spans="1:20" s="26" customFormat="1" x14ac:dyDescent="0.2">
      <c r="A377" s="46" t="s">
        <v>285</v>
      </c>
      <c r="B377" s="4"/>
      <c r="C377" s="29"/>
      <c r="D377" s="15"/>
      <c r="E377" s="15"/>
      <c r="F377" s="173"/>
      <c r="G377" s="15"/>
      <c r="H377" s="489"/>
      <c r="I377" s="624"/>
      <c r="J377" s="107"/>
      <c r="K377" s="23">
        <v>520000</v>
      </c>
      <c r="L377" s="42"/>
      <c r="M377" s="15"/>
      <c r="N377" s="24"/>
      <c r="O377" s="30"/>
      <c r="P377" s="43"/>
      <c r="Q377" s="80" t="str">
        <f>IF(N377="en attente",K377,"")</f>
        <v/>
      </c>
      <c r="R377" s="439">
        <f>IF(M377="",K377-N377,0)</f>
        <v>520000</v>
      </c>
      <c r="S377" s="80"/>
      <c r="T377" s="165"/>
    </row>
    <row r="378" spans="1:20" s="26" customFormat="1" x14ac:dyDescent="0.2">
      <c r="A378" s="118" t="s">
        <v>294</v>
      </c>
      <c r="B378" s="124" t="s">
        <v>295</v>
      </c>
      <c r="C378" s="554">
        <v>43008</v>
      </c>
      <c r="D378" s="150">
        <f>DATE(YEAR(C378),MONTH(C378)+18,DAY(C378))</f>
        <v>43554</v>
      </c>
      <c r="E378" s="549"/>
      <c r="F378" s="671"/>
      <c r="G378" s="157">
        <f>DATE(YEAR(C378)+4,MONTH(C378),DAY(C378))</f>
        <v>44469</v>
      </c>
      <c r="H378" s="549"/>
      <c r="I378" s="256">
        <v>660000</v>
      </c>
      <c r="J378" s="440"/>
      <c r="K378" s="249"/>
      <c r="L378" s="253"/>
      <c r="M378" s="213"/>
      <c r="N378" s="125">
        <f>SUM(N379)</f>
        <v>0</v>
      </c>
      <c r="O378" s="213"/>
      <c r="P378" s="552"/>
      <c r="Q378" s="255">
        <f>SUM(Q379)</f>
        <v>0</v>
      </c>
      <c r="R378" s="169">
        <f>SUM(R379)</f>
        <v>660000</v>
      </c>
      <c r="S378" s="255"/>
      <c r="T378" s="165">
        <f>I378-(N378+Q378+R378)</f>
        <v>0</v>
      </c>
    </row>
    <row r="379" spans="1:20" s="26" customFormat="1" x14ac:dyDescent="0.2">
      <c r="A379" s="46" t="s">
        <v>294</v>
      </c>
      <c r="B379" s="4"/>
      <c r="C379" s="547"/>
      <c r="D379" s="30"/>
      <c r="E379" s="489"/>
      <c r="F379" s="553"/>
      <c r="G379" s="15"/>
      <c r="H379" s="953"/>
      <c r="I379" s="624"/>
      <c r="J379" s="107"/>
      <c r="K379" s="23">
        <v>660000</v>
      </c>
      <c r="L379" s="42"/>
      <c r="M379" s="15"/>
      <c r="N379" s="24"/>
      <c r="O379" s="30"/>
      <c r="P379" s="548"/>
      <c r="Q379" s="80" t="str">
        <f>IF(N379="en attente",K379,"")</f>
        <v/>
      </c>
      <c r="R379" s="439">
        <f>IF(M379="",K379-N379,0)</f>
        <v>660000</v>
      </c>
      <c r="S379" s="80"/>
      <c r="T379" s="165"/>
    </row>
    <row r="380" spans="1:20" s="26" customFormat="1" x14ac:dyDescent="0.2">
      <c r="A380" s="118" t="s">
        <v>290</v>
      </c>
      <c r="B380" s="124" t="s">
        <v>291</v>
      </c>
      <c r="C380" s="554">
        <v>43014</v>
      </c>
      <c r="D380" s="150">
        <f>DATE(YEAR(C380),MONTH(C380)+18,DAY(C380))</f>
        <v>43561</v>
      </c>
      <c r="E380" s="549"/>
      <c r="F380" s="559"/>
      <c r="G380" s="150">
        <f>DATE(YEAR(C380)+4,MONTH(C380),DAY(C380))</f>
        <v>44475</v>
      </c>
      <c r="H380" s="549"/>
      <c r="I380" s="256">
        <v>500000</v>
      </c>
      <c r="J380" s="440"/>
      <c r="K380" s="249"/>
      <c r="L380" s="253"/>
      <c r="M380" s="213"/>
      <c r="N380" s="125">
        <f>SUM(N381)</f>
        <v>0</v>
      </c>
      <c r="O380" s="213"/>
      <c r="P380" s="552"/>
      <c r="Q380" s="255">
        <f>SUM(Q381)</f>
        <v>0</v>
      </c>
      <c r="R380" s="169">
        <f>SUM(R381)</f>
        <v>500000</v>
      </c>
      <c r="S380" s="255"/>
      <c r="T380" s="165">
        <f>I380-(N380+Q380+R380)</f>
        <v>0</v>
      </c>
    </row>
    <row r="381" spans="1:20" s="26" customFormat="1" x14ac:dyDescent="0.2">
      <c r="A381" s="117" t="s">
        <v>290</v>
      </c>
      <c r="B381" s="39"/>
      <c r="C381" s="557"/>
      <c r="D381" s="30"/>
      <c r="E381" s="36"/>
      <c r="F381" s="174"/>
      <c r="G381" s="15"/>
      <c r="H381" s="623"/>
      <c r="I381" s="550"/>
      <c r="J381" s="152"/>
      <c r="K381" s="35">
        <v>500000</v>
      </c>
      <c r="L381" s="44"/>
      <c r="M381" s="36"/>
      <c r="N381" s="37"/>
      <c r="O381" s="154"/>
      <c r="P381" s="155"/>
      <c r="Q381" s="80" t="str">
        <f>IF(N381="en attente",K381,"")</f>
        <v/>
      </c>
      <c r="R381" s="439">
        <f>IF(M381="",K381-N381,0)</f>
        <v>500000</v>
      </c>
      <c r="S381" s="156"/>
      <c r="T381" s="165"/>
    </row>
    <row r="382" spans="1:20" s="26" customFormat="1" x14ac:dyDescent="0.2">
      <c r="A382" s="118" t="s">
        <v>292</v>
      </c>
      <c r="B382" s="124" t="s">
        <v>293</v>
      </c>
      <c r="C382" s="554">
        <v>43017</v>
      </c>
      <c r="D382" s="150">
        <f>DATE(YEAR(C382),MONTH(C382)+18,DAY(C382))</f>
        <v>43564</v>
      </c>
      <c r="E382" s="554">
        <v>43543</v>
      </c>
      <c r="F382" s="501">
        <v>43556</v>
      </c>
      <c r="G382" s="150">
        <f>DATE(YEAR(C382)+4,MONTH(C382),DAY(C382))</f>
        <v>44478</v>
      </c>
      <c r="H382" s="954"/>
      <c r="I382" s="256">
        <v>504000</v>
      </c>
      <c r="J382" s="440"/>
      <c r="K382" s="249"/>
      <c r="L382" s="253"/>
      <c r="M382" s="213"/>
      <c r="N382" s="125">
        <f>SUM(N383:N386)</f>
        <v>151200</v>
      </c>
      <c r="O382" s="213"/>
      <c r="P382" s="552"/>
      <c r="Q382" s="866">
        <f>SUM(Q383:Q386)</f>
        <v>0</v>
      </c>
      <c r="R382" s="169">
        <f>SUM(R383:R386)</f>
        <v>352800</v>
      </c>
      <c r="S382" s="252"/>
      <c r="T382" s="165">
        <f>I382-(N382+Q382+R382)</f>
        <v>0</v>
      </c>
    </row>
    <row r="383" spans="1:20" s="26" customFormat="1" x14ac:dyDescent="0.2">
      <c r="A383" s="46" t="s">
        <v>292</v>
      </c>
      <c r="B383" s="19"/>
      <c r="C383" s="621"/>
      <c r="D383" s="84"/>
      <c r="E383" s="621"/>
      <c r="F383" s="563"/>
      <c r="G383" s="84"/>
      <c r="H383" s="955"/>
      <c r="I383" s="25"/>
      <c r="J383" s="107">
        <v>0.3</v>
      </c>
      <c r="K383" s="23">
        <f>I382*J383</f>
        <v>151200</v>
      </c>
      <c r="L383" s="42">
        <v>1</v>
      </c>
      <c r="M383" s="15">
        <v>43559</v>
      </c>
      <c r="N383" s="24">
        <v>151200</v>
      </c>
      <c r="O383" s="30">
        <v>43599</v>
      </c>
      <c r="P383" s="548"/>
      <c r="Q383" s="865" t="str">
        <f>IF(N383="en attente",K383,"")</f>
        <v/>
      </c>
      <c r="R383" s="362">
        <f>IF(M383="",K383-N383,0)</f>
        <v>0</v>
      </c>
      <c r="S383" s="80"/>
      <c r="T383" s="162"/>
    </row>
    <row r="384" spans="1:20" s="26" customFormat="1" x14ac:dyDescent="0.2">
      <c r="A384" s="46" t="s">
        <v>292</v>
      </c>
      <c r="B384" s="19"/>
      <c r="C384" s="621"/>
      <c r="D384" s="84"/>
      <c r="E384" s="621"/>
      <c r="F384" s="563"/>
      <c r="G384" s="84"/>
      <c r="H384" s="955"/>
      <c r="I384" s="25"/>
      <c r="J384" s="107">
        <v>0.5</v>
      </c>
      <c r="K384" s="23">
        <f>I382*J384-K383</f>
        <v>100800</v>
      </c>
      <c r="L384" s="42">
        <v>2</v>
      </c>
      <c r="M384" s="15"/>
      <c r="N384" s="20"/>
      <c r="O384" s="30"/>
      <c r="P384" s="548"/>
      <c r="Q384" s="865" t="str">
        <f>IF(N384="en attente",K384,"")</f>
        <v/>
      </c>
      <c r="R384" s="362">
        <f>IF(M384="",K384-N384,0)</f>
        <v>100800</v>
      </c>
      <c r="S384" s="80"/>
      <c r="T384" s="162"/>
    </row>
    <row r="385" spans="1:20" s="26" customFormat="1" x14ac:dyDescent="0.2">
      <c r="A385" s="46" t="s">
        <v>292</v>
      </c>
      <c r="B385" s="19"/>
      <c r="C385" s="621"/>
      <c r="D385" s="84"/>
      <c r="E385" s="621"/>
      <c r="F385" s="563"/>
      <c r="G385" s="84"/>
      <c r="H385" s="955"/>
      <c r="I385" s="25"/>
      <c r="J385" s="107">
        <v>0.8</v>
      </c>
      <c r="K385" s="23">
        <f>I382*J385-K383-K384</f>
        <v>151200</v>
      </c>
      <c r="L385" s="42">
        <v>3</v>
      </c>
      <c r="M385" s="15"/>
      <c r="N385" s="20"/>
      <c r="O385" s="30"/>
      <c r="P385" s="548"/>
      <c r="Q385" s="865" t="str">
        <f>IF(N385="en attente",K385,"")</f>
        <v/>
      </c>
      <c r="R385" s="362">
        <f>IF(M385="",K385-N385,0)</f>
        <v>151200</v>
      </c>
      <c r="S385" s="80"/>
      <c r="T385" s="162"/>
    </row>
    <row r="386" spans="1:20" s="26" customFormat="1" x14ac:dyDescent="0.2">
      <c r="A386" s="46" t="s">
        <v>292</v>
      </c>
      <c r="B386" s="4"/>
      <c r="C386" s="547"/>
      <c r="D386" s="84"/>
      <c r="E386" s="489"/>
      <c r="F386" s="553"/>
      <c r="G386" s="84"/>
      <c r="H386" s="953"/>
      <c r="I386" s="38"/>
      <c r="J386" s="107">
        <v>1</v>
      </c>
      <c r="K386" s="23">
        <f>I382-K383-K384-K385</f>
        <v>100800</v>
      </c>
      <c r="L386" s="42">
        <v>4</v>
      </c>
      <c r="M386" s="15"/>
      <c r="N386" s="24"/>
      <c r="O386" s="30"/>
      <c r="P386" s="548"/>
      <c r="Q386" s="867" t="str">
        <f>IF(N386="en attente",K386,"")</f>
        <v/>
      </c>
      <c r="R386" s="439">
        <f>IF(M386="",K386-N386,0)</f>
        <v>100800</v>
      </c>
      <c r="S386" s="80"/>
      <c r="T386" s="162"/>
    </row>
    <row r="387" spans="1:20" s="26" customFormat="1" x14ac:dyDescent="0.2">
      <c r="A387" s="118" t="s">
        <v>325</v>
      </c>
      <c r="B387" s="124" t="s">
        <v>324</v>
      </c>
      <c r="C387" s="554">
        <v>43287</v>
      </c>
      <c r="D387" s="150">
        <f t="shared" ref="D387:D401" si="61">DATE(YEAR(C387),MONTH(C387)+18,DAY(C387))</f>
        <v>43836</v>
      </c>
      <c r="E387" s="549"/>
      <c r="F387" s="559"/>
      <c r="G387" s="150">
        <f t="shared" ref="G387:G401" si="62">DATE(YEAR(C387)+4,MONTH(C387),DAY(C387))</f>
        <v>44748</v>
      </c>
      <c r="H387" s="549"/>
      <c r="I387" s="256">
        <v>780000</v>
      </c>
      <c r="J387" s="256"/>
      <c r="K387" s="249"/>
      <c r="L387" s="253"/>
      <c r="M387" s="213"/>
      <c r="N387" s="125">
        <f>SUM(N388)</f>
        <v>0</v>
      </c>
      <c r="O387" s="213"/>
      <c r="P387" s="552"/>
      <c r="Q387" s="255">
        <f>SUM(Q388)</f>
        <v>0</v>
      </c>
      <c r="R387" s="183">
        <f>SUM(R388)</f>
        <v>780000</v>
      </c>
      <c r="S387" s="255"/>
      <c r="T387" s="165">
        <f>I387-(N387+Q387+R387)</f>
        <v>0</v>
      </c>
    </row>
    <row r="388" spans="1:20" s="26" customFormat="1" x14ac:dyDescent="0.2">
      <c r="A388" s="117" t="s">
        <v>325</v>
      </c>
      <c r="B388" s="39"/>
      <c r="C388" s="557"/>
      <c r="D388" s="84"/>
      <c r="E388" s="36"/>
      <c r="F388" s="558"/>
      <c r="G388" s="84"/>
      <c r="H388" s="36"/>
      <c r="I388" s="152"/>
      <c r="J388" s="152"/>
      <c r="K388" s="35">
        <v>780000</v>
      </c>
      <c r="L388" s="44"/>
      <c r="M388" s="36"/>
      <c r="N388" s="37"/>
      <c r="O388" s="154"/>
      <c r="P388" s="155"/>
      <c r="Q388" s="156" t="str">
        <f>IF(N388="en attente",K388,"")</f>
        <v/>
      </c>
      <c r="R388" s="439">
        <f>IF(M388="",K388-N388,0)</f>
        <v>780000</v>
      </c>
      <c r="S388" s="156"/>
      <c r="T388" s="165"/>
    </row>
    <row r="389" spans="1:20" s="26" customFormat="1" x14ac:dyDescent="0.2">
      <c r="A389" s="118" t="s">
        <v>331</v>
      </c>
      <c r="B389" s="124" t="s">
        <v>335</v>
      </c>
      <c r="C389" s="554">
        <v>43334</v>
      </c>
      <c r="D389" s="150">
        <f t="shared" si="61"/>
        <v>43883</v>
      </c>
      <c r="E389" s="549"/>
      <c r="F389" s="559"/>
      <c r="G389" s="150">
        <f t="shared" si="62"/>
        <v>44795</v>
      </c>
      <c r="H389" s="549"/>
      <c r="I389" s="256">
        <v>418000</v>
      </c>
      <c r="J389" s="256"/>
      <c r="K389" s="249"/>
      <c r="L389" s="253"/>
      <c r="M389" s="213"/>
      <c r="N389" s="125">
        <f>SUM(N390)</f>
        <v>0</v>
      </c>
      <c r="O389" s="213"/>
      <c r="P389" s="552"/>
      <c r="Q389" s="255">
        <f>SUM(Q390)</f>
        <v>0</v>
      </c>
      <c r="R389" s="169">
        <f>SUM(R390)</f>
        <v>418000</v>
      </c>
      <c r="S389" s="255"/>
      <c r="T389" s="165">
        <f t="shared" ref="T389:T401" si="63">I389-(N389+Q389+R389)</f>
        <v>0</v>
      </c>
    </row>
    <row r="390" spans="1:20" s="26" customFormat="1" x14ac:dyDescent="0.2">
      <c r="A390" s="1044" t="s">
        <v>331</v>
      </c>
      <c r="B390" s="39"/>
      <c r="C390" s="557"/>
      <c r="D390" s="84"/>
      <c r="E390" s="36"/>
      <c r="F390" s="558"/>
      <c r="G390" s="84"/>
      <c r="H390" s="36"/>
      <c r="I390" s="152"/>
      <c r="J390" s="152"/>
      <c r="K390" s="35">
        <v>418000</v>
      </c>
      <c r="L390" s="44"/>
      <c r="M390" s="36"/>
      <c r="N390" s="37"/>
      <c r="O390" s="154"/>
      <c r="P390" s="704"/>
      <c r="Q390" s="439" t="str">
        <f>IF(N390="en attente",K390,"")</f>
        <v/>
      </c>
      <c r="R390" s="439">
        <f t="shared" ref="R390:R402" si="64">IF(M390="",K390-N390,0)</f>
        <v>418000</v>
      </c>
      <c r="S390" s="80"/>
      <c r="T390" s="165"/>
    </row>
    <row r="391" spans="1:20" s="26" customFormat="1" x14ac:dyDescent="0.2">
      <c r="A391" s="118" t="s">
        <v>332</v>
      </c>
      <c r="B391" s="124" t="s">
        <v>336</v>
      </c>
      <c r="C391" s="554">
        <v>43334</v>
      </c>
      <c r="D391" s="150">
        <f t="shared" si="61"/>
        <v>43883</v>
      </c>
      <c r="E391" s="549"/>
      <c r="F391" s="559"/>
      <c r="G391" s="150">
        <f t="shared" si="62"/>
        <v>44795</v>
      </c>
      <c r="H391" s="549"/>
      <c r="I391" s="256">
        <v>714000</v>
      </c>
      <c r="J391" s="256"/>
      <c r="K391" s="249"/>
      <c r="L391" s="253"/>
      <c r="M391" s="213"/>
      <c r="N391" s="125">
        <f>SUM(N392)</f>
        <v>0</v>
      </c>
      <c r="O391" s="213"/>
      <c r="P391" s="552"/>
      <c r="Q391" s="255">
        <f>SUM(Q392)</f>
        <v>0</v>
      </c>
      <c r="R391" s="169">
        <f>SUM(R392)</f>
        <v>714000</v>
      </c>
      <c r="S391" s="255"/>
      <c r="T391" s="165">
        <f t="shared" si="63"/>
        <v>0</v>
      </c>
    </row>
    <row r="392" spans="1:20" s="26" customFormat="1" x14ac:dyDescent="0.2">
      <c r="A392" s="1044" t="s">
        <v>332</v>
      </c>
      <c r="B392" s="39"/>
      <c r="C392" s="557"/>
      <c r="D392" s="84"/>
      <c r="E392" s="36"/>
      <c r="F392" s="558"/>
      <c r="G392" s="84"/>
      <c r="H392" s="36"/>
      <c r="I392" s="152"/>
      <c r="J392" s="152"/>
      <c r="K392" s="35">
        <v>714000</v>
      </c>
      <c r="L392" s="44"/>
      <c r="M392" s="36"/>
      <c r="N392" s="37"/>
      <c r="O392" s="154"/>
      <c r="P392" s="704"/>
      <c r="Q392" s="439" t="str">
        <f>IF(N392="en attente",K392,"")</f>
        <v/>
      </c>
      <c r="R392" s="439">
        <f t="shared" si="64"/>
        <v>714000</v>
      </c>
      <c r="S392" s="80"/>
      <c r="T392" s="165"/>
    </row>
    <row r="393" spans="1:20" s="26" customFormat="1" x14ac:dyDescent="0.2">
      <c r="A393" s="118" t="s">
        <v>333</v>
      </c>
      <c r="B393" s="124" t="s">
        <v>337</v>
      </c>
      <c r="C393" s="554">
        <v>43334</v>
      </c>
      <c r="D393" s="150">
        <f t="shared" si="61"/>
        <v>43883</v>
      </c>
      <c r="E393" s="549"/>
      <c r="F393" s="559"/>
      <c r="G393" s="150">
        <f t="shared" si="62"/>
        <v>44795</v>
      </c>
      <c r="H393" s="549"/>
      <c r="I393" s="256">
        <v>323000</v>
      </c>
      <c r="J393" s="256"/>
      <c r="K393" s="249"/>
      <c r="L393" s="253"/>
      <c r="M393" s="213"/>
      <c r="N393" s="125">
        <f>SUM(N394)</f>
        <v>0</v>
      </c>
      <c r="O393" s="213"/>
      <c r="P393" s="552"/>
      <c r="Q393" s="255">
        <f>SUM(Q394)</f>
        <v>0</v>
      </c>
      <c r="R393" s="169">
        <f>SUM(R394)</f>
        <v>323000</v>
      </c>
      <c r="S393" s="255"/>
      <c r="T393" s="165">
        <f t="shared" si="63"/>
        <v>0</v>
      </c>
    </row>
    <row r="394" spans="1:20" s="26" customFormat="1" x14ac:dyDescent="0.2">
      <c r="A394" s="1044" t="s">
        <v>333</v>
      </c>
      <c r="B394" s="39"/>
      <c r="C394" s="557"/>
      <c r="D394" s="84"/>
      <c r="E394" s="36"/>
      <c r="F394" s="558"/>
      <c r="G394" s="84"/>
      <c r="H394" s="36"/>
      <c r="I394" s="152"/>
      <c r="J394" s="152"/>
      <c r="K394" s="35">
        <v>323000</v>
      </c>
      <c r="L394" s="44"/>
      <c r="M394" s="36"/>
      <c r="N394" s="37"/>
      <c r="O394" s="154"/>
      <c r="P394" s="704"/>
      <c r="Q394" s="439" t="str">
        <f>IF(N394="en attente",K394,"")</f>
        <v/>
      </c>
      <c r="R394" s="439">
        <f t="shared" si="64"/>
        <v>323000</v>
      </c>
      <c r="S394" s="80"/>
      <c r="T394" s="165"/>
    </row>
    <row r="395" spans="1:20" s="26" customFormat="1" x14ac:dyDescent="0.2">
      <c r="A395" s="118" t="s">
        <v>334</v>
      </c>
      <c r="B395" s="124" t="s">
        <v>338</v>
      </c>
      <c r="C395" s="554">
        <v>43334</v>
      </c>
      <c r="D395" s="150">
        <f t="shared" si="61"/>
        <v>43883</v>
      </c>
      <c r="E395" s="549"/>
      <c r="F395" s="559"/>
      <c r="G395" s="150">
        <f t="shared" si="62"/>
        <v>44795</v>
      </c>
      <c r="H395" s="549"/>
      <c r="I395" s="256">
        <v>643500</v>
      </c>
      <c r="J395" s="256"/>
      <c r="K395" s="249"/>
      <c r="L395" s="253"/>
      <c r="M395" s="213"/>
      <c r="N395" s="125">
        <f>SUM(N396)</f>
        <v>0</v>
      </c>
      <c r="O395" s="213"/>
      <c r="P395" s="552"/>
      <c r="Q395" s="255">
        <f>SUM(Q396)</f>
        <v>0</v>
      </c>
      <c r="R395" s="169">
        <f>SUM(R396)</f>
        <v>643500</v>
      </c>
      <c r="S395" s="255"/>
      <c r="T395" s="165">
        <f t="shared" si="63"/>
        <v>0</v>
      </c>
    </row>
    <row r="396" spans="1:20" s="26" customFormat="1" x14ac:dyDescent="0.2">
      <c r="A396" s="1044" t="s">
        <v>334</v>
      </c>
      <c r="B396" s="4"/>
      <c r="C396" s="547"/>
      <c r="D396" s="30"/>
      <c r="E396" s="15"/>
      <c r="F396" s="542"/>
      <c r="G396" s="30"/>
      <c r="H396" s="15"/>
      <c r="I396" s="107"/>
      <c r="J396" s="107"/>
      <c r="K396" s="23">
        <v>643500</v>
      </c>
      <c r="L396" s="42"/>
      <c r="M396" s="15"/>
      <c r="N396" s="24"/>
      <c r="O396" s="30"/>
      <c r="P396" s="548"/>
      <c r="Q396" s="362" t="str">
        <f>IF(N396="en attente",K396,"")</f>
        <v/>
      </c>
      <c r="R396" s="362">
        <f t="shared" si="64"/>
        <v>643500</v>
      </c>
      <c r="S396" s="80"/>
      <c r="T396" s="165"/>
    </row>
    <row r="397" spans="1:20" s="26" customFormat="1" x14ac:dyDescent="0.2">
      <c r="A397" s="118" t="s">
        <v>349</v>
      </c>
      <c r="B397" s="124" t="s">
        <v>350</v>
      </c>
      <c r="C397" s="554">
        <v>43374</v>
      </c>
      <c r="D397" s="150">
        <f t="shared" si="61"/>
        <v>43922</v>
      </c>
      <c r="E397" s="549"/>
      <c r="F397" s="559"/>
      <c r="G397" s="150">
        <f t="shared" si="62"/>
        <v>44835</v>
      </c>
      <c r="H397" s="549"/>
      <c r="I397" s="256">
        <v>741000</v>
      </c>
      <c r="J397" s="256"/>
      <c r="K397" s="249"/>
      <c r="L397" s="253"/>
      <c r="M397" s="213"/>
      <c r="N397" s="125">
        <f>SUM(N398)</f>
        <v>0</v>
      </c>
      <c r="O397" s="213"/>
      <c r="P397" s="552"/>
      <c r="Q397" s="255">
        <f>SUM(Q398)</f>
        <v>0</v>
      </c>
      <c r="R397" s="169">
        <f>SUM(R398)</f>
        <v>741000</v>
      </c>
      <c r="S397" s="255"/>
      <c r="T397" s="165">
        <f t="shared" si="63"/>
        <v>0</v>
      </c>
    </row>
    <row r="398" spans="1:20" s="26" customFormat="1" x14ac:dyDescent="0.2">
      <c r="A398" s="1044" t="s">
        <v>349</v>
      </c>
      <c r="B398" s="39"/>
      <c r="C398" s="557"/>
      <c r="D398" s="385"/>
      <c r="E398" s="36"/>
      <c r="F398" s="558"/>
      <c r="G398" s="385"/>
      <c r="H398" s="36"/>
      <c r="I398" s="152"/>
      <c r="J398" s="152"/>
      <c r="K398" s="35">
        <v>741000</v>
      </c>
      <c r="L398" s="44"/>
      <c r="M398" s="36"/>
      <c r="N398" s="37"/>
      <c r="O398" s="154"/>
      <c r="P398" s="704"/>
      <c r="Q398" s="362" t="str">
        <f>IF(N398="en attente",K398,"")</f>
        <v/>
      </c>
      <c r="R398" s="362">
        <f t="shared" si="64"/>
        <v>741000</v>
      </c>
      <c r="S398" s="156"/>
      <c r="T398" s="165"/>
    </row>
    <row r="399" spans="1:20" s="26" customFormat="1" x14ac:dyDescent="0.2">
      <c r="A399" s="118" t="s">
        <v>419</v>
      </c>
      <c r="B399" s="124" t="s">
        <v>420</v>
      </c>
      <c r="C399" s="554">
        <v>43622</v>
      </c>
      <c r="D399" s="150">
        <f t="shared" si="61"/>
        <v>44171</v>
      </c>
      <c r="E399" s="549"/>
      <c r="F399" s="559"/>
      <c r="G399" s="150">
        <f t="shared" si="62"/>
        <v>45083</v>
      </c>
      <c r="H399" s="549"/>
      <c r="I399" s="256">
        <v>0</v>
      </c>
      <c r="J399" s="256"/>
      <c r="K399" s="249"/>
      <c r="L399" s="253"/>
      <c r="M399" s="213"/>
      <c r="N399" s="125">
        <f>SUM(N400)</f>
        <v>0</v>
      </c>
      <c r="O399" s="213"/>
      <c r="P399" s="552"/>
      <c r="Q399" s="255">
        <f>SUM(Q400)</f>
        <v>0</v>
      </c>
      <c r="R399" s="169">
        <f>SUM(R400)</f>
        <v>0</v>
      </c>
      <c r="S399" s="255"/>
      <c r="T399" s="165">
        <f t="shared" si="63"/>
        <v>0</v>
      </c>
    </row>
    <row r="400" spans="1:20" s="26" customFormat="1" x14ac:dyDescent="0.2">
      <c r="A400" s="231" t="s">
        <v>419</v>
      </c>
      <c r="B400" s="4"/>
      <c r="C400" s="547"/>
      <c r="D400" s="84"/>
      <c r="E400" s="15"/>
      <c r="F400" s="542"/>
      <c r="G400" s="84"/>
      <c r="H400" s="15"/>
      <c r="I400" s="107"/>
      <c r="J400" s="107"/>
      <c r="K400" s="23">
        <v>0</v>
      </c>
      <c r="L400" s="42"/>
      <c r="M400" s="15"/>
      <c r="N400" s="24"/>
      <c r="O400" s="30"/>
      <c r="P400" s="548"/>
      <c r="Q400" s="362" t="str">
        <f>IF(N400="en attente",K400,"")</f>
        <v/>
      </c>
      <c r="R400" s="362">
        <f t="shared" si="64"/>
        <v>0</v>
      </c>
      <c r="S400" s="80"/>
      <c r="T400" s="165"/>
    </row>
    <row r="401" spans="1:20" s="26" customFormat="1" x14ac:dyDescent="0.2">
      <c r="A401" s="118" t="s">
        <v>423</v>
      </c>
      <c r="B401" s="124" t="s">
        <v>424</v>
      </c>
      <c r="C401" s="554">
        <v>43650</v>
      </c>
      <c r="D401" s="150">
        <f t="shared" si="61"/>
        <v>44200</v>
      </c>
      <c r="E401" s="549"/>
      <c r="F401" s="559"/>
      <c r="G401" s="150">
        <f t="shared" si="62"/>
        <v>45111</v>
      </c>
      <c r="H401" s="549"/>
      <c r="I401" s="256">
        <v>0</v>
      </c>
      <c r="J401" s="256"/>
      <c r="K401" s="249"/>
      <c r="L401" s="253"/>
      <c r="M401" s="213"/>
      <c r="N401" s="125">
        <f>SUM(N402)</f>
        <v>0</v>
      </c>
      <c r="O401" s="213"/>
      <c r="P401" s="552"/>
      <c r="Q401" s="255">
        <f>SUM(Q402)</f>
        <v>0</v>
      </c>
      <c r="R401" s="169">
        <f>SUM(R402)</f>
        <v>0</v>
      </c>
      <c r="S401" s="255"/>
      <c r="T401" s="165">
        <f t="shared" si="63"/>
        <v>0</v>
      </c>
    </row>
    <row r="402" spans="1:20" s="26" customFormat="1" x14ac:dyDescent="0.2">
      <c r="A402" s="231" t="s">
        <v>423</v>
      </c>
      <c r="B402" s="39"/>
      <c r="C402" s="557"/>
      <c r="D402" s="154"/>
      <c r="E402" s="36"/>
      <c r="F402" s="558"/>
      <c r="G402" s="154"/>
      <c r="H402" s="36"/>
      <c r="I402" s="152"/>
      <c r="J402" s="152"/>
      <c r="K402" s="35">
        <v>0</v>
      </c>
      <c r="L402" s="44"/>
      <c r="M402" s="36"/>
      <c r="N402" s="37"/>
      <c r="O402" s="154"/>
      <c r="P402" s="704"/>
      <c r="Q402" s="362" t="str">
        <f>IF(N402="en attente",K402,"")</f>
        <v/>
      </c>
      <c r="R402" s="362">
        <f t="shared" si="64"/>
        <v>0</v>
      </c>
      <c r="S402" s="156"/>
      <c r="T402" s="165"/>
    </row>
    <row r="403" spans="1:20" s="26" customFormat="1" x14ac:dyDescent="0.2">
      <c r="A403" s="118" t="s">
        <v>434</v>
      </c>
      <c r="B403" s="124" t="s">
        <v>435</v>
      </c>
      <c r="C403" s="554">
        <v>43665</v>
      </c>
      <c r="D403" s="150">
        <f t="shared" ref="D403" si="65">DATE(YEAR(C403),MONTH(C403)+18,DAY(C403))</f>
        <v>44215</v>
      </c>
      <c r="E403" s="549"/>
      <c r="F403" s="559"/>
      <c r="G403" s="150">
        <f t="shared" ref="G403" si="66">DATE(YEAR(C403)+4,MONTH(C403),DAY(C403))</f>
        <v>45126</v>
      </c>
      <c r="H403" s="549"/>
      <c r="I403" s="256">
        <v>680000</v>
      </c>
      <c r="J403" s="256"/>
      <c r="K403" s="249"/>
      <c r="L403" s="253"/>
      <c r="M403" s="213"/>
      <c r="N403" s="125">
        <f>SUM(N404)</f>
        <v>0</v>
      </c>
      <c r="O403" s="213"/>
      <c r="P403" s="552"/>
      <c r="Q403" s="255">
        <f>SUM(Q404)</f>
        <v>0</v>
      </c>
      <c r="R403" s="169">
        <f>SUM(R404)</f>
        <v>680000</v>
      </c>
      <c r="S403" s="255"/>
      <c r="T403" s="165">
        <f t="shared" ref="T403" si="67">I403-(N403+Q403+R403)</f>
        <v>0</v>
      </c>
    </row>
    <row r="404" spans="1:20" s="26" customFormat="1" x14ac:dyDescent="0.2">
      <c r="A404" s="231" t="s">
        <v>434</v>
      </c>
      <c r="B404" s="39"/>
      <c r="C404" s="557"/>
      <c r="D404" s="154"/>
      <c r="E404" s="36"/>
      <c r="F404" s="558"/>
      <c r="G404" s="154"/>
      <c r="H404" s="36"/>
      <c r="I404" s="152"/>
      <c r="J404" s="152"/>
      <c r="K404" s="35">
        <v>680000</v>
      </c>
      <c r="L404" s="44"/>
      <c r="M404" s="36"/>
      <c r="N404" s="37"/>
      <c r="O404" s="154"/>
      <c r="P404" s="704"/>
      <c r="Q404" s="362" t="str">
        <f>IF(N404="en attente",K404,"")</f>
        <v/>
      </c>
      <c r="R404" s="362">
        <f t="shared" ref="R404" si="68">IF(M404="",K404-N404,0)</f>
        <v>680000</v>
      </c>
      <c r="S404" s="156"/>
      <c r="T404" s="165"/>
    </row>
    <row r="405" spans="1:20" s="26" customFormat="1" ht="12" customHeight="1" x14ac:dyDescent="0.2">
      <c r="A405" s="441"/>
      <c r="B405" s="57"/>
      <c r="C405" s="258"/>
      <c r="D405" s="260"/>
      <c r="E405" s="260"/>
      <c r="F405" s="442"/>
      <c r="G405" s="260"/>
      <c r="H405" s="260"/>
      <c r="I405" s="443"/>
      <c r="J405" s="443"/>
      <c r="K405" s="261"/>
      <c r="L405" s="262"/>
      <c r="M405" s="260"/>
      <c r="N405" s="263"/>
      <c r="O405" s="264"/>
      <c r="P405" s="444"/>
      <c r="Q405" s="265"/>
      <c r="R405" s="265"/>
      <c r="S405" s="265"/>
      <c r="T405" s="162"/>
    </row>
    <row r="406" spans="1:20" s="26" customFormat="1" x14ac:dyDescent="0.2">
      <c r="A406" s="117"/>
      <c r="B406" s="39"/>
      <c r="C406" s="33"/>
      <c r="D406" s="36"/>
      <c r="E406" s="36"/>
      <c r="F406" s="174"/>
      <c r="G406" s="36"/>
      <c r="H406" s="36"/>
      <c r="I406" s="152"/>
      <c r="J406" s="152"/>
      <c r="K406" s="35"/>
      <c r="L406" s="44"/>
      <c r="M406" s="36"/>
      <c r="N406" s="37"/>
      <c r="O406" s="154"/>
      <c r="P406" s="155"/>
      <c r="Q406" s="156"/>
      <c r="R406" s="156"/>
      <c r="S406" s="156"/>
      <c r="T406" s="162"/>
    </row>
    <row r="407" spans="1:20" s="8" customFormat="1" x14ac:dyDescent="0.2">
      <c r="A407" s="48"/>
      <c r="B407" s="48"/>
      <c r="C407" s="48"/>
      <c r="D407" s="48"/>
      <c r="E407" s="48"/>
      <c r="F407" s="178"/>
      <c r="G407" s="48"/>
      <c r="H407" s="48"/>
      <c r="I407" s="41">
        <f>I6+I23+I94+I98+I158+I54+I62+I34+I44+I70+I100+I108+I78+I84+I89+I115+I163+I245+I168+I175+I123+I131+I137+I177+I184+I229+I143+I148+I153+I231+I233+I243+I195+I197+I204+I251+I211+I253+I268+I217+I274+I260+I276+I284+I291+I313+I320+I299+I307+I328+I334+I223+I190+I13+I346+I348+I350+I352+I340+I354+I362+I369+I374+I376+I380+I382+I378+I387+I389+I391+I393+I395+I397+I399+I401</f>
        <v>38901471</v>
      </c>
      <c r="J407" s="41"/>
      <c r="K407" s="41" t="e">
        <f>SUMPRODUCT((DateAF_LBU&lt;&gt;"")*MontantAF_LBU)</f>
        <v>#VALUE!</v>
      </c>
      <c r="L407" s="49"/>
      <c r="M407" s="50"/>
      <c r="N407" s="41">
        <f>N6+N13+N190+N23+N94+N98+N158+N54+N62+N34+N44+N70+N100+N108+N78+N84+N89+N115+N163+N245+N168+N175+N123+N131+N137+N177+N184+N229+N143+N148+N153+N231+N233+N243+N195+N197+N204+N251+N211+N253+N268+N217+N274+N260+N276+N284+N291+N313+N320+N299+N307+N328+N334+N223+N346+N348+N350+N352+N340+N354+N362+N369+N374+N376+N380+N382+N378+N387+N389+N391+N393+N395+N397+N399+N401</f>
        <v>26251558.5</v>
      </c>
      <c r="O407" s="85"/>
      <c r="P407" s="78"/>
      <c r="Q407" s="81">
        <f>Q6+Q23+Q94+Q98+Q158+Q54+Q62+Q34+Q44+Q70+Q100+Q108+Q78+Q84+Q89+Q115+Q163+Q245+Q168+Q175+Q123+Q131+Q137+Q177+Q184+Q229+Q143+Q148+Q153+Q231+Q233+Q243+Q195+Q197+Q204+Q251+Q211+Q253+Q268+Q217+Q274+Q260+Q276+Q284+Q291+Q313+Q320+Q299+Q307+Q328+Q334+Q223+Q346+Q348+Q350+Q352+Q340+Q354+Q362+Q369+Q374+Q376+Q380+Q382+Q378+Q387+Q13+Q190+Q389+Q391+Q393+Q395+Q397+Q399</f>
        <v>547917</v>
      </c>
      <c r="R407" s="81">
        <f>R6+R23+R94+R98+R158+R54+R62+R34+R44+R70+R100+R108+R78+R84+R89+R115+R163+R245+R168+R175+R123+R131+R137+R177+R184+R229+R143+R148+R153+R231+R233+R243+R195+R197+R204+R251+R211+R253+R268+R217+R274+R260+R276+R284+R291+R313+R320+R299+R307+R328+R334+R223+R346+R348+R350+R352+R340+R354+R362+R369+R374+R376+R380+R382+R378+R387+R13+R190+R389+R391+R393+R395+R397+R399</f>
        <v>12101990.5</v>
      </c>
      <c r="S407" s="81"/>
      <c r="T407" s="165">
        <f>I407-(N407+Q407+R407)</f>
        <v>5</v>
      </c>
    </row>
    <row r="408" spans="1:20" x14ac:dyDescent="0.2">
      <c r="A408" s="74"/>
      <c r="B408" s="75"/>
      <c r="C408" s="75"/>
      <c r="D408" s="75"/>
      <c r="E408" s="75"/>
      <c r="F408" s="179"/>
      <c r="G408" s="75"/>
      <c r="H408" s="75"/>
      <c r="I408" s="75"/>
      <c r="J408" s="75"/>
      <c r="K408" s="75"/>
      <c r="L408" s="74"/>
      <c r="M408" s="75"/>
      <c r="N408" s="75"/>
      <c r="O408" s="86"/>
      <c r="P408" s="79"/>
      <c r="Q408" s="1064">
        <f>SUM(Q407:R407)</f>
        <v>12649907.5</v>
      </c>
      <c r="R408" s="1065"/>
    </row>
    <row r="409" spans="1:20" ht="12.75" thickBot="1" x14ac:dyDescent="0.25">
      <c r="L409" s="90"/>
    </row>
    <row r="410" spans="1:20" ht="12.75" thickBot="1" x14ac:dyDescent="0.25">
      <c r="K410" s="740" t="s">
        <v>192</v>
      </c>
      <c r="L410" s="733"/>
      <c r="M410" s="734"/>
      <c r="N410" s="744" t="s">
        <v>194</v>
      </c>
    </row>
    <row r="411" spans="1:20" x14ac:dyDescent="0.2">
      <c r="J411" s="747">
        <v>2009</v>
      </c>
      <c r="K411" s="741" t="e">
        <f>SUMPRODUCT((YEAR($J$430:$J$510)=J411)*($K$430:$K$510))</f>
        <v>#VALUE!</v>
      </c>
      <c r="L411" s="519"/>
      <c r="M411" s="47"/>
      <c r="N411" s="741">
        <f t="shared" ref="N411:N418" si="69">SUMPRODUCT((YEAR($J$430:$J$510)=J411)*($N$430:$N$510))</f>
        <v>830071.5</v>
      </c>
    </row>
    <row r="412" spans="1:20" x14ac:dyDescent="0.2">
      <c r="J412" s="745">
        <v>2010</v>
      </c>
      <c r="K412" s="741" t="e">
        <f t="shared" ref="K411:K418" si="70">SUMPRODUCT((YEAR($J$430:$J$510)=J412)*($K$430:$K$510))</f>
        <v>#VALUE!</v>
      </c>
      <c r="L412" s="519"/>
      <c r="M412" s="47"/>
      <c r="N412" s="741">
        <f t="shared" si="69"/>
        <v>1071068.93</v>
      </c>
    </row>
    <row r="413" spans="1:20" x14ac:dyDescent="0.2">
      <c r="J413" s="745">
        <v>2011</v>
      </c>
      <c r="K413" s="741" t="e">
        <f t="shared" si="70"/>
        <v>#VALUE!</v>
      </c>
      <c r="L413" s="519"/>
      <c r="M413" s="47"/>
      <c r="N413" s="741">
        <f t="shared" si="69"/>
        <v>1745441.3800000001</v>
      </c>
    </row>
    <row r="414" spans="1:20" x14ac:dyDescent="0.2">
      <c r="F414" s="674"/>
      <c r="J414" s="746">
        <v>2012</v>
      </c>
      <c r="K414" s="741" t="e">
        <f t="shared" si="70"/>
        <v>#VALUE!</v>
      </c>
      <c r="L414" s="519"/>
      <c r="M414" s="47"/>
      <c r="N414" s="741">
        <f t="shared" si="69"/>
        <v>2192494.3899999997</v>
      </c>
      <c r="Q414" s="90"/>
    </row>
    <row r="415" spans="1:20" x14ac:dyDescent="0.2">
      <c r="J415" s="746">
        <v>2013</v>
      </c>
      <c r="K415" s="741" t="e">
        <f t="shared" si="70"/>
        <v>#VALUE!</v>
      </c>
      <c r="L415" s="519"/>
      <c r="M415" s="47"/>
      <c r="N415" s="741">
        <f t="shared" si="69"/>
        <v>3091587.22</v>
      </c>
    </row>
    <row r="416" spans="1:20" x14ac:dyDescent="0.2">
      <c r="J416" s="746">
        <v>2014</v>
      </c>
      <c r="K416" s="741" t="e">
        <f t="shared" si="70"/>
        <v>#VALUE!</v>
      </c>
      <c r="L416" s="519"/>
      <c r="M416" s="47"/>
      <c r="N416" s="741">
        <f t="shared" si="69"/>
        <v>1926685.98</v>
      </c>
    </row>
    <row r="417" spans="1:20" x14ac:dyDescent="0.2">
      <c r="J417" s="746">
        <v>2015</v>
      </c>
      <c r="K417" s="741" t="e">
        <f t="shared" si="70"/>
        <v>#VALUE!</v>
      </c>
      <c r="L417" s="519"/>
      <c r="M417" s="47"/>
      <c r="N417" s="741">
        <f t="shared" si="69"/>
        <v>3628789.28</v>
      </c>
    </row>
    <row r="418" spans="1:20" x14ac:dyDescent="0.2">
      <c r="A418" s="1"/>
      <c r="F418" s="1"/>
      <c r="J418" s="746">
        <v>2016</v>
      </c>
      <c r="K418" s="741" t="e">
        <f t="shared" si="70"/>
        <v>#VALUE!</v>
      </c>
      <c r="L418" s="519"/>
      <c r="M418" s="47"/>
      <c r="N418" s="741">
        <f t="shared" si="69"/>
        <v>2546228.35</v>
      </c>
      <c r="T418" s="1"/>
    </row>
    <row r="419" spans="1:20" x14ac:dyDescent="0.2">
      <c r="A419" s="1"/>
      <c r="F419" s="1"/>
      <c r="J419" s="746">
        <v>2017</v>
      </c>
      <c r="K419" s="741" t="e">
        <f>SUMPRODUCT((YEAR($J$430:$J$522)=J419)*($K$430:$K$522))</f>
        <v>#VALUE!</v>
      </c>
      <c r="L419" s="519"/>
      <c r="M419" s="47"/>
      <c r="N419" s="741">
        <f>SUMPRODUCT((YEAR($J$430:$J$522)=J419)*($N$430:$N$522))</f>
        <v>3620444.11</v>
      </c>
      <c r="T419" s="1"/>
    </row>
    <row r="420" spans="1:20" ht="12.75" thickBot="1" x14ac:dyDescent="0.25">
      <c r="A420" s="1"/>
      <c r="F420" s="1"/>
      <c r="J420" s="746">
        <v>2018</v>
      </c>
      <c r="K420" s="741" t="e">
        <f>SUMPRODUCT((YEAR($J$430:$J$534)=J420)*($K$430:$K$534))</f>
        <v>#VALUE!</v>
      </c>
      <c r="L420" s="519"/>
      <c r="M420" s="47"/>
      <c r="N420" s="741">
        <f>SUMPRODUCT((YEAR($J$430:$J$534)=J420)*($N$430:$N$534))</f>
        <v>4229192.16</v>
      </c>
      <c r="T420" s="1"/>
    </row>
    <row r="421" spans="1:20" ht="12.75" thickBot="1" x14ac:dyDescent="0.25">
      <c r="A421" s="1"/>
      <c r="F421" s="1"/>
      <c r="J421" s="748">
        <v>2019</v>
      </c>
      <c r="K421" s="742" t="e">
        <f>SUMPRODUCT((YEAR($J$430:$J$546)=J421)*($K$430:$K$546))</f>
        <v>#VALUE!</v>
      </c>
      <c r="L421" s="749"/>
      <c r="M421" s="750"/>
      <c r="N421" s="751">
        <f>SUMPRODUCT((YEAR($J$430:$J$546)=J421)*($N$430:$N$546))</f>
        <v>1369555.2</v>
      </c>
      <c r="T421" s="1"/>
    </row>
    <row r="422" spans="1:20" ht="12.75" thickBot="1" x14ac:dyDescent="0.25">
      <c r="A422" s="1"/>
      <c r="F422" s="1"/>
      <c r="I422" s="76"/>
      <c r="J422" s="76"/>
      <c r="K422" s="743" t="e">
        <f>SUM(K411:K421)</f>
        <v>#VALUE!</v>
      </c>
      <c r="L422" s="738"/>
      <c r="M422" s="739"/>
      <c r="N422" s="743">
        <f>SUM(N411:N421)</f>
        <v>26251558.5</v>
      </c>
      <c r="O422" s="1046" t="e">
        <f>N422-K422</f>
        <v>#VALUE!</v>
      </c>
      <c r="T422" s="1"/>
    </row>
    <row r="423" spans="1:20" x14ac:dyDescent="0.2">
      <c r="A423" s="1"/>
      <c r="F423" s="1"/>
      <c r="I423" s="76"/>
      <c r="J423" s="76"/>
      <c r="K423" s="90" t="e">
        <f>K422-K547</f>
        <v>#VALUE!</v>
      </c>
      <c r="N423" s="90">
        <f>N422-N547</f>
        <v>0</v>
      </c>
      <c r="T423" s="1"/>
    </row>
    <row r="424" spans="1:20" x14ac:dyDescent="0.2">
      <c r="A424" s="1"/>
      <c r="F424" s="1"/>
      <c r="K424" s="90"/>
      <c r="T424" s="1"/>
    </row>
    <row r="425" spans="1:20" x14ac:dyDescent="0.2">
      <c r="A425" s="1"/>
      <c r="F425" s="1"/>
      <c r="K425" s="90"/>
      <c r="T425" s="1"/>
    </row>
    <row r="426" spans="1:20" x14ac:dyDescent="0.2">
      <c r="A426" s="1"/>
      <c r="F426" s="1"/>
      <c r="K426" s="90"/>
      <c r="T426" s="1"/>
    </row>
    <row r="427" spans="1:20" x14ac:dyDescent="0.2">
      <c r="A427" s="1"/>
      <c r="F427" s="1"/>
      <c r="K427" s="90"/>
      <c r="T427" s="1"/>
    </row>
    <row r="428" spans="1:20" x14ac:dyDescent="0.2">
      <c r="A428" s="1"/>
      <c r="F428" s="1"/>
      <c r="T428" s="1"/>
    </row>
    <row r="429" spans="1:20" x14ac:dyDescent="0.2">
      <c r="A429" s="1"/>
      <c r="F429" s="1"/>
      <c r="K429" s="366" t="s">
        <v>192</v>
      </c>
      <c r="N429" s="367" t="s">
        <v>194</v>
      </c>
      <c r="T429" s="1"/>
    </row>
    <row r="430" spans="1:20" outlineLevel="1" x14ac:dyDescent="0.2">
      <c r="A430" s="1"/>
      <c r="F430" s="1"/>
      <c r="H430" s="90">
        <f>N24</f>
        <v>830071.5</v>
      </c>
      <c r="J430" s="375">
        <v>40026</v>
      </c>
      <c r="K430" s="370" t="e">
        <f t="shared" ref="K430:K461" si="71">SUMPRODUCT((DateAF_LBU&lt;&gt;"")*(MONTH(DateAF_LBU)=MONTH(J430))*(YEAR(DateAF_LBU)=YEAR(J430))*MontantAF_LBU)</f>
        <v>#VALUE!</v>
      </c>
      <c r="N430" s="370">
        <f t="shared" ref="N430:N461" si="72">SUMPRODUCT((DatePmt_LBU&lt;&gt;"")*(DatePmt_LBU&lt;&gt;"en attente")*(MONTH(DatePmt_LBU)=MONTH(J430))*(YEAR(DatePmt_LBU)=YEAR(J430))*(ISNUMBER(MtntPaye_LBU)),MtntPaye_LBU)</f>
        <v>830071.5</v>
      </c>
      <c r="Q430" s="90"/>
      <c r="T430" s="1"/>
    </row>
    <row r="431" spans="1:20" outlineLevel="1" x14ac:dyDescent="0.2">
      <c r="A431" s="1"/>
      <c r="F431" s="1"/>
      <c r="H431" s="90">
        <f>N25</f>
        <v>74153.05</v>
      </c>
      <c r="J431" s="375">
        <v>40299</v>
      </c>
      <c r="K431" s="370" t="e">
        <f t="shared" si="71"/>
        <v>#VALUE!</v>
      </c>
      <c r="N431" s="370">
        <f t="shared" si="72"/>
        <v>74153.05</v>
      </c>
      <c r="T431" s="1"/>
    </row>
    <row r="432" spans="1:20" outlineLevel="1" x14ac:dyDescent="0.2">
      <c r="A432" s="1"/>
      <c r="F432" s="1"/>
      <c r="H432" s="90">
        <f>N26</f>
        <v>89094.34</v>
      </c>
      <c r="J432" s="375">
        <v>40330</v>
      </c>
      <c r="K432" s="370" t="e">
        <f t="shared" si="71"/>
        <v>#VALUE!</v>
      </c>
      <c r="N432" s="370">
        <f t="shared" si="72"/>
        <v>89094.34</v>
      </c>
      <c r="T432" s="1"/>
    </row>
    <row r="433" spans="1:20" outlineLevel="1" x14ac:dyDescent="0.2">
      <c r="A433" s="1"/>
      <c r="F433" s="1"/>
      <c r="H433" s="90">
        <f>N27</f>
        <v>149966.26</v>
      </c>
      <c r="J433" s="375">
        <v>40360</v>
      </c>
      <c r="K433" s="370" t="e">
        <f t="shared" si="71"/>
        <v>#VALUE!</v>
      </c>
      <c r="N433" s="370">
        <f t="shared" si="72"/>
        <v>149966.26</v>
      </c>
      <c r="T433" s="1"/>
    </row>
    <row r="434" spans="1:20" outlineLevel="1" x14ac:dyDescent="0.2">
      <c r="A434" s="1"/>
      <c r="F434" s="1"/>
      <c r="H434" s="90">
        <f>N28</f>
        <v>177358.61000000002</v>
      </c>
      <c r="J434" s="375">
        <v>40391</v>
      </c>
      <c r="K434" s="370" t="e">
        <f t="shared" si="71"/>
        <v>#VALUE!</v>
      </c>
      <c r="N434" s="370">
        <f t="shared" si="72"/>
        <v>177358.61000000002</v>
      </c>
      <c r="O434" s="1"/>
      <c r="T434" s="1"/>
    </row>
    <row r="435" spans="1:20" outlineLevel="1" x14ac:dyDescent="0.2">
      <c r="A435" s="1"/>
      <c r="F435" s="1"/>
      <c r="H435" s="1">
        <f>0</f>
        <v>0</v>
      </c>
      <c r="J435" s="375">
        <v>40422</v>
      </c>
      <c r="K435" s="370" t="e">
        <f t="shared" si="71"/>
        <v>#VALUE!</v>
      </c>
      <c r="N435" s="370">
        <f t="shared" si="72"/>
        <v>0</v>
      </c>
      <c r="O435" s="1"/>
      <c r="T435" s="1"/>
    </row>
    <row r="436" spans="1:20" outlineLevel="1" x14ac:dyDescent="0.2">
      <c r="A436" s="1"/>
      <c r="F436" s="1"/>
      <c r="H436" s="1">
        <f>0</f>
        <v>0</v>
      </c>
      <c r="J436" s="375">
        <v>40452</v>
      </c>
      <c r="K436" s="370" t="e">
        <f t="shared" si="71"/>
        <v>#VALUE!</v>
      </c>
      <c r="N436" s="370">
        <f t="shared" si="72"/>
        <v>0</v>
      </c>
      <c r="O436" s="1"/>
      <c r="P436" s="1"/>
      <c r="T436" s="1"/>
    </row>
    <row r="437" spans="1:20" outlineLevel="1" x14ac:dyDescent="0.2">
      <c r="A437" s="1"/>
      <c r="F437" s="1"/>
      <c r="H437" s="90">
        <f>N29</f>
        <v>370488.57999999996</v>
      </c>
      <c r="J437" s="363">
        <v>40483</v>
      </c>
      <c r="K437" s="370" t="e">
        <f t="shared" si="71"/>
        <v>#VALUE!</v>
      </c>
      <c r="N437" s="370">
        <f t="shared" si="72"/>
        <v>370488.57999999996</v>
      </c>
      <c r="O437" s="1"/>
      <c r="P437" s="1"/>
      <c r="T437" s="1"/>
    </row>
    <row r="438" spans="1:20" outlineLevel="1" x14ac:dyDescent="0.2">
      <c r="A438" s="1"/>
      <c r="F438" s="1"/>
      <c r="H438" s="90">
        <f>N30</f>
        <v>210008.09</v>
      </c>
      <c r="J438" s="363">
        <v>40513</v>
      </c>
      <c r="K438" s="370" t="e">
        <f t="shared" si="71"/>
        <v>#VALUE!</v>
      </c>
      <c r="N438" s="370">
        <f t="shared" si="72"/>
        <v>210008.09</v>
      </c>
      <c r="O438" s="1"/>
      <c r="P438" s="1"/>
      <c r="T438" s="1"/>
    </row>
    <row r="439" spans="1:20" outlineLevel="1" x14ac:dyDescent="0.2">
      <c r="A439" s="1"/>
      <c r="F439" s="1"/>
      <c r="H439" s="1">
        <f>0</f>
        <v>0</v>
      </c>
      <c r="J439" s="363">
        <v>40544</v>
      </c>
      <c r="K439" s="370" t="e">
        <f t="shared" si="71"/>
        <v>#VALUE!</v>
      </c>
      <c r="N439" s="370">
        <f t="shared" si="72"/>
        <v>0</v>
      </c>
      <c r="O439" s="1"/>
      <c r="P439" s="1"/>
      <c r="T439" s="1"/>
    </row>
    <row r="440" spans="1:20" outlineLevel="1" x14ac:dyDescent="0.2">
      <c r="A440" s="1"/>
      <c r="F440" s="1"/>
      <c r="H440" s="1">
        <f>0</f>
        <v>0</v>
      </c>
      <c r="J440" s="363">
        <v>40575</v>
      </c>
      <c r="K440" s="370" t="e">
        <f t="shared" si="71"/>
        <v>#VALUE!</v>
      </c>
      <c r="N440" s="370">
        <f t="shared" si="72"/>
        <v>0</v>
      </c>
      <c r="O440" s="1"/>
      <c r="P440" s="1"/>
      <c r="T440" s="1"/>
    </row>
    <row r="441" spans="1:20" outlineLevel="1" x14ac:dyDescent="0.2">
      <c r="A441" s="1"/>
      <c r="F441" s="1"/>
      <c r="H441" s="90">
        <f>N7+N14</f>
        <v>677163.60000000009</v>
      </c>
      <c r="J441" s="363">
        <v>40603</v>
      </c>
      <c r="K441" s="370" t="e">
        <f t="shared" si="71"/>
        <v>#VALUE!</v>
      </c>
      <c r="N441" s="370">
        <f t="shared" si="72"/>
        <v>677163.60000000009</v>
      </c>
      <c r="O441" s="1"/>
      <c r="P441" s="1"/>
      <c r="T441" s="1"/>
    </row>
    <row r="442" spans="1:20" outlineLevel="1" x14ac:dyDescent="0.2">
      <c r="A442" s="1"/>
      <c r="F442" s="1"/>
      <c r="H442" s="1">
        <f>0</f>
        <v>0</v>
      </c>
      <c r="J442" s="363">
        <v>40634</v>
      </c>
      <c r="K442" s="370" t="e">
        <f t="shared" si="71"/>
        <v>#VALUE!</v>
      </c>
      <c r="N442" s="370">
        <f t="shared" si="72"/>
        <v>0</v>
      </c>
      <c r="O442" s="1"/>
      <c r="P442" s="1"/>
      <c r="T442" s="1"/>
    </row>
    <row r="443" spans="1:20" outlineLevel="1" x14ac:dyDescent="0.2">
      <c r="A443" s="1"/>
      <c r="F443" s="1"/>
      <c r="H443" s="90">
        <f>N31</f>
        <v>260919.13999999998</v>
      </c>
      <c r="J443" s="363">
        <v>40664</v>
      </c>
      <c r="K443" s="370" t="e">
        <f t="shared" si="71"/>
        <v>#VALUE!</v>
      </c>
      <c r="N443" s="370">
        <f t="shared" si="72"/>
        <v>260919.13999999998</v>
      </c>
      <c r="O443" s="1"/>
      <c r="P443" s="1"/>
      <c r="T443" s="1"/>
    </row>
    <row r="444" spans="1:20" outlineLevel="1" x14ac:dyDescent="0.2">
      <c r="A444" s="1"/>
      <c r="F444" s="1"/>
      <c r="H444" s="90">
        <f>N32</f>
        <v>51464.43</v>
      </c>
      <c r="J444" s="363">
        <v>40695</v>
      </c>
      <c r="K444" s="370" t="e">
        <f t="shared" si="71"/>
        <v>#VALUE!</v>
      </c>
      <c r="N444" s="370">
        <f t="shared" si="72"/>
        <v>51464.43</v>
      </c>
      <c r="O444" s="1"/>
      <c r="P444" s="1"/>
      <c r="T444" s="1"/>
    </row>
    <row r="445" spans="1:20" outlineLevel="1" x14ac:dyDescent="0.2">
      <c r="A445" s="1"/>
      <c r="F445" s="1"/>
      <c r="H445" s="1">
        <f>0</f>
        <v>0</v>
      </c>
      <c r="J445" s="363">
        <v>40725</v>
      </c>
      <c r="K445" s="370" t="e">
        <f t="shared" si="71"/>
        <v>#VALUE!</v>
      </c>
      <c r="N445" s="370">
        <f t="shared" si="72"/>
        <v>0</v>
      </c>
      <c r="O445" s="1"/>
      <c r="P445" s="1"/>
      <c r="T445" s="1"/>
    </row>
    <row r="446" spans="1:20" outlineLevel="1" x14ac:dyDescent="0.2">
      <c r="A446" s="1"/>
      <c r="F446" s="1"/>
      <c r="H446" s="90">
        <f>N8</f>
        <v>93435.17</v>
      </c>
      <c r="J446" s="363">
        <v>40756</v>
      </c>
      <c r="K446" s="370" t="e">
        <f t="shared" si="71"/>
        <v>#VALUE!</v>
      </c>
      <c r="N446" s="370">
        <f t="shared" si="72"/>
        <v>93435.17</v>
      </c>
      <c r="O446" s="1"/>
      <c r="P446" s="1"/>
      <c r="T446" s="1"/>
    </row>
    <row r="447" spans="1:20" outlineLevel="1" x14ac:dyDescent="0.2">
      <c r="A447" s="1"/>
      <c r="F447" s="1"/>
      <c r="H447" s="1">
        <f>0</f>
        <v>0</v>
      </c>
      <c r="J447" s="363">
        <v>40787</v>
      </c>
      <c r="K447" s="370" t="e">
        <f t="shared" si="71"/>
        <v>#VALUE!</v>
      </c>
      <c r="N447" s="370">
        <f t="shared" si="72"/>
        <v>0</v>
      </c>
      <c r="O447" s="1"/>
      <c r="P447" s="1"/>
      <c r="T447" s="1"/>
    </row>
    <row r="448" spans="1:20" outlineLevel="1" x14ac:dyDescent="0.2">
      <c r="A448" s="1"/>
      <c r="F448" s="1"/>
      <c r="H448" s="90">
        <f>N15+N45</f>
        <v>446113.99</v>
      </c>
      <c r="J448" s="363">
        <v>40817</v>
      </c>
      <c r="K448" s="370" t="e">
        <f t="shared" si="71"/>
        <v>#VALUE!</v>
      </c>
      <c r="N448" s="370">
        <f t="shared" si="72"/>
        <v>446113.99</v>
      </c>
      <c r="O448" s="1"/>
      <c r="P448" s="1"/>
      <c r="T448" s="1"/>
    </row>
    <row r="449" spans="1:20" outlineLevel="1" x14ac:dyDescent="0.2">
      <c r="A449" s="1"/>
      <c r="F449" s="1"/>
      <c r="H449" s="90">
        <f>N16+N17</f>
        <v>216345.05000000002</v>
      </c>
      <c r="J449" s="363">
        <v>40848</v>
      </c>
      <c r="K449" s="370" t="e">
        <f t="shared" si="71"/>
        <v>#VALUE!</v>
      </c>
      <c r="N449" s="370">
        <f t="shared" si="72"/>
        <v>216345.05000000002</v>
      </c>
      <c r="O449" s="1"/>
      <c r="P449" s="1"/>
      <c r="T449" s="1"/>
    </row>
    <row r="450" spans="1:20" outlineLevel="1" x14ac:dyDescent="0.2">
      <c r="A450" s="1"/>
      <c r="F450" s="1"/>
      <c r="H450" s="1">
        <f>0</f>
        <v>0</v>
      </c>
      <c r="J450" s="363">
        <v>40878</v>
      </c>
      <c r="K450" s="370" t="e">
        <f t="shared" si="71"/>
        <v>#VALUE!</v>
      </c>
      <c r="N450" s="370">
        <f t="shared" si="72"/>
        <v>0</v>
      </c>
      <c r="O450" s="1"/>
      <c r="P450" s="1"/>
      <c r="T450" s="1"/>
    </row>
    <row r="451" spans="1:20" outlineLevel="1" x14ac:dyDescent="0.2">
      <c r="A451" s="1"/>
      <c r="F451" s="1"/>
      <c r="H451" s="1">
        <f>0</f>
        <v>0</v>
      </c>
      <c r="J451" s="363">
        <v>40909</v>
      </c>
      <c r="K451" s="370" t="e">
        <f t="shared" si="71"/>
        <v>#VALUE!</v>
      </c>
      <c r="L451" s="371"/>
      <c r="M451" s="370"/>
      <c r="N451" s="370">
        <f t="shared" si="72"/>
        <v>0</v>
      </c>
      <c r="O451" s="1"/>
      <c r="P451" s="1"/>
      <c r="T451" s="1"/>
    </row>
    <row r="452" spans="1:20" outlineLevel="1" x14ac:dyDescent="0.2">
      <c r="A452" s="1"/>
      <c r="F452" s="1"/>
      <c r="H452" s="1">
        <f>0</f>
        <v>0</v>
      </c>
      <c r="J452" s="363">
        <v>40940</v>
      </c>
      <c r="K452" s="370" t="e">
        <f t="shared" si="71"/>
        <v>#VALUE!</v>
      </c>
      <c r="L452" s="371"/>
      <c r="M452" s="365"/>
      <c r="N452" s="370">
        <f t="shared" si="72"/>
        <v>0</v>
      </c>
      <c r="O452" s="1"/>
      <c r="P452" s="1"/>
      <c r="T452" s="1"/>
    </row>
    <row r="453" spans="1:20" outlineLevel="1" x14ac:dyDescent="0.2">
      <c r="A453" s="1"/>
      <c r="F453" s="1"/>
      <c r="H453" s="90">
        <f>N9+N10+N11+N18</f>
        <v>420055.37999999995</v>
      </c>
      <c r="J453" s="363">
        <v>40969</v>
      </c>
      <c r="K453" s="370" t="e">
        <f t="shared" si="71"/>
        <v>#VALUE!</v>
      </c>
      <c r="L453" s="371"/>
      <c r="M453" s="365"/>
      <c r="N453" s="370">
        <f t="shared" si="72"/>
        <v>420055.37999999995</v>
      </c>
      <c r="O453" s="1"/>
      <c r="P453" s="1"/>
      <c r="T453" s="1"/>
    </row>
    <row r="454" spans="1:20" outlineLevel="1" x14ac:dyDescent="0.2">
      <c r="A454" s="1"/>
      <c r="F454" s="1"/>
      <c r="H454" s="27">
        <f>N19+N55+N63+N191</f>
        <v>320889.28000000003</v>
      </c>
      <c r="J454" s="363">
        <v>41000</v>
      </c>
      <c r="K454" s="370" t="e">
        <f t="shared" si="71"/>
        <v>#VALUE!</v>
      </c>
      <c r="L454" s="371"/>
      <c r="M454" s="365"/>
      <c r="N454" s="370">
        <f t="shared" si="72"/>
        <v>320889.28000000003</v>
      </c>
      <c r="O454" s="1"/>
      <c r="P454" s="1"/>
      <c r="T454" s="1"/>
    </row>
    <row r="455" spans="1:20" outlineLevel="1" x14ac:dyDescent="0.2">
      <c r="A455" s="1"/>
      <c r="F455" s="1"/>
      <c r="H455" s="1">
        <f>0</f>
        <v>0</v>
      </c>
      <c r="J455" s="363">
        <v>41030</v>
      </c>
      <c r="K455" s="370" t="e">
        <f t="shared" si="71"/>
        <v>#VALUE!</v>
      </c>
      <c r="L455" s="371"/>
      <c r="M455" s="365"/>
      <c r="N455" s="370">
        <f t="shared" si="72"/>
        <v>0</v>
      </c>
      <c r="O455" s="1"/>
      <c r="P455" s="1"/>
      <c r="T455" s="1"/>
    </row>
    <row r="456" spans="1:20" outlineLevel="1" x14ac:dyDescent="0.2">
      <c r="A456" s="1"/>
      <c r="F456" s="1"/>
      <c r="H456" s="90">
        <f>N71</f>
        <v>186139.2</v>
      </c>
      <c r="J456" s="363">
        <v>41061</v>
      </c>
      <c r="K456" s="370" t="e">
        <f t="shared" si="71"/>
        <v>#VALUE!</v>
      </c>
      <c r="L456" s="371"/>
      <c r="M456" s="365"/>
      <c r="N456" s="370">
        <f t="shared" si="72"/>
        <v>186139.2</v>
      </c>
      <c r="O456" s="1"/>
      <c r="P456" s="1"/>
      <c r="T456" s="1"/>
    </row>
    <row r="457" spans="1:20" outlineLevel="1" x14ac:dyDescent="0.2">
      <c r="A457" s="1"/>
      <c r="F457" s="1"/>
      <c r="H457" s="90">
        <f>N20+N35+N79+N85+N90</f>
        <v>737074.52</v>
      </c>
      <c r="J457" s="363">
        <v>41091</v>
      </c>
      <c r="K457" s="370" t="e">
        <f t="shared" si="71"/>
        <v>#VALUE!</v>
      </c>
      <c r="L457" s="371"/>
      <c r="M457" s="365"/>
      <c r="N457" s="370">
        <f t="shared" si="72"/>
        <v>737074.52</v>
      </c>
      <c r="O457" s="1"/>
      <c r="P457" s="1"/>
      <c r="T457" s="1"/>
    </row>
    <row r="458" spans="1:20" outlineLevel="1" x14ac:dyDescent="0.2">
      <c r="A458" s="1"/>
      <c r="F458" s="1"/>
      <c r="H458" s="90">
        <f>N46+N47</f>
        <v>140880.65999999997</v>
      </c>
      <c r="J458" s="363">
        <v>41122</v>
      </c>
      <c r="K458" s="370" t="e">
        <f t="shared" si="71"/>
        <v>#VALUE!</v>
      </c>
      <c r="L458" s="371"/>
      <c r="M458" s="365"/>
      <c r="N458" s="370">
        <f t="shared" si="72"/>
        <v>140880.65999999997</v>
      </c>
      <c r="O458" s="1"/>
      <c r="P458" s="1"/>
      <c r="T458" s="1"/>
    </row>
    <row r="459" spans="1:20" outlineLevel="1" x14ac:dyDescent="0.2">
      <c r="A459" s="1"/>
      <c r="F459" s="1"/>
      <c r="H459" s="90">
        <f>N48</f>
        <v>98651.66</v>
      </c>
      <c r="J459" s="363">
        <v>41153</v>
      </c>
      <c r="K459" s="370" t="e">
        <f t="shared" si="71"/>
        <v>#VALUE!</v>
      </c>
      <c r="L459" s="371"/>
      <c r="M459" s="365"/>
      <c r="N459" s="370">
        <f t="shared" si="72"/>
        <v>98651.66</v>
      </c>
      <c r="O459" s="1"/>
      <c r="P459" s="1"/>
      <c r="T459" s="1"/>
    </row>
    <row r="460" spans="1:20" outlineLevel="1" x14ac:dyDescent="0.2">
      <c r="A460" s="1"/>
      <c r="F460" s="1"/>
      <c r="H460" s="90">
        <f>N21</f>
        <v>75678.009999999995</v>
      </c>
      <c r="J460" s="363">
        <v>41183</v>
      </c>
      <c r="K460" s="370" t="e">
        <f t="shared" si="71"/>
        <v>#VALUE!</v>
      </c>
      <c r="L460" s="371"/>
      <c r="M460" s="365"/>
      <c r="N460" s="370">
        <f t="shared" si="72"/>
        <v>75678.009999999995</v>
      </c>
      <c r="O460" s="1"/>
      <c r="P460" s="1"/>
      <c r="T460" s="1"/>
    </row>
    <row r="461" spans="1:20" outlineLevel="1" x14ac:dyDescent="0.2">
      <c r="A461" s="1"/>
      <c r="F461" s="1"/>
      <c r="H461" s="90">
        <f>N36+N49+N80</f>
        <v>213125.68</v>
      </c>
      <c r="J461" s="363">
        <v>41214</v>
      </c>
      <c r="K461" s="370" t="e">
        <f t="shared" si="71"/>
        <v>#VALUE!</v>
      </c>
      <c r="L461" s="371"/>
      <c r="M461" s="365"/>
      <c r="N461" s="370">
        <f t="shared" si="72"/>
        <v>213125.68</v>
      </c>
      <c r="O461" s="1"/>
      <c r="P461" s="1"/>
      <c r="T461" s="1"/>
    </row>
    <row r="462" spans="1:20" outlineLevel="1" x14ac:dyDescent="0.2">
      <c r="A462" s="1"/>
      <c r="F462" s="1"/>
      <c r="H462" s="1">
        <f>0</f>
        <v>0</v>
      </c>
      <c r="J462" s="363">
        <v>41244</v>
      </c>
      <c r="K462" s="370" t="e">
        <f t="shared" ref="K462:K493" si="73">SUMPRODUCT((DateAF_LBU&lt;&gt;"")*(MONTH(DateAF_LBU)=MONTH(J462))*(YEAR(DateAF_LBU)=YEAR(J462))*MontantAF_LBU)</f>
        <v>#VALUE!</v>
      </c>
      <c r="L462" s="371"/>
      <c r="M462" s="365"/>
      <c r="N462" s="370">
        <f t="shared" ref="N462:N493" si="74">SUMPRODUCT((DatePmt_LBU&lt;&gt;"")*(DatePmt_LBU&lt;&gt;"en attente")*(MONTH(DatePmt_LBU)=MONTH(J462))*(YEAR(DatePmt_LBU)=YEAR(J462))*(ISNUMBER(MtntPaye_LBU)),MtntPaye_LBU)</f>
        <v>0</v>
      </c>
      <c r="O462" s="1"/>
      <c r="P462" s="1"/>
      <c r="T462" s="1"/>
    </row>
    <row r="463" spans="1:20" outlineLevel="1" x14ac:dyDescent="0.2">
      <c r="A463" s="1"/>
      <c r="F463" s="1"/>
      <c r="H463" s="1">
        <f>0</f>
        <v>0</v>
      </c>
      <c r="J463" s="363">
        <v>41275</v>
      </c>
      <c r="K463" s="370" t="e">
        <f t="shared" si="73"/>
        <v>#VALUE!</v>
      </c>
      <c r="L463" s="371"/>
      <c r="M463" s="365"/>
      <c r="N463" s="370">
        <f t="shared" si="74"/>
        <v>0</v>
      </c>
      <c r="O463" s="1"/>
      <c r="P463" s="1"/>
      <c r="T463" s="1"/>
    </row>
    <row r="464" spans="1:20" outlineLevel="1" x14ac:dyDescent="0.2">
      <c r="A464" s="1"/>
      <c r="F464" s="1"/>
      <c r="H464" s="90">
        <f>N56+N64+N72</f>
        <v>81536.540000000008</v>
      </c>
      <c r="J464" s="363">
        <v>41306</v>
      </c>
      <c r="K464" s="370" t="e">
        <f t="shared" si="73"/>
        <v>#VALUE!</v>
      </c>
      <c r="L464" s="371"/>
      <c r="M464" s="365"/>
      <c r="N464" s="370">
        <f t="shared" si="74"/>
        <v>81536.540000000008</v>
      </c>
      <c r="O464" s="1"/>
      <c r="P464" s="1"/>
      <c r="T464" s="1"/>
    </row>
    <row r="465" spans="1:20" outlineLevel="1" x14ac:dyDescent="0.2">
      <c r="A465" s="1"/>
      <c r="F465" s="1"/>
      <c r="H465" s="1">
        <f>0</f>
        <v>0</v>
      </c>
      <c r="J465" s="363">
        <v>41334</v>
      </c>
      <c r="K465" s="370" t="e">
        <f t="shared" si="73"/>
        <v>#VALUE!</v>
      </c>
      <c r="L465" s="371"/>
      <c r="M465" s="365"/>
      <c r="N465" s="370">
        <f t="shared" si="74"/>
        <v>0</v>
      </c>
      <c r="O465" s="1"/>
      <c r="P465" s="1"/>
      <c r="T465" s="1"/>
    </row>
    <row r="466" spans="1:20" outlineLevel="1" x14ac:dyDescent="0.2">
      <c r="A466" s="1"/>
      <c r="F466" s="1"/>
      <c r="H466" s="90">
        <f>N37+N73+N95+N109</f>
        <v>273008.43000000005</v>
      </c>
      <c r="J466" s="363">
        <v>41365</v>
      </c>
      <c r="K466" s="370" t="e">
        <f t="shared" si="73"/>
        <v>#VALUE!</v>
      </c>
      <c r="L466" s="371"/>
      <c r="M466" s="365"/>
      <c r="N466" s="370">
        <f t="shared" si="74"/>
        <v>273008.43000000005</v>
      </c>
      <c r="O466" s="1"/>
      <c r="P466" s="1"/>
      <c r="T466" s="1"/>
    </row>
    <row r="467" spans="1:20" outlineLevel="1" x14ac:dyDescent="0.2">
      <c r="A467" s="1"/>
      <c r="F467" s="1"/>
      <c r="H467" s="90">
        <f>N38+N57+N65+N74+N86+N91+N101+N132</f>
        <v>516931.51</v>
      </c>
      <c r="J467" s="363">
        <v>41395</v>
      </c>
      <c r="K467" s="370" t="e">
        <f t="shared" si="73"/>
        <v>#VALUE!</v>
      </c>
      <c r="L467" s="371"/>
      <c r="M467" s="365"/>
      <c r="N467" s="370">
        <f t="shared" si="74"/>
        <v>516931.51</v>
      </c>
      <c r="O467" s="1"/>
      <c r="P467" s="1"/>
      <c r="T467" s="1"/>
    </row>
    <row r="468" spans="1:20" outlineLevel="1" x14ac:dyDescent="0.2">
      <c r="A468" s="1"/>
      <c r="F468" s="1"/>
      <c r="H468" s="90">
        <f>N39+N50+N51+N81+N124+N138+N192+N193</f>
        <v>855000.56</v>
      </c>
      <c r="J468" s="363">
        <v>41426</v>
      </c>
      <c r="K468" s="370" t="e">
        <f t="shared" si="73"/>
        <v>#VALUE!</v>
      </c>
      <c r="L468" s="371"/>
      <c r="M468" s="365"/>
      <c r="N468" s="370">
        <f t="shared" si="74"/>
        <v>855000.56</v>
      </c>
      <c r="O468" s="1"/>
      <c r="P468" s="1"/>
      <c r="T468" s="1"/>
    </row>
    <row r="469" spans="1:20" outlineLevel="1" x14ac:dyDescent="0.2">
      <c r="A469" s="1"/>
      <c r="F469" s="1"/>
      <c r="H469" s="90">
        <f>N40+N75</f>
        <v>157022.24</v>
      </c>
      <c r="J469" s="363">
        <v>41456</v>
      </c>
      <c r="K469" s="370" t="e">
        <f t="shared" si="73"/>
        <v>#VALUE!</v>
      </c>
      <c r="L469" s="371"/>
      <c r="M469" s="365"/>
      <c r="N469" s="370">
        <f t="shared" si="74"/>
        <v>157022.24</v>
      </c>
      <c r="O469" s="1"/>
      <c r="P469" s="1"/>
      <c r="T469" s="1"/>
    </row>
    <row r="470" spans="1:20" outlineLevel="1" x14ac:dyDescent="0.2">
      <c r="A470" s="1"/>
      <c r="F470" s="1"/>
      <c r="H470" s="90">
        <f>N52+N87+N92</f>
        <v>170512.37</v>
      </c>
      <c r="J470" s="363">
        <v>41487</v>
      </c>
      <c r="K470" s="370" t="e">
        <f t="shared" si="73"/>
        <v>#VALUE!</v>
      </c>
      <c r="L470" s="371"/>
      <c r="M470" s="365"/>
      <c r="N470" s="370">
        <f t="shared" si="74"/>
        <v>170512.37</v>
      </c>
      <c r="O470" s="1"/>
      <c r="P470" s="1"/>
      <c r="T470" s="1"/>
    </row>
    <row r="471" spans="1:20" outlineLevel="1" x14ac:dyDescent="0.2">
      <c r="A471" s="1"/>
      <c r="F471" s="1"/>
      <c r="H471" s="90">
        <f>N41+N58+N66+N76+N82+N116+N144</f>
        <v>675360.70000000007</v>
      </c>
      <c r="J471" s="363">
        <v>41518</v>
      </c>
      <c r="K471" s="370" t="e">
        <f t="shared" si="73"/>
        <v>#VALUE!</v>
      </c>
      <c r="L471" s="371"/>
      <c r="M471" s="365"/>
      <c r="N471" s="370">
        <f t="shared" si="74"/>
        <v>675360.70000000007</v>
      </c>
      <c r="O471" s="1"/>
      <c r="P471" s="1"/>
      <c r="T471" s="1"/>
    </row>
    <row r="472" spans="1:20" outlineLevel="1" x14ac:dyDescent="0.2">
      <c r="A472" s="1"/>
      <c r="F472" s="1"/>
      <c r="H472" s="90">
        <f>N154</f>
        <v>49500</v>
      </c>
      <c r="J472" s="363">
        <v>41548</v>
      </c>
      <c r="K472" s="370" t="e">
        <f t="shared" si="73"/>
        <v>#VALUE!</v>
      </c>
      <c r="L472" s="371"/>
      <c r="M472" s="365"/>
      <c r="N472" s="370">
        <f t="shared" si="74"/>
        <v>49500</v>
      </c>
      <c r="O472" s="1"/>
      <c r="P472" s="1"/>
      <c r="T472" s="1"/>
    </row>
    <row r="473" spans="1:20" outlineLevel="1" x14ac:dyDescent="0.2">
      <c r="A473" s="1"/>
      <c r="F473" s="1"/>
      <c r="H473" s="90">
        <f>N42+N59+N67</f>
        <v>139037.37</v>
      </c>
      <c r="J473" s="363">
        <v>41579</v>
      </c>
      <c r="K473" s="370" t="e">
        <f t="shared" si="73"/>
        <v>#VALUE!</v>
      </c>
      <c r="L473" s="371"/>
      <c r="M473" s="365"/>
      <c r="N473" s="370">
        <f t="shared" si="74"/>
        <v>139037.37</v>
      </c>
      <c r="O473" s="1"/>
      <c r="P473" s="1"/>
      <c r="T473" s="1"/>
    </row>
    <row r="474" spans="1:20" outlineLevel="1" x14ac:dyDescent="0.2">
      <c r="A474" s="1"/>
      <c r="F474" s="1"/>
      <c r="H474" s="90">
        <f>N125+N149</f>
        <v>173677.5</v>
      </c>
      <c r="J474" s="363">
        <v>41609</v>
      </c>
      <c r="K474" s="370" t="e">
        <f t="shared" si="73"/>
        <v>#VALUE!</v>
      </c>
      <c r="L474" s="371"/>
      <c r="M474" s="365"/>
      <c r="N474" s="370">
        <f t="shared" si="74"/>
        <v>173677.5</v>
      </c>
      <c r="O474" s="1"/>
      <c r="P474" s="1"/>
      <c r="T474" s="1"/>
    </row>
    <row r="475" spans="1:20" outlineLevel="1" x14ac:dyDescent="0.2">
      <c r="A475" s="1"/>
      <c r="F475" s="1"/>
      <c r="H475" s="1">
        <f>0</f>
        <v>0</v>
      </c>
      <c r="J475" s="363">
        <v>41640</v>
      </c>
      <c r="K475" s="370" t="e">
        <f t="shared" si="73"/>
        <v>#VALUE!</v>
      </c>
      <c r="L475" s="371"/>
      <c r="M475" s="365"/>
      <c r="N475" s="370">
        <f t="shared" si="74"/>
        <v>0</v>
      </c>
      <c r="O475" s="1"/>
      <c r="P475" s="1"/>
      <c r="T475" s="1"/>
    </row>
    <row r="476" spans="1:20" outlineLevel="1" x14ac:dyDescent="0.2">
      <c r="A476" s="1"/>
      <c r="F476" s="1"/>
      <c r="H476" s="90">
        <f>N126+N133</f>
        <v>106271.81</v>
      </c>
      <c r="J476" s="363">
        <v>41671</v>
      </c>
      <c r="K476" s="370" t="e">
        <f t="shared" si="73"/>
        <v>#VALUE!</v>
      </c>
      <c r="L476" s="371"/>
      <c r="M476" s="365"/>
      <c r="N476" s="370">
        <f t="shared" si="74"/>
        <v>106271.81</v>
      </c>
      <c r="O476" s="1"/>
      <c r="P476" s="1"/>
      <c r="T476" s="1"/>
    </row>
    <row r="477" spans="1:20" outlineLevel="1" x14ac:dyDescent="0.2">
      <c r="A477" s="1"/>
      <c r="F477" s="1"/>
      <c r="H477" s="90">
        <f>N134</f>
        <v>9583.869999999999</v>
      </c>
      <c r="J477" s="363">
        <v>41699</v>
      </c>
      <c r="K477" s="370" t="e">
        <f t="shared" si="73"/>
        <v>#VALUE!</v>
      </c>
      <c r="L477" s="371"/>
      <c r="M477" s="365"/>
      <c r="N477" s="370">
        <f t="shared" si="74"/>
        <v>9583.869999999999</v>
      </c>
      <c r="O477" s="1"/>
      <c r="P477" s="1"/>
      <c r="T477" s="1"/>
    </row>
    <row r="478" spans="1:20" outlineLevel="1" x14ac:dyDescent="0.2">
      <c r="A478" s="1"/>
      <c r="F478" s="1"/>
      <c r="H478" s="90">
        <f>N102+N103+N117+N127+N145</f>
        <v>233592.12</v>
      </c>
      <c r="J478" s="363">
        <v>41730</v>
      </c>
      <c r="K478" s="370" t="e">
        <f t="shared" si="73"/>
        <v>#VALUE!</v>
      </c>
      <c r="L478" s="371"/>
      <c r="M478" s="365"/>
      <c r="N478" s="370">
        <f t="shared" si="74"/>
        <v>233592.12</v>
      </c>
      <c r="O478" s="1"/>
      <c r="P478" s="1"/>
      <c r="T478" s="1"/>
    </row>
    <row r="479" spans="1:20" outlineLevel="1" x14ac:dyDescent="0.2">
      <c r="A479" s="1"/>
      <c r="F479" s="1"/>
      <c r="H479" s="90">
        <f>N178</f>
        <v>204000</v>
      </c>
      <c r="J479" s="363">
        <v>41760</v>
      </c>
      <c r="K479" s="370" t="e">
        <f t="shared" si="73"/>
        <v>#VALUE!</v>
      </c>
      <c r="L479" s="371"/>
      <c r="M479" s="365"/>
      <c r="N479" s="370">
        <f t="shared" si="74"/>
        <v>204000</v>
      </c>
      <c r="O479" s="1"/>
      <c r="P479" s="1"/>
      <c r="T479" s="1"/>
    </row>
    <row r="480" spans="1:20" outlineLevel="1" x14ac:dyDescent="0.2">
      <c r="A480" s="1"/>
      <c r="F480" s="1"/>
      <c r="H480" s="90">
        <f>N118+N128+N135+N198</f>
        <v>281903.12</v>
      </c>
      <c r="J480" s="363">
        <v>41791</v>
      </c>
      <c r="K480" s="370" t="e">
        <f t="shared" si="73"/>
        <v>#VALUE!</v>
      </c>
      <c r="L480" s="371"/>
      <c r="M480" s="365"/>
      <c r="N480" s="370">
        <f t="shared" si="74"/>
        <v>281903.12</v>
      </c>
      <c r="O480" s="1"/>
      <c r="P480" s="1"/>
      <c r="T480" s="1"/>
    </row>
    <row r="481" spans="1:20" outlineLevel="1" x14ac:dyDescent="0.2">
      <c r="A481" s="1"/>
      <c r="F481" s="1"/>
      <c r="H481" s="90">
        <f>N129</f>
        <v>40244.1</v>
      </c>
      <c r="J481" s="363">
        <v>41821</v>
      </c>
      <c r="K481" s="370" t="e">
        <f t="shared" si="73"/>
        <v>#VALUE!</v>
      </c>
      <c r="L481" s="371"/>
      <c r="M481" s="365"/>
      <c r="N481" s="370">
        <f t="shared" si="74"/>
        <v>40244.1</v>
      </c>
      <c r="O481" s="1"/>
      <c r="P481" s="1"/>
      <c r="T481" s="1"/>
    </row>
    <row r="482" spans="1:20" outlineLevel="1" x14ac:dyDescent="0.2">
      <c r="A482" s="1"/>
      <c r="F482" s="1"/>
      <c r="H482" s="90">
        <f>N60+N68+N104+N169</f>
        <v>270614.68</v>
      </c>
      <c r="J482" s="363">
        <v>41852</v>
      </c>
      <c r="K482" s="370" t="e">
        <f t="shared" si="73"/>
        <v>#VALUE!</v>
      </c>
      <c r="L482" s="371"/>
      <c r="M482" s="365"/>
      <c r="N482" s="370">
        <f t="shared" si="74"/>
        <v>270614.68</v>
      </c>
      <c r="O482" s="1"/>
      <c r="P482" s="1"/>
      <c r="T482" s="1"/>
    </row>
    <row r="483" spans="1:20" outlineLevel="1" x14ac:dyDescent="0.2">
      <c r="A483" s="1"/>
      <c r="F483" s="1"/>
      <c r="H483" s="90">
        <f>N119+N146</f>
        <v>139970.98000000001</v>
      </c>
      <c r="J483" s="363">
        <v>41883</v>
      </c>
      <c r="K483" s="370" t="e">
        <f t="shared" si="73"/>
        <v>#VALUE!</v>
      </c>
      <c r="L483" s="371"/>
      <c r="M483" s="365"/>
      <c r="N483" s="370">
        <f t="shared" si="74"/>
        <v>139970.98000000001</v>
      </c>
      <c r="O483" s="1"/>
      <c r="P483" s="1"/>
      <c r="T483" s="1"/>
    </row>
    <row r="484" spans="1:20" outlineLevel="1" x14ac:dyDescent="0.2">
      <c r="A484" s="1"/>
      <c r="F484" s="1"/>
      <c r="H484" s="90">
        <f>N105+N110+N120+N139+N155</f>
        <v>315005.30000000005</v>
      </c>
      <c r="J484" s="363">
        <v>41913</v>
      </c>
      <c r="K484" s="370" t="e">
        <f t="shared" si="73"/>
        <v>#VALUE!</v>
      </c>
      <c r="L484" s="371"/>
      <c r="M484" s="365"/>
      <c r="N484" s="370">
        <f t="shared" si="74"/>
        <v>315005.30000000005</v>
      </c>
      <c r="O484" s="1"/>
      <c r="P484" s="1"/>
      <c r="T484" s="1"/>
    </row>
    <row r="485" spans="1:20" outlineLevel="1" x14ac:dyDescent="0.2">
      <c r="A485" s="1"/>
      <c r="F485" s="1"/>
      <c r="H485" s="90">
        <f>N164</f>
        <v>67500</v>
      </c>
      <c r="J485" s="363">
        <v>41944</v>
      </c>
      <c r="K485" s="370" t="e">
        <f t="shared" si="73"/>
        <v>#VALUE!</v>
      </c>
      <c r="L485" s="371"/>
      <c r="M485" s="365"/>
      <c r="N485" s="370">
        <f t="shared" si="74"/>
        <v>67500</v>
      </c>
      <c r="O485" s="1"/>
      <c r="P485" s="1"/>
      <c r="T485" s="1"/>
    </row>
    <row r="486" spans="1:20" outlineLevel="1" x14ac:dyDescent="0.2">
      <c r="A486" s="1"/>
      <c r="F486" s="1"/>
      <c r="H486" s="90">
        <f>N159+N205</f>
        <v>258000</v>
      </c>
      <c r="J486" s="363">
        <v>41974</v>
      </c>
      <c r="K486" s="370" t="e">
        <f t="shared" si="73"/>
        <v>#VALUE!</v>
      </c>
      <c r="L486" s="371"/>
      <c r="M486" s="365"/>
      <c r="N486" s="370">
        <f t="shared" si="74"/>
        <v>258000</v>
      </c>
      <c r="O486" s="1"/>
      <c r="P486" s="1"/>
      <c r="T486" s="1"/>
    </row>
    <row r="487" spans="1:20" outlineLevel="1" x14ac:dyDescent="0.2">
      <c r="A487" s="1"/>
      <c r="F487" s="1"/>
      <c r="H487" s="1">
        <f>0</f>
        <v>0</v>
      </c>
      <c r="J487" s="363">
        <v>42005</v>
      </c>
      <c r="K487" s="370" t="e">
        <f t="shared" si="73"/>
        <v>#VALUE!</v>
      </c>
      <c r="L487" s="371"/>
      <c r="M487" s="365"/>
      <c r="N487" s="370">
        <f t="shared" si="74"/>
        <v>0</v>
      </c>
      <c r="O487" s="1"/>
      <c r="P487" s="1"/>
      <c r="T487" s="1"/>
    </row>
    <row r="488" spans="1:20" outlineLevel="1" x14ac:dyDescent="0.2">
      <c r="A488" s="1"/>
      <c r="F488" s="1"/>
      <c r="H488" s="1">
        <v>0</v>
      </c>
      <c r="J488" s="363">
        <v>42036</v>
      </c>
      <c r="K488" s="370" t="e">
        <f t="shared" si="73"/>
        <v>#VALUE!</v>
      </c>
      <c r="L488" s="371"/>
      <c r="M488" s="365"/>
      <c r="N488" s="370">
        <f t="shared" si="74"/>
        <v>0</v>
      </c>
      <c r="O488" s="1"/>
      <c r="P488" s="1"/>
      <c r="T488" s="1"/>
    </row>
    <row r="489" spans="1:20" outlineLevel="1" x14ac:dyDescent="0.2">
      <c r="A489" s="1"/>
      <c r="F489" s="1"/>
      <c r="H489" s="1">
        <v>0</v>
      </c>
      <c r="J489" s="363">
        <v>42064</v>
      </c>
      <c r="K489" s="370" t="e">
        <f t="shared" si="73"/>
        <v>#VALUE!</v>
      </c>
      <c r="L489" s="371"/>
      <c r="M489" s="365"/>
      <c r="N489" s="370">
        <f t="shared" si="74"/>
        <v>0</v>
      </c>
      <c r="O489" s="1"/>
      <c r="P489" s="1"/>
      <c r="T489" s="1"/>
    </row>
    <row r="490" spans="1:20" outlineLevel="1" x14ac:dyDescent="0.2">
      <c r="A490" s="1"/>
      <c r="F490" s="1"/>
      <c r="H490" s="1">
        <v>0</v>
      </c>
      <c r="J490" s="363">
        <v>42095</v>
      </c>
      <c r="K490" s="370" t="e">
        <f t="shared" si="73"/>
        <v>#VALUE!</v>
      </c>
      <c r="L490" s="371"/>
      <c r="M490" s="365"/>
      <c r="N490" s="370">
        <f t="shared" si="74"/>
        <v>0</v>
      </c>
      <c r="O490" s="1"/>
      <c r="P490" s="1"/>
      <c r="T490" s="1"/>
    </row>
    <row r="491" spans="1:20" outlineLevel="1" x14ac:dyDescent="0.2">
      <c r="A491" s="1"/>
      <c r="F491" s="1"/>
      <c r="H491" s="90">
        <f>N22+N194</f>
        <v>332957</v>
      </c>
      <c r="J491" s="363">
        <v>42125</v>
      </c>
      <c r="K491" s="370" t="e">
        <f t="shared" si="73"/>
        <v>#VALUE!</v>
      </c>
      <c r="L491" s="371"/>
      <c r="M491" s="365"/>
      <c r="N491" s="370">
        <f t="shared" si="74"/>
        <v>332957</v>
      </c>
      <c r="O491" s="1"/>
      <c r="P491" s="1"/>
      <c r="T491" s="1"/>
    </row>
    <row r="492" spans="1:20" outlineLevel="1" x14ac:dyDescent="0.2">
      <c r="A492" s="1"/>
      <c r="F492" s="1"/>
      <c r="H492" s="1">
        <f>0</f>
        <v>0</v>
      </c>
      <c r="J492" s="363">
        <v>42156</v>
      </c>
      <c r="K492" s="370" t="e">
        <f t="shared" si="73"/>
        <v>#VALUE!</v>
      </c>
      <c r="L492" s="371"/>
      <c r="M492" s="365"/>
      <c r="N492" s="370">
        <f t="shared" si="74"/>
        <v>0</v>
      </c>
      <c r="O492" s="1"/>
      <c r="P492" s="1"/>
      <c r="T492" s="1"/>
    </row>
    <row r="493" spans="1:20" outlineLevel="1" x14ac:dyDescent="0.2">
      <c r="A493" s="1"/>
      <c r="F493" s="1"/>
      <c r="H493" s="1">
        <v>0</v>
      </c>
      <c r="J493" s="363">
        <v>42186</v>
      </c>
      <c r="K493" s="370" t="e">
        <f t="shared" si="73"/>
        <v>#VALUE!</v>
      </c>
      <c r="L493" s="371"/>
      <c r="M493" s="365"/>
      <c r="N493" s="370">
        <f t="shared" si="74"/>
        <v>0</v>
      </c>
      <c r="O493" s="1"/>
      <c r="P493" s="1"/>
      <c r="T493" s="1"/>
    </row>
    <row r="494" spans="1:20" outlineLevel="1" x14ac:dyDescent="0.2">
      <c r="A494" s="1"/>
      <c r="F494" s="1"/>
      <c r="H494" s="90">
        <f>N33+N150+N156+N160+N165+N170+N179+N234+N199+N218+N206</f>
        <v>1659053.6</v>
      </c>
      <c r="J494" s="363">
        <v>42217</v>
      </c>
      <c r="K494" s="370" t="e">
        <f t="shared" ref="K494:K525" si="75">SUMPRODUCT((DateAF_LBU&lt;&gt;"")*(MONTH(DateAF_LBU)=MONTH(J494))*(YEAR(DateAF_LBU)=YEAR(J494))*MontantAF_LBU)</f>
        <v>#VALUE!</v>
      </c>
      <c r="L494" s="371"/>
      <c r="M494" s="365"/>
      <c r="N494" s="370">
        <f t="shared" ref="N494:N525" si="76">SUMPRODUCT((DatePmt_LBU&lt;&gt;"")*(DatePmt_LBU&lt;&gt;"en attente")*(MONTH(DatePmt_LBU)=MONTH(J494))*(YEAR(DatePmt_LBU)=YEAR(J494))*(ISNUMBER(MtntPaye_LBU)),MtntPaye_LBU)</f>
        <v>1659053.6</v>
      </c>
      <c r="O494" s="1"/>
      <c r="P494" s="1"/>
      <c r="T494" s="1"/>
    </row>
    <row r="495" spans="1:20" outlineLevel="1" x14ac:dyDescent="0.2">
      <c r="A495" s="1"/>
      <c r="F495" s="1"/>
      <c r="H495" s="90">
        <f>N12</f>
        <v>166402.79999999999</v>
      </c>
      <c r="J495" s="363">
        <v>42248</v>
      </c>
      <c r="K495" s="370" t="e">
        <f t="shared" si="75"/>
        <v>#VALUE!</v>
      </c>
      <c r="L495" s="371"/>
      <c r="M495" s="365"/>
      <c r="N495" s="370">
        <f t="shared" si="76"/>
        <v>166402.79999999999</v>
      </c>
      <c r="O495" s="1"/>
      <c r="P495" s="1"/>
      <c r="T495" s="1"/>
    </row>
    <row r="496" spans="1:20" outlineLevel="1" x14ac:dyDescent="0.2">
      <c r="A496" s="1"/>
      <c r="F496" s="1"/>
      <c r="H496" s="90">
        <f>N106+N111+N140</f>
        <v>348312.28</v>
      </c>
      <c r="J496" s="363">
        <v>42278</v>
      </c>
      <c r="K496" s="370" t="e">
        <f t="shared" si="75"/>
        <v>#VALUE!</v>
      </c>
      <c r="L496" s="371"/>
      <c r="M496" s="365"/>
      <c r="N496" s="370">
        <f t="shared" si="76"/>
        <v>348312.28</v>
      </c>
      <c r="O496" s="1"/>
      <c r="P496" s="1"/>
      <c r="T496" s="1"/>
    </row>
    <row r="497" spans="1:20" outlineLevel="1" x14ac:dyDescent="0.2">
      <c r="A497" s="1"/>
      <c r="F497" s="1"/>
      <c r="H497" s="90">
        <f>N43+N83+N88+N121+N219+N93</f>
        <v>935973.6</v>
      </c>
      <c r="J497" s="363">
        <v>42309</v>
      </c>
      <c r="K497" s="370" t="e">
        <f t="shared" si="75"/>
        <v>#VALUE!</v>
      </c>
      <c r="L497" s="371"/>
      <c r="M497" s="365"/>
      <c r="N497" s="370">
        <f t="shared" si="76"/>
        <v>935973.6</v>
      </c>
      <c r="O497" s="1"/>
      <c r="P497" s="1"/>
      <c r="T497" s="1"/>
    </row>
    <row r="498" spans="1:20" outlineLevel="1" x14ac:dyDescent="0.2">
      <c r="A498" s="1"/>
      <c r="F498" s="1"/>
      <c r="H498" s="90">
        <f>N161+N171</f>
        <v>186090</v>
      </c>
      <c r="J498" s="363">
        <v>42339</v>
      </c>
      <c r="K498" s="370" t="e">
        <f t="shared" si="75"/>
        <v>#VALUE!</v>
      </c>
      <c r="L498" s="371"/>
      <c r="M498" s="365"/>
      <c r="N498" s="370">
        <f t="shared" si="76"/>
        <v>186090</v>
      </c>
      <c r="O498" s="1"/>
      <c r="P498" s="1"/>
      <c r="T498" s="1"/>
    </row>
    <row r="499" spans="1:20" outlineLevel="1" x14ac:dyDescent="0.2">
      <c r="A499" s="1"/>
      <c r="F499" s="1"/>
      <c r="H499" s="90">
        <f>N200+N207</f>
        <v>183146.4</v>
      </c>
      <c r="J499" s="363">
        <v>42370</v>
      </c>
      <c r="K499" s="370" t="e">
        <f t="shared" si="75"/>
        <v>#VALUE!</v>
      </c>
      <c r="L499" s="371"/>
      <c r="M499" s="365"/>
      <c r="N499" s="370">
        <f t="shared" si="76"/>
        <v>183146.4</v>
      </c>
      <c r="O499" s="1"/>
      <c r="P499" s="1"/>
      <c r="T499" s="1"/>
    </row>
    <row r="500" spans="1:20" outlineLevel="1" x14ac:dyDescent="0.2">
      <c r="A500" s="1"/>
      <c r="F500" s="1"/>
      <c r="H500" s="90">
        <f>N220</f>
        <v>107887</v>
      </c>
      <c r="J500" s="363">
        <v>42401</v>
      </c>
      <c r="K500" s="370" t="e">
        <f t="shared" si="75"/>
        <v>#VALUE!</v>
      </c>
      <c r="L500" s="371"/>
      <c r="M500" s="365"/>
      <c r="N500" s="370">
        <f t="shared" si="76"/>
        <v>107887</v>
      </c>
      <c r="O500" s="1"/>
      <c r="P500" s="1"/>
      <c r="T500" s="1"/>
    </row>
    <row r="501" spans="1:20" outlineLevel="1" x14ac:dyDescent="0.2">
      <c r="A501" s="1"/>
      <c r="F501" s="1"/>
      <c r="H501" s="90">
        <f>N141+N151+N166+N180+N185+N269</f>
        <v>711310.84000000008</v>
      </c>
      <c r="J501" s="363">
        <v>42430</v>
      </c>
      <c r="K501" s="370" t="e">
        <f t="shared" si="75"/>
        <v>#VALUE!</v>
      </c>
      <c r="L501" s="371"/>
      <c r="M501" s="365"/>
      <c r="N501" s="370">
        <f t="shared" si="76"/>
        <v>711310.84000000008</v>
      </c>
      <c r="O501" s="1"/>
      <c r="P501" s="1"/>
      <c r="T501" s="1"/>
    </row>
    <row r="502" spans="1:20" outlineLevel="1" x14ac:dyDescent="0.2">
      <c r="A502" s="1"/>
      <c r="F502" s="1"/>
      <c r="H502" s="90">
        <f>N172+N201+N208+N221</f>
        <v>328223.40000000002</v>
      </c>
      <c r="J502" s="363">
        <v>42461</v>
      </c>
      <c r="K502" s="370" t="e">
        <f t="shared" si="75"/>
        <v>#VALUE!</v>
      </c>
      <c r="L502" s="371"/>
      <c r="M502" s="365"/>
      <c r="N502" s="370">
        <f t="shared" si="76"/>
        <v>328223.40000000002</v>
      </c>
      <c r="O502" s="1"/>
      <c r="P502" s="1"/>
      <c r="T502" s="1"/>
    </row>
    <row r="503" spans="1:20" outlineLevel="1" x14ac:dyDescent="0.2">
      <c r="A503" s="1"/>
      <c r="F503" s="1"/>
      <c r="H503" s="90">
        <f>N69++N61</f>
        <v>99879.6</v>
      </c>
      <c r="J503" s="363">
        <v>42491</v>
      </c>
      <c r="K503" s="370" t="e">
        <f t="shared" si="75"/>
        <v>#VALUE!</v>
      </c>
      <c r="L503" s="371"/>
      <c r="M503" s="365"/>
      <c r="N503" s="370">
        <f t="shared" si="76"/>
        <v>99879.6</v>
      </c>
      <c r="O503" s="1"/>
      <c r="P503" s="1"/>
      <c r="T503" s="1"/>
    </row>
    <row r="504" spans="1:20" outlineLevel="1" x14ac:dyDescent="0.2">
      <c r="A504" s="1"/>
      <c r="F504" s="1"/>
      <c r="H504" s="90">
        <f>N181</f>
        <v>58004</v>
      </c>
      <c r="J504" s="363">
        <v>42522</v>
      </c>
      <c r="K504" s="370" t="e">
        <f t="shared" si="75"/>
        <v>#VALUE!</v>
      </c>
      <c r="L504" s="371"/>
      <c r="M504" s="365"/>
      <c r="N504" s="370">
        <f t="shared" si="76"/>
        <v>58004</v>
      </c>
      <c r="O504" s="1"/>
      <c r="P504" s="1"/>
      <c r="T504" s="1"/>
    </row>
    <row r="505" spans="1:20" outlineLevel="1" x14ac:dyDescent="0.2">
      <c r="A505" s="1"/>
      <c r="F505" s="1"/>
      <c r="H505" s="90">
        <f>N77+N173+N235+N202+N212</f>
        <v>402937.7</v>
      </c>
      <c r="J505" s="363">
        <v>42552</v>
      </c>
      <c r="K505" s="370" t="e">
        <f t="shared" si="75"/>
        <v>#VALUE!</v>
      </c>
      <c r="L505" s="371"/>
      <c r="M505" s="365"/>
      <c r="N505" s="370">
        <f t="shared" si="76"/>
        <v>402937.69999999995</v>
      </c>
      <c r="O505" s="1"/>
      <c r="P505" s="1"/>
      <c r="T505" s="1"/>
    </row>
    <row r="506" spans="1:20" outlineLevel="1" x14ac:dyDescent="0.2">
      <c r="A506" s="1"/>
      <c r="F506" s="1"/>
      <c r="H506" s="90">
        <f>N147</f>
        <v>35537.599999999999</v>
      </c>
      <c r="J506" s="363">
        <v>42583</v>
      </c>
      <c r="K506" s="370" t="e">
        <f t="shared" si="75"/>
        <v>#VALUE!</v>
      </c>
      <c r="L506" s="371"/>
      <c r="M506" s="365"/>
      <c r="N506" s="370">
        <f t="shared" si="76"/>
        <v>35537.599999999999</v>
      </c>
      <c r="O506" s="1"/>
      <c r="P506" s="1"/>
      <c r="T506" s="1"/>
    </row>
    <row r="507" spans="1:20" outlineLevel="1" x14ac:dyDescent="0.2">
      <c r="A507" s="1"/>
      <c r="F507" s="1"/>
      <c r="H507" s="90">
        <f>N53+N236</f>
        <v>326860.09999999998</v>
      </c>
      <c r="J507" s="363">
        <v>42614</v>
      </c>
      <c r="K507" s="370" t="e">
        <f t="shared" si="75"/>
        <v>#VALUE!</v>
      </c>
      <c r="L507" s="371"/>
      <c r="M507" s="365"/>
      <c r="N507" s="370">
        <f t="shared" si="76"/>
        <v>326860.09999999998</v>
      </c>
      <c r="O507" s="1"/>
      <c r="P507" s="1"/>
      <c r="T507" s="1"/>
    </row>
    <row r="508" spans="1:20" outlineLevel="1" x14ac:dyDescent="0.2">
      <c r="A508" s="1"/>
      <c r="F508" s="1"/>
      <c r="H508" s="90">
        <f>N186+N209</f>
        <v>122113.5</v>
      </c>
      <c r="J508" s="363">
        <v>42644</v>
      </c>
      <c r="K508" s="370" t="e">
        <f t="shared" si="75"/>
        <v>#VALUE!</v>
      </c>
      <c r="L508" s="371"/>
      <c r="M508" s="365"/>
      <c r="N508" s="370">
        <f t="shared" si="76"/>
        <v>122113.5</v>
      </c>
      <c r="O508" s="1"/>
      <c r="P508" s="1"/>
      <c r="T508" s="1"/>
    </row>
    <row r="509" spans="1:20" outlineLevel="1" x14ac:dyDescent="0.2">
      <c r="A509" s="1"/>
      <c r="F509" s="1"/>
      <c r="H509" s="1">
        <v>0</v>
      </c>
      <c r="J509" s="363">
        <v>42675</v>
      </c>
      <c r="K509" s="370" t="e">
        <f t="shared" si="75"/>
        <v>#VALUE!</v>
      </c>
      <c r="L509" s="371"/>
      <c r="M509" s="365"/>
      <c r="N509" s="370">
        <f t="shared" si="76"/>
        <v>0</v>
      </c>
      <c r="O509" s="1"/>
      <c r="P509" s="1"/>
      <c r="T509" s="1"/>
    </row>
    <row r="510" spans="1:20" outlineLevel="1" x14ac:dyDescent="0.2">
      <c r="A510" s="1"/>
      <c r="F510" s="1"/>
      <c r="H510" s="90">
        <f>N187+N237</f>
        <v>170328.21000000002</v>
      </c>
      <c r="J510" s="363">
        <v>42705</v>
      </c>
      <c r="K510" s="370" t="e">
        <f t="shared" si="75"/>
        <v>#VALUE!</v>
      </c>
      <c r="L510" s="371"/>
      <c r="M510" s="365"/>
      <c r="N510" s="370">
        <f t="shared" si="76"/>
        <v>170328.21000000002</v>
      </c>
      <c r="O510" s="1"/>
      <c r="P510" s="1"/>
      <c r="T510" s="1"/>
    </row>
    <row r="511" spans="1:20" outlineLevel="1" x14ac:dyDescent="0.2">
      <c r="A511" s="1"/>
      <c r="F511" s="1"/>
      <c r="H511" s="1">
        <v>0</v>
      </c>
      <c r="J511" s="363">
        <v>42736</v>
      </c>
      <c r="K511" s="370" t="e">
        <f t="shared" si="75"/>
        <v>#VALUE!</v>
      </c>
      <c r="L511" s="371"/>
      <c r="M511" s="365"/>
      <c r="N511" s="370">
        <f t="shared" si="76"/>
        <v>0</v>
      </c>
      <c r="O511" s="1"/>
      <c r="P511" s="1"/>
      <c r="T511" s="1"/>
    </row>
    <row r="512" spans="1:20" outlineLevel="1" x14ac:dyDescent="0.2">
      <c r="A512" s="1"/>
      <c r="F512" s="1"/>
      <c r="H512" s="90">
        <f>N238</f>
        <v>107941.5</v>
      </c>
      <c r="J512" s="363">
        <v>42767</v>
      </c>
      <c r="K512" s="370" t="e">
        <f t="shared" si="75"/>
        <v>#VALUE!</v>
      </c>
      <c r="L512" s="371"/>
      <c r="M512" s="365"/>
      <c r="N512" s="370">
        <f t="shared" si="76"/>
        <v>107941.5</v>
      </c>
      <c r="O512" s="1"/>
      <c r="P512" s="1"/>
      <c r="T512" s="1"/>
    </row>
    <row r="513" spans="1:20" outlineLevel="1" x14ac:dyDescent="0.2">
      <c r="A513" s="1"/>
      <c r="F513" s="1"/>
      <c r="H513" s="730">
        <f>N188+N213+N254+N261+N277+N292+N300+N314+N321+N224</f>
        <v>1284094.79</v>
      </c>
      <c r="J513" s="363">
        <v>42795</v>
      </c>
      <c r="K513" s="370" t="e">
        <f t="shared" si="75"/>
        <v>#VALUE!</v>
      </c>
      <c r="L513" s="371"/>
      <c r="M513" s="365"/>
      <c r="N513" s="370">
        <f t="shared" si="76"/>
        <v>1284094.79</v>
      </c>
      <c r="O513" s="1"/>
      <c r="P513" s="1"/>
      <c r="T513" s="1"/>
    </row>
    <row r="514" spans="1:20" outlineLevel="1" x14ac:dyDescent="0.2">
      <c r="A514" s="1"/>
      <c r="F514" s="1"/>
      <c r="H514" s="90">
        <f>N130</f>
        <v>132600</v>
      </c>
      <c r="J514" s="363">
        <v>42826</v>
      </c>
      <c r="K514" s="370" t="e">
        <f t="shared" si="75"/>
        <v>#VALUE!</v>
      </c>
      <c r="L514" s="371"/>
      <c r="M514" s="365"/>
      <c r="N514" s="370">
        <f t="shared" si="76"/>
        <v>132600</v>
      </c>
      <c r="O514" s="1"/>
      <c r="P514" s="1"/>
      <c r="T514" s="1"/>
    </row>
    <row r="515" spans="1:20" outlineLevel="1" x14ac:dyDescent="0.2">
      <c r="A515" s="1"/>
      <c r="F515" s="1"/>
      <c r="H515" s="90">
        <f>N96+N157</f>
        <v>66564</v>
      </c>
      <c r="J515" s="363">
        <v>42856</v>
      </c>
      <c r="K515" s="370" t="e">
        <f t="shared" si="75"/>
        <v>#VALUE!</v>
      </c>
      <c r="L515" s="371"/>
      <c r="M515" s="365"/>
      <c r="N515" s="370">
        <f t="shared" si="76"/>
        <v>66564</v>
      </c>
      <c r="O515" s="1"/>
      <c r="P515" s="1"/>
      <c r="T515" s="1"/>
    </row>
    <row r="516" spans="1:20" outlineLevel="1" x14ac:dyDescent="0.2">
      <c r="A516" s="1"/>
      <c r="F516" s="1"/>
      <c r="H516" s="90">
        <f>N136+N182+N239+N214+N270</f>
        <v>339740</v>
      </c>
      <c r="J516" s="363">
        <v>42887</v>
      </c>
      <c r="K516" s="370" t="e">
        <f t="shared" si="75"/>
        <v>#VALUE!</v>
      </c>
      <c r="L516" s="371"/>
      <c r="M516" s="365"/>
      <c r="N516" s="370">
        <f t="shared" si="76"/>
        <v>339740</v>
      </c>
      <c r="O516" s="370"/>
      <c r="P516" s="1"/>
      <c r="T516" s="1"/>
    </row>
    <row r="517" spans="1:20" outlineLevel="1" x14ac:dyDescent="0.2">
      <c r="A517" s="1"/>
      <c r="F517" s="1"/>
      <c r="H517" s="730">
        <f>N107+N225</f>
        <v>282206.3</v>
      </c>
      <c r="J517" s="363">
        <v>42917</v>
      </c>
      <c r="K517" s="370" t="e">
        <f t="shared" si="75"/>
        <v>#VALUE!</v>
      </c>
      <c r="L517" s="371"/>
      <c r="M517" s="365"/>
      <c r="N517" s="370">
        <f t="shared" si="76"/>
        <v>282206.3</v>
      </c>
      <c r="O517" s="370"/>
      <c r="P517" s="1"/>
      <c r="T517" s="1"/>
    </row>
    <row r="518" spans="1:20" outlineLevel="1" x14ac:dyDescent="0.2">
      <c r="A518" s="1"/>
      <c r="F518" s="1"/>
      <c r="H518" s="90">
        <f>N222</f>
        <v>223600</v>
      </c>
      <c r="J518" s="363">
        <v>42948</v>
      </c>
      <c r="K518" s="370" t="e">
        <f t="shared" si="75"/>
        <v>#VALUE!</v>
      </c>
      <c r="L518" s="371"/>
      <c r="M518" s="365"/>
      <c r="N518" s="370">
        <f t="shared" si="76"/>
        <v>223600</v>
      </c>
      <c r="O518" s="370"/>
      <c r="P518" s="1"/>
      <c r="T518" s="1"/>
    </row>
    <row r="519" spans="1:20" outlineLevel="1" x14ac:dyDescent="0.2">
      <c r="A519" s="1"/>
      <c r="F519" s="1"/>
      <c r="H519" s="90">
        <f>N240+N246+N285</f>
        <v>346971</v>
      </c>
      <c r="J519" s="363">
        <v>42979</v>
      </c>
      <c r="K519" s="370" t="e">
        <f t="shared" si="75"/>
        <v>#VALUE!</v>
      </c>
      <c r="L519" s="371"/>
      <c r="M519" s="365"/>
      <c r="N519" s="370">
        <f t="shared" si="76"/>
        <v>346971</v>
      </c>
      <c r="O519" s="370"/>
      <c r="P519" s="1"/>
      <c r="T519" s="1"/>
    </row>
    <row r="520" spans="1:20" outlineLevel="1" x14ac:dyDescent="0.2">
      <c r="A520" s="1"/>
      <c r="F520" s="1"/>
      <c r="H520" s="90">
        <f>N122+N162+N215</f>
        <v>390934</v>
      </c>
      <c r="J520" s="363">
        <v>43009</v>
      </c>
      <c r="K520" s="370" t="e">
        <f t="shared" si="75"/>
        <v>#VALUE!</v>
      </c>
      <c r="L520" s="371"/>
      <c r="M520" s="365"/>
      <c r="N520" s="370">
        <f t="shared" si="76"/>
        <v>390934</v>
      </c>
      <c r="O520" s="370"/>
      <c r="P520" s="1"/>
      <c r="T520" s="1"/>
    </row>
    <row r="521" spans="1:20" outlineLevel="1" x14ac:dyDescent="0.2">
      <c r="A521" s="1"/>
      <c r="F521" s="1"/>
      <c r="H521" s="730">
        <f>N112+N167</f>
        <v>128850.52</v>
      </c>
      <c r="J521" s="363">
        <v>43040</v>
      </c>
      <c r="K521" s="370" t="e">
        <f t="shared" si="75"/>
        <v>#VALUE!</v>
      </c>
      <c r="L521" s="371"/>
      <c r="M521" s="365"/>
      <c r="N521" s="370">
        <f t="shared" si="76"/>
        <v>128850.52</v>
      </c>
      <c r="O521" s="370"/>
      <c r="P521" s="1"/>
      <c r="T521" s="1"/>
    </row>
    <row r="522" spans="1:20" outlineLevel="1" x14ac:dyDescent="0.2">
      <c r="A522" s="1"/>
      <c r="F522" s="1"/>
      <c r="H522" s="730">
        <f>N271+N278+N322+N226+N262</f>
        <v>316942</v>
      </c>
      <c r="J522" s="363">
        <v>43070</v>
      </c>
      <c r="K522" s="370" t="e">
        <f t="shared" si="75"/>
        <v>#VALUE!</v>
      </c>
      <c r="L522" s="371"/>
      <c r="M522" s="365"/>
      <c r="N522" s="370">
        <f t="shared" si="76"/>
        <v>316942</v>
      </c>
      <c r="O522" s="370"/>
      <c r="P522" s="1"/>
      <c r="T522" s="1"/>
    </row>
    <row r="523" spans="1:20" outlineLevel="1" x14ac:dyDescent="0.2">
      <c r="A523" s="1"/>
      <c r="F523" s="1"/>
      <c r="G523" s="90"/>
      <c r="H523" s="90">
        <f>N241</f>
        <v>98728.5</v>
      </c>
      <c r="J523" s="363">
        <v>43101</v>
      </c>
      <c r="K523" s="370" t="e">
        <f t="shared" si="75"/>
        <v>#VALUE!</v>
      </c>
      <c r="L523" s="371"/>
      <c r="M523" s="365"/>
      <c r="N523" s="370">
        <f t="shared" si="76"/>
        <v>98728.5</v>
      </c>
      <c r="O523" s="370"/>
      <c r="P523" s="1"/>
      <c r="T523" s="1"/>
    </row>
    <row r="524" spans="1:20" outlineLevel="1" x14ac:dyDescent="0.2">
      <c r="A524" s="1"/>
      <c r="F524" s="1"/>
      <c r="H524" s="1">
        <v>0</v>
      </c>
      <c r="J524" s="363">
        <v>43132</v>
      </c>
      <c r="K524" s="370" t="e">
        <f t="shared" si="75"/>
        <v>#VALUE!</v>
      </c>
      <c r="L524" s="371"/>
      <c r="M524" s="365"/>
      <c r="N524" s="370">
        <f t="shared" si="76"/>
        <v>0</v>
      </c>
      <c r="O524" s="370"/>
      <c r="P524" s="1"/>
      <c r="T524" s="1"/>
    </row>
    <row r="525" spans="1:20" outlineLevel="1" x14ac:dyDescent="0.2">
      <c r="A525" s="1"/>
      <c r="F525" s="1"/>
      <c r="H525" s="730">
        <f>N255+N263+N279+N293+N301+N315+N323+N329+N335+N227+N97</f>
        <v>619757.20000000007</v>
      </c>
      <c r="J525" s="363">
        <v>43160</v>
      </c>
      <c r="K525" s="370" t="e">
        <f t="shared" si="75"/>
        <v>#VALUE!</v>
      </c>
      <c r="L525" s="371"/>
      <c r="M525" s="365"/>
      <c r="N525" s="370">
        <f t="shared" si="76"/>
        <v>619757.19999999995</v>
      </c>
      <c r="O525" s="370"/>
      <c r="P525" s="1"/>
      <c r="T525" s="1"/>
    </row>
    <row r="526" spans="1:20" outlineLevel="1" x14ac:dyDescent="0.2">
      <c r="A526" s="1"/>
      <c r="F526" s="1"/>
      <c r="H526" s="730">
        <f>N272+N355</f>
        <v>510772.5</v>
      </c>
      <c r="J526" s="363">
        <v>43191</v>
      </c>
      <c r="K526" s="370" t="e">
        <f t="shared" ref="K526:K546" si="77">SUMPRODUCT((DateAF_LBU&lt;&gt;"")*(MONTH(DateAF_LBU)=MONTH(J526))*(YEAR(DateAF_LBU)=YEAR(J526))*MontantAF_LBU)</f>
        <v>#VALUE!</v>
      </c>
      <c r="L526" s="371"/>
      <c r="M526" s="365"/>
      <c r="N526" s="370">
        <f t="shared" ref="N526:N546" si="78">SUMPRODUCT((DatePmt_LBU&lt;&gt;"")*(DatePmt_LBU&lt;&gt;"en attente")*(MONTH(DatePmt_LBU)=MONTH(J526))*(YEAR(DatePmt_LBU)=YEAR(J526))*(ISNUMBER(MtntPaye_LBU)),MtntPaye_LBU)</f>
        <v>510772.5</v>
      </c>
      <c r="O526" s="370"/>
      <c r="P526" s="1"/>
      <c r="T526" s="1"/>
    </row>
    <row r="527" spans="1:20" outlineLevel="1" x14ac:dyDescent="0.2">
      <c r="A527" s="1"/>
      <c r="F527" s="1"/>
      <c r="H527" s="730">
        <f>N189+N286+N308+N316+N363</f>
        <v>512160.2</v>
      </c>
      <c r="J527" s="363">
        <v>43221</v>
      </c>
      <c r="K527" s="370" t="e">
        <f t="shared" si="77"/>
        <v>#VALUE!</v>
      </c>
      <c r="L527" s="371"/>
      <c r="M527" s="365"/>
      <c r="N527" s="370">
        <f t="shared" si="78"/>
        <v>512160.2</v>
      </c>
      <c r="O527" s="370"/>
      <c r="P527" s="1"/>
      <c r="T527" s="1"/>
    </row>
    <row r="528" spans="1:20" outlineLevel="1" x14ac:dyDescent="0.2">
      <c r="A528" s="1"/>
      <c r="F528" s="1"/>
      <c r="H528" s="90">
        <f>N152+N247+N256+N264+N280+N324</f>
        <v>269661.87</v>
      </c>
      <c r="J528" s="363">
        <v>43252</v>
      </c>
      <c r="K528" s="370" t="e">
        <f t="shared" si="77"/>
        <v>#VALUE!</v>
      </c>
      <c r="L528" s="371"/>
      <c r="M528" s="365"/>
      <c r="N528" s="370">
        <f t="shared" si="78"/>
        <v>269661.87</v>
      </c>
      <c r="O528" s="370"/>
      <c r="P528" s="1"/>
      <c r="T528" s="1"/>
    </row>
    <row r="529" spans="1:20" outlineLevel="1" x14ac:dyDescent="0.2">
      <c r="A529" s="1"/>
      <c r="F529" s="1"/>
      <c r="H529" s="90">
        <f>N142+N183+N294+N302</f>
        <v>390721.06</v>
      </c>
      <c r="J529" s="363">
        <v>43282</v>
      </c>
      <c r="K529" s="370" t="e">
        <f t="shared" si="77"/>
        <v>#VALUE!</v>
      </c>
      <c r="L529" s="371"/>
      <c r="M529" s="365"/>
      <c r="N529" s="370">
        <f t="shared" si="78"/>
        <v>390721.06</v>
      </c>
      <c r="O529" s="1" t="s">
        <v>352</v>
      </c>
      <c r="P529" s="1"/>
      <c r="T529" s="1"/>
    </row>
    <row r="530" spans="1:20" outlineLevel="1" x14ac:dyDescent="0.2">
      <c r="A530" s="1"/>
      <c r="F530" s="1"/>
      <c r="H530" s="730">
        <f>N203+N210+N248+N257+N281+N295+N303+N325+N341</f>
        <v>614208.68000000005</v>
      </c>
      <c r="J530" s="363">
        <v>43313</v>
      </c>
      <c r="K530" s="370" t="e">
        <f t="shared" si="77"/>
        <v>#VALUE!</v>
      </c>
      <c r="L530" s="371"/>
      <c r="M530" s="365"/>
      <c r="N530" s="370">
        <f t="shared" si="78"/>
        <v>614208.68000000005</v>
      </c>
      <c r="O530" s="1"/>
      <c r="P530" s="1"/>
      <c r="T530" s="1"/>
    </row>
    <row r="531" spans="1:20" outlineLevel="1" x14ac:dyDescent="0.2">
      <c r="H531" s="90">
        <f>N258+N265+N287</f>
        <v>198128</v>
      </c>
      <c r="J531" s="363">
        <v>43344</v>
      </c>
      <c r="K531" s="370" t="e">
        <f t="shared" si="77"/>
        <v>#VALUE!</v>
      </c>
      <c r="L531" s="371"/>
      <c r="M531" s="365"/>
      <c r="N531" s="370">
        <f t="shared" si="78"/>
        <v>198128</v>
      </c>
      <c r="P531" s="1"/>
    </row>
    <row r="532" spans="1:20" outlineLevel="1" x14ac:dyDescent="0.2">
      <c r="H532" s="90">
        <f>N174</f>
        <v>140448</v>
      </c>
      <c r="J532" s="363">
        <v>43374</v>
      </c>
      <c r="K532" s="370" t="e">
        <f t="shared" si="77"/>
        <v>#VALUE!</v>
      </c>
      <c r="L532" s="371"/>
      <c r="M532" s="365"/>
      <c r="N532" s="370">
        <f t="shared" si="78"/>
        <v>140448</v>
      </c>
      <c r="P532" s="1"/>
    </row>
    <row r="533" spans="1:20" outlineLevel="1" x14ac:dyDescent="0.2">
      <c r="H533" s="730">
        <f>N216+N309+N326+N228</f>
        <v>251052</v>
      </c>
      <c r="J533" s="363">
        <v>43405</v>
      </c>
      <c r="K533" s="370" t="e">
        <f t="shared" si="77"/>
        <v>#VALUE!</v>
      </c>
      <c r="L533" s="371"/>
      <c r="M533" s="365"/>
      <c r="N533" s="370">
        <f t="shared" si="78"/>
        <v>251052</v>
      </c>
    </row>
    <row r="534" spans="1:20" outlineLevel="1" x14ac:dyDescent="0.2">
      <c r="H534" s="730">
        <f>N249+N288+N296+N304+N317+N356</f>
        <v>623554.15</v>
      </c>
      <c r="J534" s="363">
        <v>43435</v>
      </c>
      <c r="K534" s="370" t="e">
        <f t="shared" si="77"/>
        <v>#VALUE!</v>
      </c>
      <c r="L534" s="371"/>
      <c r="M534" s="365"/>
      <c r="N534" s="370">
        <f t="shared" si="78"/>
        <v>623554.15</v>
      </c>
    </row>
    <row r="535" spans="1:20" x14ac:dyDescent="0.2">
      <c r="H535" s="730"/>
      <c r="J535" s="363">
        <v>43466</v>
      </c>
      <c r="K535" s="370" t="e">
        <f t="shared" si="77"/>
        <v>#VALUE!</v>
      </c>
      <c r="L535" s="371"/>
      <c r="M535" s="365"/>
      <c r="N535" s="370">
        <f t="shared" si="78"/>
        <v>0</v>
      </c>
    </row>
    <row r="536" spans="1:20" x14ac:dyDescent="0.2">
      <c r="H536" s="730"/>
      <c r="J536" s="363">
        <v>43497</v>
      </c>
      <c r="K536" s="370" t="e">
        <f t="shared" si="77"/>
        <v>#VALUE!</v>
      </c>
      <c r="L536" s="371"/>
      <c r="M536" s="365"/>
      <c r="N536" s="370">
        <f t="shared" si="78"/>
        <v>251241.5</v>
      </c>
    </row>
    <row r="537" spans="1:20" x14ac:dyDescent="0.2">
      <c r="H537" s="730"/>
      <c r="J537" s="363">
        <v>43525</v>
      </c>
      <c r="K537" s="370" t="e">
        <f t="shared" si="77"/>
        <v>#VALUE!</v>
      </c>
      <c r="L537" s="371"/>
      <c r="M537" s="365"/>
      <c r="N537" s="370">
        <f t="shared" si="78"/>
        <v>319624.2</v>
      </c>
    </row>
    <row r="538" spans="1:20" x14ac:dyDescent="0.2">
      <c r="H538" s="730"/>
      <c r="J538" s="363">
        <v>43556</v>
      </c>
      <c r="K538" s="370" t="e">
        <f t="shared" si="77"/>
        <v>#VALUE!</v>
      </c>
      <c r="L538" s="371"/>
      <c r="M538" s="365"/>
      <c r="N538" s="370">
        <f t="shared" si="78"/>
        <v>0</v>
      </c>
    </row>
    <row r="539" spans="1:20" x14ac:dyDescent="0.2">
      <c r="H539" s="730"/>
      <c r="J539" s="363">
        <v>43586</v>
      </c>
      <c r="K539" s="370" t="e">
        <f t="shared" si="77"/>
        <v>#VALUE!</v>
      </c>
      <c r="L539" s="371"/>
      <c r="M539" s="365"/>
      <c r="N539" s="370">
        <f t="shared" si="78"/>
        <v>450212.5</v>
      </c>
    </row>
    <row r="540" spans="1:20" x14ac:dyDescent="0.2">
      <c r="H540" s="730"/>
      <c r="J540" s="363">
        <v>43617</v>
      </c>
      <c r="K540" s="370" t="e">
        <f t="shared" si="77"/>
        <v>#VALUE!</v>
      </c>
      <c r="L540" s="371"/>
      <c r="M540" s="365"/>
      <c r="N540" s="370">
        <f t="shared" si="78"/>
        <v>144000</v>
      </c>
    </row>
    <row r="541" spans="1:20" x14ac:dyDescent="0.2">
      <c r="H541" s="730"/>
      <c r="J541" s="363">
        <v>43647</v>
      </c>
      <c r="K541" s="370" t="e">
        <f t="shared" si="77"/>
        <v>#VALUE!</v>
      </c>
      <c r="L541" s="371"/>
      <c r="M541" s="365"/>
      <c r="N541" s="370">
        <f t="shared" si="78"/>
        <v>204477</v>
      </c>
    </row>
    <row r="542" spans="1:20" x14ac:dyDescent="0.2">
      <c r="H542" s="730"/>
      <c r="J542" s="363">
        <v>43678</v>
      </c>
      <c r="K542" s="370" t="e">
        <f t="shared" si="77"/>
        <v>#VALUE!</v>
      </c>
      <c r="L542" s="371"/>
      <c r="M542" s="365"/>
      <c r="N542" s="370">
        <f t="shared" si="78"/>
        <v>0</v>
      </c>
    </row>
    <row r="543" spans="1:20" x14ac:dyDescent="0.2">
      <c r="H543" s="730"/>
      <c r="J543" s="363">
        <v>43709</v>
      </c>
      <c r="K543" s="370" t="e">
        <f t="shared" si="77"/>
        <v>#VALUE!</v>
      </c>
      <c r="L543" s="371"/>
      <c r="M543" s="365"/>
      <c r="N543" s="370">
        <f t="shared" si="78"/>
        <v>0</v>
      </c>
    </row>
    <row r="544" spans="1:20" x14ac:dyDescent="0.2">
      <c r="H544" s="730"/>
      <c r="J544" s="363">
        <v>43739</v>
      </c>
      <c r="K544" s="370" t="e">
        <f t="shared" si="77"/>
        <v>#VALUE!</v>
      </c>
      <c r="L544" s="371"/>
      <c r="M544" s="365"/>
      <c r="N544" s="370">
        <f t="shared" si="78"/>
        <v>0</v>
      </c>
    </row>
    <row r="545" spans="5:14" x14ac:dyDescent="0.2">
      <c r="H545" s="730"/>
      <c r="J545" s="363">
        <v>43770</v>
      </c>
      <c r="K545" s="370" t="e">
        <f t="shared" si="77"/>
        <v>#VALUE!</v>
      </c>
      <c r="L545" s="371"/>
      <c r="M545" s="365"/>
      <c r="N545" s="370">
        <f t="shared" si="78"/>
        <v>0</v>
      </c>
    </row>
    <row r="546" spans="5:14" x14ac:dyDescent="0.2">
      <c r="E546" s="90"/>
      <c r="H546" s="730"/>
      <c r="J546" s="363">
        <v>43800</v>
      </c>
      <c r="K546" s="370" t="e">
        <f t="shared" si="77"/>
        <v>#VALUE!</v>
      </c>
      <c r="L546" s="371"/>
      <c r="M546" s="365"/>
      <c r="N546" s="370">
        <f t="shared" si="78"/>
        <v>0</v>
      </c>
    </row>
    <row r="547" spans="5:14" x14ac:dyDescent="0.2">
      <c r="E547" s="90"/>
      <c r="H547" s="457">
        <f>SUM(H430:H546)</f>
        <v>24882003.299999993</v>
      </c>
      <c r="K547" s="372" t="e">
        <f>SUM(K431:K546)</f>
        <v>#VALUE!</v>
      </c>
      <c r="L547" s="371"/>
      <c r="M547" s="365"/>
      <c r="N547" s="372">
        <f>SUM(N430:N546)</f>
        <v>26251558.499999993</v>
      </c>
    </row>
    <row r="548" spans="5:14" x14ac:dyDescent="0.2">
      <c r="E548" s="90"/>
      <c r="K548" s="90" t="e">
        <f>K547-K407</f>
        <v>#VALUE!</v>
      </c>
      <c r="N548" s="90">
        <f>N547-N407</f>
        <v>0</v>
      </c>
    </row>
    <row r="551" spans="5:14" x14ac:dyDescent="0.2">
      <c r="G551" s="731" t="s">
        <v>353</v>
      </c>
      <c r="H551" s="90">
        <f>N407-H547</f>
        <v>1369555.2000000067</v>
      </c>
    </row>
    <row r="553" spans="5:14" x14ac:dyDescent="0.2">
      <c r="N553" s="90"/>
    </row>
    <row r="561" spans="7:10" x14ac:dyDescent="0.2">
      <c r="G561" s="90"/>
      <c r="I561" s="90"/>
      <c r="J561" s="90"/>
    </row>
  </sheetData>
  <autoFilter ref="A4:T408">
    <filterColumn colId="10" showButton="0"/>
    <filterColumn colId="11" showButton="0"/>
    <filterColumn colId="12" showButton="0"/>
    <filterColumn colId="13" showButton="0"/>
    <filterColumn colId="14" showButton="0"/>
    <filterColumn colId="16" showButton="0"/>
  </autoFilter>
  <mergeCells count="10">
    <mergeCell ref="D4:D5"/>
    <mergeCell ref="G4:G5"/>
    <mergeCell ref="Q408:R408"/>
    <mergeCell ref="A2:Q2"/>
    <mergeCell ref="A4:A5"/>
    <mergeCell ref="B4:B5"/>
    <mergeCell ref="C4:C5"/>
    <mergeCell ref="I4:I5"/>
    <mergeCell ref="K4:P4"/>
    <mergeCell ref="Q4:R4"/>
  </mergeCells>
  <conditionalFormatting sqref="F6">
    <cfRule type="cellIs" dxfId="107" priority="105" operator="greaterThan">
      <formula>$D$6</formula>
    </cfRule>
  </conditionalFormatting>
  <conditionalFormatting sqref="F23">
    <cfRule type="cellIs" dxfId="106" priority="104" operator="greaterThan">
      <formula>$D$23</formula>
    </cfRule>
  </conditionalFormatting>
  <conditionalFormatting sqref="F94">
    <cfRule type="cellIs" dxfId="105" priority="103" operator="greaterThan">
      <formula>$D$94</formula>
    </cfRule>
  </conditionalFormatting>
  <conditionalFormatting sqref="F98">
    <cfRule type="cellIs" dxfId="104" priority="102" operator="greaterThan">
      <formula>$D$98</formula>
    </cfRule>
  </conditionalFormatting>
  <conditionalFormatting sqref="F158">
    <cfRule type="cellIs" dxfId="103" priority="101" operator="greaterThan">
      <formula>$D$158</formula>
    </cfRule>
  </conditionalFormatting>
  <conditionalFormatting sqref="F54">
    <cfRule type="cellIs" dxfId="102" priority="100" operator="greaterThan">
      <formula>$D$54</formula>
    </cfRule>
  </conditionalFormatting>
  <conditionalFormatting sqref="F62">
    <cfRule type="cellIs" dxfId="101" priority="99" operator="greaterThan">
      <formula>$D$62</formula>
    </cfRule>
  </conditionalFormatting>
  <conditionalFormatting sqref="F34">
    <cfRule type="cellIs" dxfId="100" priority="98" operator="greaterThan">
      <formula>$D$34</formula>
    </cfRule>
  </conditionalFormatting>
  <conditionalFormatting sqref="F44">
    <cfRule type="cellIs" dxfId="99" priority="97" operator="greaterThan">
      <formula>$D$44</formula>
    </cfRule>
  </conditionalFormatting>
  <conditionalFormatting sqref="F70">
    <cfRule type="cellIs" dxfId="98" priority="96" operator="greaterThan">
      <formula>$D$70</formula>
    </cfRule>
  </conditionalFormatting>
  <conditionalFormatting sqref="F100">
    <cfRule type="cellIs" dxfId="97" priority="95" operator="greaterThan">
      <formula>$D$100</formula>
    </cfRule>
  </conditionalFormatting>
  <conditionalFormatting sqref="F108">
    <cfRule type="cellIs" dxfId="96" priority="94" operator="greaterThan">
      <formula>$D$108</formula>
    </cfRule>
  </conditionalFormatting>
  <conditionalFormatting sqref="F78">
    <cfRule type="cellIs" dxfId="95" priority="93" operator="greaterThan">
      <formula>$D$78</formula>
    </cfRule>
  </conditionalFormatting>
  <conditionalFormatting sqref="F84">
    <cfRule type="cellIs" dxfId="94" priority="92" operator="greaterThan">
      <formula>$D$84</formula>
    </cfRule>
  </conditionalFormatting>
  <conditionalFormatting sqref="F89">
    <cfRule type="cellIs" dxfId="93" priority="91" operator="greaterThan">
      <formula>$D$89</formula>
    </cfRule>
  </conditionalFormatting>
  <conditionalFormatting sqref="F115">
    <cfRule type="cellIs" dxfId="92" priority="90" operator="greaterThan">
      <formula>$D$115</formula>
    </cfRule>
  </conditionalFormatting>
  <conditionalFormatting sqref="F163">
    <cfRule type="cellIs" dxfId="91" priority="89" operator="greaterThan">
      <formula>$D$163</formula>
    </cfRule>
  </conditionalFormatting>
  <conditionalFormatting sqref="F168">
    <cfRule type="cellIs" dxfId="90" priority="86" operator="greaterThan">
      <formula>$D$168</formula>
    </cfRule>
  </conditionalFormatting>
  <conditionalFormatting sqref="F175">
    <cfRule type="cellIs" dxfId="89" priority="85" operator="greaterThan">
      <formula>$D$175</formula>
    </cfRule>
  </conditionalFormatting>
  <conditionalFormatting sqref="F123">
    <cfRule type="cellIs" dxfId="88" priority="84" operator="greaterThan">
      <formula>$D$123</formula>
    </cfRule>
  </conditionalFormatting>
  <conditionalFormatting sqref="F131">
    <cfRule type="cellIs" dxfId="87" priority="83" operator="greaterThan">
      <formula>$D$131</formula>
    </cfRule>
  </conditionalFormatting>
  <conditionalFormatting sqref="F137">
    <cfRule type="cellIs" dxfId="86" priority="82" operator="greaterThan">
      <formula>$D$137</formula>
    </cfRule>
  </conditionalFormatting>
  <conditionalFormatting sqref="F177">
    <cfRule type="cellIs" dxfId="85" priority="81" operator="greaterThan">
      <formula>$D$177</formula>
    </cfRule>
  </conditionalFormatting>
  <conditionalFormatting sqref="F229">
    <cfRule type="cellIs" dxfId="84" priority="79" operator="greaterThan">
      <formula>$D$229</formula>
    </cfRule>
  </conditionalFormatting>
  <conditionalFormatting sqref="F143">
    <cfRule type="cellIs" dxfId="83" priority="78" operator="greaterThan">
      <formula>$D$143</formula>
    </cfRule>
  </conditionalFormatting>
  <conditionalFormatting sqref="F148">
    <cfRule type="cellIs" dxfId="82" priority="77" operator="greaterThan">
      <formula>$D$148</formula>
    </cfRule>
  </conditionalFormatting>
  <conditionalFormatting sqref="F153">
    <cfRule type="cellIs" dxfId="81" priority="76" operator="greaterThan">
      <formula>$D$153</formula>
    </cfRule>
  </conditionalFormatting>
  <conditionalFormatting sqref="F231">
    <cfRule type="cellIs" dxfId="80" priority="75" operator="greaterThan">
      <formula>$D$231</formula>
    </cfRule>
  </conditionalFormatting>
  <conditionalFormatting sqref="F233">
    <cfRule type="cellIs" dxfId="79" priority="74" operator="greaterThan">
      <formula>$D$233</formula>
    </cfRule>
  </conditionalFormatting>
  <conditionalFormatting sqref="F243">
    <cfRule type="cellIs" dxfId="78" priority="73" operator="greaterThan">
      <formula>$D$243</formula>
    </cfRule>
  </conditionalFormatting>
  <conditionalFormatting sqref="F195">
    <cfRule type="cellIs" dxfId="77" priority="72" operator="greaterThan">
      <formula>D195</formula>
    </cfRule>
  </conditionalFormatting>
  <conditionalFormatting sqref="H6">
    <cfRule type="cellIs" dxfId="76" priority="64" operator="greaterThan">
      <formula>$G$6</formula>
    </cfRule>
  </conditionalFormatting>
  <conditionalFormatting sqref="H23">
    <cfRule type="cellIs" dxfId="75" priority="63" operator="greaterThan">
      <formula>G23</formula>
    </cfRule>
  </conditionalFormatting>
  <conditionalFormatting sqref="H34">
    <cfRule type="cellIs" dxfId="74" priority="62" operator="greaterThan">
      <formula>$G$6</formula>
    </cfRule>
  </conditionalFormatting>
  <conditionalFormatting sqref="H44">
    <cfRule type="cellIs" dxfId="73" priority="61" operator="greaterThan">
      <formula>$G$6</formula>
    </cfRule>
  </conditionalFormatting>
  <conditionalFormatting sqref="H54">
    <cfRule type="cellIs" dxfId="72" priority="59" operator="greaterThan">
      <formula>$G$6</formula>
    </cfRule>
  </conditionalFormatting>
  <conditionalFormatting sqref="H62">
    <cfRule type="cellIs" dxfId="71" priority="58" operator="greaterThan">
      <formula>$G$6</formula>
    </cfRule>
  </conditionalFormatting>
  <conditionalFormatting sqref="H70">
    <cfRule type="cellIs" dxfId="70" priority="57" operator="greaterThan">
      <formula>$G$6</formula>
    </cfRule>
  </conditionalFormatting>
  <conditionalFormatting sqref="H78">
    <cfRule type="cellIs" dxfId="69" priority="56" operator="greaterThan">
      <formula>$G$6</formula>
    </cfRule>
  </conditionalFormatting>
  <conditionalFormatting sqref="H84">
    <cfRule type="cellIs" dxfId="68" priority="55" operator="greaterThan">
      <formula>$G$6</formula>
    </cfRule>
  </conditionalFormatting>
  <conditionalFormatting sqref="H89">
    <cfRule type="cellIs" dxfId="67" priority="54" operator="greaterThan">
      <formula>$G$6</formula>
    </cfRule>
  </conditionalFormatting>
  <conditionalFormatting sqref="H94">
    <cfRule type="cellIs" dxfId="66" priority="53" operator="greaterThan">
      <formula>G94</formula>
    </cfRule>
  </conditionalFormatting>
  <conditionalFormatting sqref="F197">
    <cfRule type="cellIs" dxfId="65" priority="52" operator="greaterThan">
      <formula>D197</formula>
    </cfRule>
  </conditionalFormatting>
  <conditionalFormatting sqref="F204">
    <cfRule type="cellIs" dxfId="64" priority="51" operator="greaterThan">
      <formula>D204</formula>
    </cfRule>
  </conditionalFormatting>
  <conditionalFormatting sqref="F245:F249">
    <cfRule type="cellIs" dxfId="63" priority="50" operator="greaterThan">
      <formula>D245</formula>
    </cfRule>
  </conditionalFormatting>
  <conditionalFormatting sqref="F251">
    <cfRule type="cellIs" dxfId="62" priority="49" operator="greaterThan">
      <formula>D251</formula>
    </cfRule>
  </conditionalFormatting>
  <conditionalFormatting sqref="F212:F215">
    <cfRule type="cellIs" dxfId="61" priority="48" operator="greaterThan">
      <formula>D212</formula>
    </cfRule>
  </conditionalFormatting>
  <conditionalFormatting sqref="F253:F258">
    <cfRule type="cellIs" dxfId="60" priority="47" operator="greaterThan">
      <formula>D253</formula>
    </cfRule>
  </conditionalFormatting>
  <conditionalFormatting sqref="F268">
    <cfRule type="cellIs" dxfId="59" priority="46" operator="greaterThan">
      <formula>D268</formula>
    </cfRule>
  </conditionalFormatting>
  <conditionalFormatting sqref="F217">
    <cfRule type="cellIs" dxfId="58" priority="44" operator="greaterThan">
      <formula>D217</formula>
    </cfRule>
  </conditionalFormatting>
  <conditionalFormatting sqref="H98">
    <cfRule type="cellIs" dxfId="57" priority="43" operator="greaterThan">
      <formula>G98</formula>
    </cfRule>
  </conditionalFormatting>
  <conditionalFormatting sqref="H100">
    <cfRule type="cellIs" dxfId="56" priority="42" operator="greaterThan">
      <formula>G100</formula>
    </cfRule>
  </conditionalFormatting>
  <conditionalFormatting sqref="H108">
    <cfRule type="cellIs" dxfId="55" priority="41" operator="greaterThan">
      <formula>G108</formula>
    </cfRule>
  </conditionalFormatting>
  <conditionalFormatting sqref="H115">
    <cfRule type="cellIs" dxfId="54" priority="40" operator="greaterThan">
      <formula>G115</formula>
    </cfRule>
  </conditionalFormatting>
  <conditionalFormatting sqref="H123">
    <cfRule type="cellIs" dxfId="53" priority="39" operator="greaterThan">
      <formula>G123</formula>
    </cfRule>
  </conditionalFormatting>
  <conditionalFormatting sqref="H131">
    <cfRule type="cellIs" dxfId="52" priority="38" operator="greaterThan">
      <formula>G131</formula>
    </cfRule>
  </conditionalFormatting>
  <conditionalFormatting sqref="H137">
    <cfRule type="cellIs" dxfId="51" priority="37" operator="greaterThan">
      <formula>G137</formula>
    </cfRule>
  </conditionalFormatting>
  <conditionalFormatting sqref="H229">
    <cfRule type="cellIs" dxfId="50" priority="36" operator="greaterThan">
      <formula>G229</formula>
    </cfRule>
  </conditionalFormatting>
  <conditionalFormatting sqref="H143">
    <cfRule type="cellIs" dxfId="49" priority="35" operator="greaterThan">
      <formula>G143</formula>
    </cfRule>
  </conditionalFormatting>
  <conditionalFormatting sqref="H148">
    <cfRule type="cellIs" dxfId="48" priority="34" operator="greaterThan">
      <formula>G148</formula>
    </cfRule>
  </conditionalFormatting>
  <conditionalFormatting sqref="H153">
    <cfRule type="cellIs" dxfId="47" priority="33" operator="greaterThan">
      <formula>G153</formula>
    </cfRule>
  </conditionalFormatting>
  <conditionalFormatting sqref="H158">
    <cfRule type="cellIs" dxfId="46" priority="32" operator="greaterThan">
      <formula>G158</formula>
    </cfRule>
  </conditionalFormatting>
  <conditionalFormatting sqref="H163">
    <cfRule type="cellIs" dxfId="45" priority="31" operator="greaterThan">
      <formula>G163</formula>
    </cfRule>
  </conditionalFormatting>
  <conditionalFormatting sqref="H177">
    <cfRule type="cellIs" dxfId="44" priority="28" operator="greaterThan">
      <formula>G177</formula>
    </cfRule>
  </conditionalFormatting>
  <conditionalFormatting sqref="H233">
    <cfRule type="cellIs" dxfId="43" priority="25" operator="greaterThan">
      <formula>G233</formula>
    </cfRule>
  </conditionalFormatting>
  <conditionalFormatting sqref="H243">
    <cfRule type="cellIs" dxfId="42" priority="24" operator="greaterThan">
      <formula>G243</formula>
    </cfRule>
  </conditionalFormatting>
  <conditionalFormatting sqref="H195">
    <cfRule type="cellIs" dxfId="41" priority="23" operator="greaterThan">
      <formula>G195</formula>
    </cfRule>
  </conditionalFormatting>
  <conditionalFormatting sqref="H197">
    <cfRule type="cellIs" dxfId="40" priority="22" operator="greaterThan">
      <formula>G197</formula>
    </cfRule>
  </conditionalFormatting>
  <conditionalFormatting sqref="H245:H249">
    <cfRule type="cellIs" dxfId="39" priority="20" operator="greaterThan">
      <formula>G245</formula>
    </cfRule>
  </conditionalFormatting>
  <conditionalFormatting sqref="H251">
    <cfRule type="cellIs" dxfId="38" priority="19" operator="greaterThan">
      <formula>G251</formula>
    </cfRule>
  </conditionalFormatting>
  <conditionalFormatting sqref="H211:H215">
    <cfRule type="cellIs" dxfId="37" priority="18" operator="greaterThan">
      <formula>G211</formula>
    </cfRule>
  </conditionalFormatting>
  <conditionalFormatting sqref="H253:H258">
    <cfRule type="cellIs" dxfId="36" priority="17" operator="greaterThan">
      <formula>G253</formula>
    </cfRule>
  </conditionalFormatting>
  <conditionalFormatting sqref="H217">
    <cfRule type="cellIs" dxfId="35" priority="15" operator="greaterThan">
      <formula>G217</formula>
    </cfRule>
  </conditionalFormatting>
  <conditionalFormatting sqref="F274">
    <cfRule type="cellIs" dxfId="34" priority="12" operator="greaterThan">
      <formula>D274</formula>
    </cfRule>
  </conditionalFormatting>
  <conditionalFormatting sqref="H274">
    <cfRule type="cellIs" dxfId="33" priority="11" operator="greaterThan">
      <formula>G274</formula>
    </cfRule>
  </conditionalFormatting>
  <conditionalFormatting sqref="F276:F282">
    <cfRule type="cellIs" dxfId="32" priority="10" operator="greaterThan">
      <formula>D276</formula>
    </cfRule>
  </conditionalFormatting>
  <conditionalFormatting sqref="H276:H282">
    <cfRule type="cellIs" dxfId="31" priority="9" operator="greaterThan">
      <formula>G276</formula>
    </cfRule>
  </conditionalFormatting>
  <conditionalFormatting sqref="F284:F289">
    <cfRule type="cellIs" dxfId="30" priority="8" operator="greaterThan">
      <formula>D284</formula>
    </cfRule>
  </conditionalFormatting>
  <conditionalFormatting sqref="H284:H289">
    <cfRule type="cellIs" dxfId="29" priority="7" operator="greaterThan">
      <formula>G284</formula>
    </cfRule>
  </conditionalFormatting>
  <conditionalFormatting sqref="F190">
    <cfRule type="cellIs" dxfId="28" priority="6" operator="greaterThan">
      <formula>$D$184</formula>
    </cfRule>
  </conditionalFormatting>
  <conditionalFormatting sqref="H190">
    <cfRule type="cellIs" dxfId="27" priority="5" operator="greaterThan">
      <formula>G190</formula>
    </cfRule>
  </conditionalFormatting>
  <conditionalFormatting sqref="F184">
    <cfRule type="cellIs" dxfId="26" priority="4" operator="greaterThan">
      <formula>$D$231</formula>
    </cfRule>
  </conditionalFormatting>
  <conditionalFormatting sqref="H268">
    <cfRule type="cellIs" dxfId="25" priority="2" operator="greaterThan">
      <formula>G268</formula>
    </cfRule>
  </conditionalFormatting>
  <conditionalFormatting sqref="H260">
    <cfRule type="cellIs" dxfId="24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20" max="255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outlinePr summaryBelow="0"/>
    <pageSetUpPr fitToPage="1"/>
  </sheetPr>
  <dimension ref="A1:R81"/>
  <sheetViews>
    <sheetView view="pageBreakPreview" topLeftCell="A43" zoomScaleNormal="70" zoomScaleSheetLayoutView="100" workbookViewId="0">
      <selection activeCell="E58" sqref="E58"/>
    </sheetView>
  </sheetViews>
  <sheetFormatPr baseColWidth="10" defaultColWidth="11.42578125" defaultRowHeight="12" outlineLevelRow="1" x14ac:dyDescent="0.2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7" t="s">
        <v>23</v>
      </c>
      <c r="P1" s="8" t="s">
        <v>22</v>
      </c>
    </row>
    <row r="2" spans="1:17" x14ac:dyDescent="0.2">
      <c r="A2" s="1066" t="s">
        <v>5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9">
        <v>42155</v>
      </c>
      <c r="M2" s="9"/>
      <c r="P2" s="61">
        <v>2.9399999999999999E-2</v>
      </c>
    </row>
    <row r="4" spans="1:17" s="2" customFormat="1" x14ac:dyDescent="0.2">
      <c r="A4" s="1083" t="s">
        <v>2</v>
      </c>
      <c r="B4" s="1071" t="s">
        <v>0</v>
      </c>
      <c r="C4" s="1071" t="s">
        <v>19</v>
      </c>
      <c r="D4" s="1071" t="s">
        <v>10</v>
      </c>
      <c r="E4" s="1067" t="s">
        <v>4</v>
      </c>
      <c r="F4" s="1068"/>
      <c r="G4" s="1068"/>
      <c r="H4" s="1068"/>
      <c r="I4" s="1068"/>
      <c r="J4" s="1069"/>
      <c r="K4" s="1070" t="s">
        <v>11</v>
      </c>
      <c r="L4" s="1071"/>
      <c r="M4" s="3" t="s">
        <v>84</v>
      </c>
      <c r="P4" s="63">
        <v>41967</v>
      </c>
      <c r="Q4" s="63">
        <v>42185</v>
      </c>
    </row>
    <row r="5" spans="1:17" s="13" customFormat="1" ht="14.25" customHeight="1" x14ac:dyDescent="0.2">
      <c r="A5" s="1084"/>
      <c r="B5" s="1085"/>
      <c r="C5" s="1085"/>
      <c r="D5" s="1085"/>
      <c r="E5" s="10" t="s">
        <v>1</v>
      </c>
      <c r="F5" s="11" t="s">
        <v>3</v>
      </c>
      <c r="G5" s="11" t="s">
        <v>13</v>
      </c>
      <c r="H5" s="12" t="s">
        <v>12</v>
      </c>
      <c r="I5" s="10" t="s">
        <v>13</v>
      </c>
      <c r="J5" s="11" t="s">
        <v>16</v>
      </c>
      <c r="K5" s="3" t="s">
        <v>18</v>
      </c>
      <c r="L5" s="3" t="s">
        <v>17</v>
      </c>
      <c r="M5" s="3"/>
    </row>
    <row r="6" spans="1:17" ht="13.7" customHeight="1" x14ac:dyDescent="0.2">
      <c r="A6" s="118" t="s">
        <v>37</v>
      </c>
      <c r="B6" s="119" t="s">
        <v>14</v>
      </c>
      <c r="C6" s="120">
        <v>40870</v>
      </c>
      <c r="D6" s="127">
        <f>341529.23+0.02</f>
        <v>341529.25</v>
      </c>
      <c r="E6" s="122"/>
      <c r="F6" s="123"/>
      <c r="G6" s="124"/>
      <c r="H6" s="125">
        <f>SUM(H7:H11)</f>
        <v>273223.40000000002</v>
      </c>
      <c r="I6" s="126"/>
      <c r="J6" s="124"/>
      <c r="K6" s="127">
        <f>SUM(K7:K11)</f>
        <v>68305.850000000006</v>
      </c>
      <c r="L6" s="127">
        <f>SUM(L7:L11)</f>
        <v>0</v>
      </c>
      <c r="M6" s="127"/>
      <c r="N6" s="165">
        <f>D6-(H6+K6+L6)</f>
        <v>0</v>
      </c>
    </row>
    <row r="7" spans="1:17" s="26" customFormat="1" ht="13.7" customHeight="1" outlineLevel="1" x14ac:dyDescent="0.2">
      <c r="A7" s="46" t="s">
        <v>37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 x14ac:dyDescent="0.2">
      <c r="A8" s="46" t="s">
        <v>37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 x14ac:dyDescent="0.2">
      <c r="A9" s="46" t="s">
        <v>37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 x14ac:dyDescent="0.2">
      <c r="A10" s="46" t="s">
        <v>37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 x14ac:dyDescent="0.2">
      <c r="A11" s="117" t="s">
        <v>37</v>
      </c>
      <c r="B11" s="32"/>
      <c r="C11" s="33"/>
      <c r="D11" s="186"/>
      <c r="E11" s="35">
        <v>68305.850000000006</v>
      </c>
      <c r="F11" s="44">
        <v>5</v>
      </c>
      <c r="G11" s="36">
        <v>42037</v>
      </c>
      <c r="H11" s="153" t="s">
        <v>81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 x14ac:dyDescent="0.2">
      <c r="A12" s="128" t="s">
        <v>40</v>
      </c>
      <c r="B12" s="129" t="s">
        <v>14</v>
      </c>
      <c r="C12" s="130">
        <v>40984</v>
      </c>
      <c r="D12" s="136">
        <f>119894.04+0.01</f>
        <v>119894.04999999999</v>
      </c>
      <c r="E12" s="131"/>
      <c r="F12" s="132"/>
      <c r="G12" s="133"/>
      <c r="H12" s="134">
        <f>SUM(H13:H17)</f>
        <v>95915.24</v>
      </c>
      <c r="I12" s="135"/>
      <c r="J12" s="133"/>
      <c r="K12" s="136">
        <f>SUM(K13:K17)</f>
        <v>23978.81</v>
      </c>
      <c r="L12" s="136">
        <f>SUM(L13:L17)</f>
        <v>0</v>
      </c>
      <c r="M12" s="136"/>
      <c r="N12" s="165">
        <f>D12-(H12+K12+L12)</f>
        <v>0</v>
      </c>
      <c r="O12" s="1">
        <f t="shared" si="1"/>
        <v>23978.81</v>
      </c>
    </row>
    <row r="13" spans="1:17" outlineLevel="1" x14ac:dyDescent="0.2">
      <c r="A13" s="46" t="s">
        <v>40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 x14ac:dyDescent="0.2">
      <c r="A14" s="46" t="s">
        <v>40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 x14ac:dyDescent="0.2">
      <c r="A15" s="46" t="s">
        <v>40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 x14ac:dyDescent="0.2">
      <c r="A16" s="46" t="s">
        <v>40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 x14ac:dyDescent="0.2">
      <c r="A17" s="46" t="s">
        <v>40</v>
      </c>
      <c r="B17" s="28"/>
      <c r="C17" s="29"/>
      <c r="D17" s="187"/>
      <c r="E17" s="23">
        <v>23978.81</v>
      </c>
      <c r="F17" s="42">
        <v>5</v>
      </c>
      <c r="G17" s="15">
        <v>42037</v>
      </c>
      <c r="H17" s="111" t="s">
        <v>81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 x14ac:dyDescent="0.2">
      <c r="A18" s="118" t="s">
        <v>7</v>
      </c>
      <c r="B18" s="124" t="s">
        <v>15</v>
      </c>
      <c r="C18" s="120">
        <v>41145</v>
      </c>
      <c r="D18" s="127">
        <f>150077.39</f>
        <v>150077.39000000001</v>
      </c>
      <c r="E18" s="122"/>
      <c r="F18" s="137"/>
      <c r="G18" s="124"/>
      <c r="H18" s="125">
        <f>SUM(H19:H23)</f>
        <v>120061.92</v>
      </c>
      <c r="I18" s="126"/>
      <c r="J18" s="124"/>
      <c r="K18" s="127">
        <f>SUM(K19:K23)</f>
        <v>30015.47</v>
      </c>
      <c r="L18" s="127">
        <f>SUM(L19:L23)</f>
        <v>0</v>
      </c>
      <c r="M18" s="127"/>
      <c r="N18" s="165">
        <f>D18-(H18+K18+L18)</f>
        <v>0</v>
      </c>
    </row>
    <row r="19" spans="1:16" s="26" customFormat="1" ht="14.25" customHeight="1" outlineLevel="1" x14ac:dyDescent="0.2">
      <c r="A19" s="46" t="s">
        <v>7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 x14ac:dyDescent="0.2">
      <c r="A20" s="46" t="s">
        <v>7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 x14ac:dyDescent="0.2">
      <c r="A21" s="46" t="s">
        <v>7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 x14ac:dyDescent="0.2">
      <c r="A22" s="46" t="s">
        <v>7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 x14ac:dyDescent="0.2">
      <c r="A23" s="117" t="s">
        <v>7</v>
      </c>
      <c r="B23" s="32"/>
      <c r="C23" s="33"/>
      <c r="D23" s="186"/>
      <c r="E23" s="35">
        <v>30015.47</v>
      </c>
      <c r="F23" s="44">
        <v>5</v>
      </c>
      <c r="G23" s="36">
        <v>42811</v>
      </c>
      <c r="H23" s="153" t="s">
        <v>81</v>
      </c>
      <c r="I23" s="154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 x14ac:dyDescent="0.2">
      <c r="A24" s="128" t="s">
        <v>7</v>
      </c>
      <c r="B24" s="133" t="s">
        <v>6</v>
      </c>
      <c r="C24" s="130">
        <v>41145</v>
      </c>
      <c r="D24" s="136">
        <v>114200</v>
      </c>
      <c r="E24" s="138"/>
      <c r="F24" s="139"/>
      <c r="G24" s="138"/>
      <c r="H24" s="131">
        <f>SUM(H25)</f>
        <v>114200</v>
      </c>
      <c r="I24" s="135"/>
      <c r="J24" s="138"/>
      <c r="K24" s="122">
        <f>SUM(K25)</f>
        <v>0</v>
      </c>
      <c r="L24" s="131">
        <f>SUM(L25)</f>
        <v>0</v>
      </c>
      <c r="M24" s="140"/>
      <c r="N24" s="165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 x14ac:dyDescent="0.2">
      <c r="A25" s="46" t="s">
        <v>7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 x14ac:dyDescent="0.2">
      <c r="A26" s="118" t="s">
        <v>8</v>
      </c>
      <c r="B26" s="119" t="s">
        <v>14</v>
      </c>
      <c r="C26" s="120">
        <v>41047</v>
      </c>
      <c r="D26" s="127">
        <f>184958.11+0.04</f>
        <v>184958.15</v>
      </c>
      <c r="E26" s="122"/>
      <c r="F26" s="137"/>
      <c r="G26" s="124"/>
      <c r="H26" s="125">
        <f>SUM(H27:H31)</f>
        <v>147966.51999999999</v>
      </c>
      <c r="I26" s="126"/>
      <c r="J26" s="124"/>
      <c r="K26" s="127">
        <f>SUM(K27:K31)</f>
        <v>36991.629999999997</v>
      </c>
      <c r="L26" s="127">
        <f>SUM(L27:L31)</f>
        <v>0</v>
      </c>
      <c r="M26" s="127"/>
      <c r="N26" s="165">
        <f>D26-(H26+K26+L26)</f>
        <v>0</v>
      </c>
    </row>
    <row r="27" spans="1:16" s="26" customFormat="1" ht="14.25" customHeight="1" outlineLevel="1" x14ac:dyDescent="0.2">
      <c r="A27" s="46" t="s">
        <v>8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 x14ac:dyDescent="0.2">
      <c r="A28" s="46" t="s">
        <v>8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 x14ac:dyDescent="0.2">
      <c r="A29" s="46" t="s">
        <v>8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 x14ac:dyDescent="0.2">
      <c r="A30" s="46" t="s">
        <v>8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 x14ac:dyDescent="0.2">
      <c r="A31" s="117" t="s">
        <v>8</v>
      </c>
      <c r="B31" s="32"/>
      <c r="C31" s="33"/>
      <c r="D31" s="186"/>
      <c r="E31" s="35">
        <v>36991.629999999997</v>
      </c>
      <c r="F31" s="44">
        <v>5</v>
      </c>
      <c r="G31" s="36">
        <v>43000</v>
      </c>
      <c r="H31" s="153" t="s">
        <v>81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 x14ac:dyDescent="0.2">
      <c r="A32" s="128" t="s">
        <v>89</v>
      </c>
      <c r="B32" s="129" t="s">
        <v>15</v>
      </c>
      <c r="C32" s="130">
        <v>41150</v>
      </c>
      <c r="D32" s="136">
        <f>206916.91</f>
        <v>206916.91</v>
      </c>
      <c r="E32" s="131"/>
      <c r="F32" s="132"/>
      <c r="G32" s="133"/>
      <c r="H32" s="134">
        <f>SUM(H33:H37)</f>
        <v>165533.56</v>
      </c>
      <c r="I32" s="135"/>
      <c r="J32" s="133"/>
      <c r="K32" s="136">
        <f>SUM(K33:K37)</f>
        <v>41383.379999999997</v>
      </c>
      <c r="L32" s="136">
        <f>SUM(L33:L37)</f>
        <v>0</v>
      </c>
      <c r="M32" s="136"/>
      <c r="N32" s="165">
        <f>D32-(H32+K32+L32)</f>
        <v>-2.9999999998835847E-2</v>
      </c>
    </row>
    <row r="33" spans="1:18" s="26" customFormat="1" ht="14.25" customHeight="1" outlineLevel="1" x14ac:dyDescent="0.2">
      <c r="A33" s="46" t="s">
        <v>89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 x14ac:dyDescent="0.2">
      <c r="A34" s="46" t="s">
        <v>89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 x14ac:dyDescent="0.2">
      <c r="A35" s="46" t="s">
        <v>89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 x14ac:dyDescent="0.2">
      <c r="A36" s="46" t="s">
        <v>89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 x14ac:dyDescent="0.2">
      <c r="A37" s="117" t="s">
        <v>89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3" t="s">
        <v>81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x14ac:dyDescent="0.2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x14ac:dyDescent="0.2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1086">
        <f>SUM(K38:L38)</f>
        <v>200675.14</v>
      </c>
      <c r="L39" s="1087"/>
      <c r="M39" s="144"/>
    </row>
    <row r="40" spans="1:18" s="47" customFormat="1" x14ac:dyDescent="0.2">
      <c r="A40" s="141" t="s">
        <v>20</v>
      </c>
      <c r="B40" s="124" t="s">
        <v>21</v>
      </c>
      <c r="C40" s="120">
        <v>41131</v>
      </c>
      <c r="D40" s="127">
        <v>3152932.53</v>
      </c>
      <c r="E40" s="121"/>
      <c r="F40" s="142"/>
      <c r="G40" s="120"/>
      <c r="H40" s="121"/>
      <c r="I40" s="120"/>
      <c r="J40" s="143">
        <f>I40-G40</f>
        <v>0</v>
      </c>
      <c r="K40" s="127"/>
      <c r="L40" s="127"/>
      <c r="M40" s="143"/>
      <c r="N40" s="165"/>
      <c r="O40" s="27">
        <f>H40</f>
        <v>0</v>
      </c>
      <c r="P40" s="27">
        <f>O40*$P$2*J40/365</f>
        <v>0</v>
      </c>
    </row>
    <row r="41" spans="1:18" s="47" customFormat="1" x14ac:dyDescent="0.2">
      <c r="A41" s="1007" t="s">
        <v>20</v>
      </c>
      <c r="B41" s="188"/>
      <c r="C41" s="189"/>
      <c r="D41" s="190"/>
      <c r="E41" s="191">
        <v>91990.6</v>
      </c>
      <c r="F41" s="192">
        <v>1</v>
      </c>
      <c r="G41" s="189">
        <v>41443</v>
      </c>
      <c r="H41" s="23">
        <v>91990.6</v>
      </c>
      <c r="I41" s="189">
        <v>41548</v>
      </c>
      <c r="J41" s="194">
        <f>I41-G41</f>
        <v>105</v>
      </c>
      <c r="K41" s="16">
        <f>E41-H41</f>
        <v>0</v>
      </c>
      <c r="L41" s="190"/>
      <c r="M41" s="193"/>
      <c r="O41" s="27"/>
      <c r="P41" s="27"/>
    </row>
    <row r="42" spans="1:18" x14ac:dyDescent="0.2">
      <c r="A42" s="972" t="s">
        <v>20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0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 x14ac:dyDescent="0.2">
      <c r="A43" s="972" t="s">
        <v>20</v>
      </c>
      <c r="B43" s="66" t="s">
        <v>24</v>
      </c>
      <c r="C43" s="66"/>
      <c r="D43" s="66"/>
      <c r="E43" s="191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1" t="str">
        <f>IF(G43="",E43,"")</f>
        <v/>
      </c>
      <c r="M43" s="71"/>
      <c r="O43" s="27"/>
      <c r="P43" s="27"/>
      <c r="Q43" s="27"/>
      <c r="R43" s="97" t="s">
        <v>80</v>
      </c>
    </row>
    <row r="44" spans="1:18" x14ac:dyDescent="0.2">
      <c r="A44" s="972" t="s">
        <v>20</v>
      </c>
      <c r="B44" s="66" t="s">
        <v>25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1" t="str">
        <f>IF(G44="",E44,"")</f>
        <v/>
      </c>
      <c r="M44" s="71"/>
      <c r="O44" s="27"/>
      <c r="P44" s="27"/>
      <c r="Q44" s="27"/>
      <c r="R44" s="97" t="s">
        <v>80</v>
      </c>
    </row>
    <row r="45" spans="1:18" x14ac:dyDescent="0.2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1" t="s">
        <v>81</v>
      </c>
      <c r="I45" s="893"/>
      <c r="J45" s="4"/>
      <c r="K45" s="16">
        <f>E45</f>
        <v>350831</v>
      </c>
      <c r="L45" s="71" t="str">
        <f>IF(G45="",E45,"")</f>
        <v/>
      </c>
      <c r="M45" s="71"/>
      <c r="O45" s="27"/>
      <c r="P45" s="27"/>
      <c r="Q45" s="27"/>
      <c r="R45" s="97" t="s">
        <v>80</v>
      </c>
    </row>
    <row r="46" spans="1:18" x14ac:dyDescent="0.2">
      <c r="A46" s="55"/>
      <c r="B46" s="51"/>
      <c r="C46" s="51"/>
      <c r="D46" s="51"/>
      <c r="E46" s="58">
        <f>SUM(E41:E45)</f>
        <v>3330481.37</v>
      </c>
      <c r="F46" s="69"/>
      <c r="G46" s="70"/>
      <c r="H46" s="58">
        <f>SUM(H41:H45)</f>
        <v>2979650.37</v>
      </c>
      <c r="I46" s="70"/>
      <c r="J46" s="50"/>
      <c r="K46" s="62">
        <f>SUM(K41:K45)</f>
        <v>350831</v>
      </c>
      <c r="L46" s="62">
        <f>SUM(L41:L45)</f>
        <v>0</v>
      </c>
      <c r="M46" s="62"/>
      <c r="N46" s="165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x14ac:dyDescent="0.2">
      <c r="A47" s="59"/>
      <c r="B47" s="60"/>
      <c r="C47" s="60"/>
      <c r="D47" s="60"/>
      <c r="E47" s="41">
        <f>E46+E38</f>
        <v>4448057.1500000004</v>
      </c>
      <c r="F47" s="98"/>
      <c r="G47" s="99"/>
      <c r="H47" s="41">
        <f>H46+H38</f>
        <v>3896551.0100000002</v>
      </c>
      <c r="I47" s="99"/>
      <c r="J47" s="99"/>
      <c r="K47" s="1088">
        <f>SUM(K46:L46)</f>
        <v>350831</v>
      </c>
      <c r="L47" s="1089"/>
      <c r="M47" s="144"/>
    </row>
    <row r="48" spans="1:18" x14ac:dyDescent="0.2">
      <c r="E48" s="26"/>
      <c r="F48" s="100"/>
      <c r="G48" s="26"/>
      <c r="H48" s="26"/>
      <c r="I48" s="26"/>
      <c r="J48" s="26"/>
      <c r="K48" s="1086">
        <f>K47+K39</f>
        <v>551506.14</v>
      </c>
      <c r="L48" s="1090"/>
      <c r="M48" s="145"/>
      <c r="N48" s="165">
        <f>E47-(H47+K48)</f>
        <v>0</v>
      </c>
    </row>
    <row r="49" spans="1:18" x14ac:dyDescent="0.2">
      <c r="E49" s="26"/>
      <c r="F49" s="100"/>
      <c r="G49" s="26"/>
      <c r="H49" s="26"/>
      <c r="I49" s="26"/>
      <c r="J49" s="101" t="s">
        <v>18</v>
      </c>
      <c r="K49" s="56">
        <f>K38</f>
        <v>200675.14</v>
      </c>
      <c r="L49" s="57" t="s">
        <v>95</v>
      </c>
      <c r="M49" s="57"/>
    </row>
    <row r="50" spans="1:18" x14ac:dyDescent="0.2">
      <c r="E50" s="26">
        <v>3470269.97</v>
      </c>
      <c r="F50" s="100"/>
      <c r="G50" s="26"/>
      <c r="H50" s="26"/>
      <c r="I50" s="26"/>
      <c r="J50" s="25" t="s">
        <v>18</v>
      </c>
      <c r="K50" s="16">
        <f>K46</f>
        <v>350831</v>
      </c>
      <c r="L50" s="4" t="s">
        <v>28</v>
      </c>
      <c r="M50" s="4"/>
    </row>
    <row r="51" spans="1:18" x14ac:dyDescent="0.2">
      <c r="A51" s="1"/>
      <c r="E51" s="27"/>
      <c r="F51" s="100"/>
      <c r="G51" s="27"/>
      <c r="H51" s="26"/>
      <c r="I51" s="26"/>
      <c r="J51" s="102"/>
      <c r="K51" s="41">
        <f>SUM(K49:K50)</f>
        <v>551506.14</v>
      </c>
      <c r="L51" s="39"/>
      <c r="M51" s="39"/>
    </row>
    <row r="52" spans="1:18" x14ac:dyDescent="0.2">
      <c r="A52" s="1"/>
      <c r="E52" s="26"/>
      <c r="F52" s="100"/>
      <c r="G52" s="26"/>
      <c r="H52" s="26"/>
      <c r="I52" s="26"/>
      <c r="J52" s="25" t="s">
        <v>26</v>
      </c>
      <c r="K52" s="16">
        <f>L38</f>
        <v>0</v>
      </c>
      <c r="L52" s="4" t="s">
        <v>95</v>
      </c>
      <c r="M52" s="4"/>
    </row>
    <row r="53" spans="1:18" x14ac:dyDescent="0.2">
      <c r="A53" s="1"/>
      <c r="E53" s="26"/>
      <c r="F53" s="100"/>
      <c r="G53" s="26"/>
      <c r="H53" s="26"/>
      <c r="I53" s="26"/>
      <c r="J53" s="38" t="s">
        <v>27</v>
      </c>
      <c r="K53" s="40">
        <f>L46</f>
        <v>0</v>
      </c>
      <c r="L53" s="39" t="s">
        <v>28</v>
      </c>
      <c r="M53" s="39"/>
    </row>
    <row r="54" spans="1:18" s="6" customFormat="1" x14ac:dyDescent="0.2">
      <c r="B54" s="1"/>
      <c r="C54" s="1"/>
      <c r="D54" s="1"/>
      <c r="E54" s="26"/>
      <c r="F54" s="100"/>
      <c r="G54" s="26"/>
      <c r="H54" s="26"/>
      <c r="I54" s="26"/>
      <c r="J54" s="38"/>
      <c r="K54" s="103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x14ac:dyDescent="0.2">
      <c r="E57" s="366" t="s">
        <v>192</v>
      </c>
      <c r="H57" s="367" t="s">
        <v>194</v>
      </c>
      <c r="K57" s="366" t="s">
        <v>192</v>
      </c>
      <c r="L57" s="367" t="s">
        <v>194</v>
      </c>
    </row>
    <row r="58" spans="1:18" x14ac:dyDescent="0.2">
      <c r="D58" s="375">
        <v>40940</v>
      </c>
      <c r="E58" s="90">
        <f t="shared" ref="E58:E78" si="2">SUMPRODUCT((DateAF_ST_LEU&lt;&gt;"")*(MONTH(DateAF_ST_LEU)=MONTH(D58))*(YEAR(DateAF_ST_LEU)=YEAR(D58))*MontantAF_ST_LEU)</f>
        <v>68305.850000000006</v>
      </c>
      <c r="G58" s="375">
        <v>40940</v>
      </c>
      <c r="H58" s="90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0">
        <f>SUMPRODUCT((YEAR($D$58:$D$78)=J58)*($E$58:$E$78))</f>
        <v>369138.64</v>
      </c>
      <c r="L58" s="90">
        <f>SUMPRODUCT((YEAR($D$58:$D$78)=J58)*($H$58:$H$78))</f>
        <v>23978.81</v>
      </c>
    </row>
    <row r="59" spans="1:18" x14ac:dyDescent="0.2">
      <c r="D59" s="375">
        <v>40969</v>
      </c>
      <c r="E59" s="90">
        <f t="shared" si="2"/>
        <v>23978.81</v>
      </c>
      <c r="G59" s="375">
        <v>40969</v>
      </c>
      <c r="H59" s="90">
        <f t="shared" si="3"/>
        <v>0</v>
      </c>
      <c r="J59" s="1">
        <v>2013</v>
      </c>
      <c r="K59" s="90">
        <f t="shared" ref="K59:K64" si="4">SUMPRODUCT((YEAR($D$58:$D$78)=J59)*($E$58:$E$78))</f>
        <v>328396.61000000004</v>
      </c>
      <c r="L59" s="90">
        <f t="shared" ref="L59:L64" si="5">SUMPRODUCT((YEAR($D$58:$D$78)=J59)*($H$58:$H$78))</f>
        <v>91990.6</v>
      </c>
    </row>
    <row r="60" spans="1:18" x14ac:dyDescent="0.2">
      <c r="D60" s="375">
        <v>41030</v>
      </c>
      <c r="E60" s="90">
        <f t="shared" si="2"/>
        <v>92284.66</v>
      </c>
      <c r="G60" s="375">
        <v>41030</v>
      </c>
      <c r="H60" s="90">
        <f t="shared" si="3"/>
        <v>23978.81</v>
      </c>
      <c r="J60" s="1">
        <v>2014</v>
      </c>
      <c r="K60" s="90">
        <f t="shared" si="4"/>
        <v>3077009.68</v>
      </c>
      <c r="L60" s="90">
        <f t="shared" si="5"/>
        <v>71936.430000000008</v>
      </c>
    </row>
    <row r="61" spans="1:18" x14ac:dyDescent="0.2">
      <c r="D61" s="375">
        <v>41122</v>
      </c>
      <c r="E61" s="90">
        <f t="shared" si="2"/>
        <v>92284.66</v>
      </c>
      <c r="G61" s="375">
        <v>41122</v>
      </c>
      <c r="H61" s="90">
        <f t="shared" si="3"/>
        <v>0</v>
      </c>
      <c r="J61" s="1">
        <v>2015</v>
      </c>
      <c r="K61" s="90">
        <f t="shared" si="4"/>
        <v>443115.66000000003</v>
      </c>
      <c r="L61" s="90">
        <f t="shared" si="5"/>
        <v>827337.32000000007</v>
      </c>
    </row>
    <row r="62" spans="1:18" x14ac:dyDescent="0.2">
      <c r="D62" s="375">
        <v>41183</v>
      </c>
      <c r="E62" s="90">
        <f t="shared" si="2"/>
        <v>92284.66</v>
      </c>
      <c r="G62" s="375">
        <v>41183</v>
      </c>
      <c r="H62" s="90">
        <f t="shared" si="3"/>
        <v>0</v>
      </c>
      <c r="J62" s="1">
        <v>2016</v>
      </c>
      <c r="K62" s="90">
        <f t="shared" si="4"/>
        <v>0</v>
      </c>
      <c r="L62" s="90">
        <f t="shared" si="5"/>
        <v>1442192.77</v>
      </c>
    </row>
    <row r="63" spans="1:18" x14ac:dyDescent="0.2">
      <c r="D63" s="375">
        <v>41306</v>
      </c>
      <c r="E63" s="90">
        <f t="shared" si="2"/>
        <v>30015.48</v>
      </c>
      <c r="G63" s="375">
        <v>41306</v>
      </c>
      <c r="H63" s="90">
        <f t="shared" si="3"/>
        <v>0</v>
      </c>
      <c r="J63" s="1">
        <v>2017</v>
      </c>
      <c r="K63" s="90">
        <f>SUMPRODUCT((YEAR($D$58:$D$78)=J63)*($E$58:$E$78))</f>
        <v>41383.379999999997</v>
      </c>
      <c r="L63" s="90">
        <f>SUMPRODUCT((YEAR($D$58:$D$78)=J63)*($H$58:$H$78))</f>
        <v>0</v>
      </c>
    </row>
    <row r="64" spans="1:18" x14ac:dyDescent="0.2">
      <c r="D64" s="375">
        <v>41365</v>
      </c>
      <c r="E64" s="90">
        <f t="shared" si="2"/>
        <v>30015.48</v>
      </c>
      <c r="G64" s="375">
        <v>41365</v>
      </c>
      <c r="H64" s="90">
        <f t="shared" si="3"/>
        <v>0</v>
      </c>
      <c r="J64" s="1">
        <v>2018</v>
      </c>
      <c r="K64" s="90">
        <f t="shared" si="4"/>
        <v>0</v>
      </c>
      <c r="L64" s="90">
        <f t="shared" si="5"/>
        <v>0</v>
      </c>
    </row>
    <row r="65" spans="1:13" x14ac:dyDescent="0.2">
      <c r="D65" s="375">
        <v>41395</v>
      </c>
      <c r="E65" s="90">
        <f t="shared" si="2"/>
        <v>30015.48</v>
      </c>
      <c r="G65" s="375">
        <v>41395</v>
      </c>
      <c r="H65" s="90">
        <f t="shared" si="3"/>
        <v>0</v>
      </c>
      <c r="K65" s="457">
        <f>SUM(K58:K64)</f>
        <v>4259043.97</v>
      </c>
      <c r="L65" s="457">
        <f>SUM(L58:L64)</f>
        <v>2457435.9300000002</v>
      </c>
      <c r="M65" s="90">
        <f>L65-K65</f>
        <v>-1801608.0399999996</v>
      </c>
    </row>
    <row r="66" spans="1:13" x14ac:dyDescent="0.2">
      <c r="D66" s="375">
        <v>41548</v>
      </c>
      <c r="E66" s="90">
        <f t="shared" si="2"/>
        <v>196966.78000000003</v>
      </c>
      <c r="G66" s="375">
        <v>41548</v>
      </c>
      <c r="H66" s="90">
        <f t="shared" si="3"/>
        <v>91990.6</v>
      </c>
      <c r="K66" s="90">
        <f>K65-E80</f>
        <v>0</v>
      </c>
      <c r="L66" s="90">
        <f>L65-H80</f>
        <v>0</v>
      </c>
    </row>
    <row r="67" spans="1:13" x14ac:dyDescent="0.2">
      <c r="D67" s="375">
        <v>41579</v>
      </c>
      <c r="E67" s="90">
        <f t="shared" si="2"/>
        <v>41383.39</v>
      </c>
      <c r="G67" s="375">
        <v>41579</v>
      </c>
      <c r="H67" s="90">
        <f t="shared" si="3"/>
        <v>0</v>
      </c>
    </row>
    <row r="68" spans="1:13" x14ac:dyDescent="0.2">
      <c r="D68" s="375">
        <v>41640</v>
      </c>
      <c r="E68" s="90">
        <f t="shared" si="2"/>
        <v>41383.39</v>
      </c>
      <c r="G68" s="375">
        <v>41640</v>
      </c>
      <c r="H68" s="90">
        <f t="shared" si="3"/>
        <v>71936.430000000008</v>
      </c>
    </row>
    <row r="69" spans="1:13" x14ac:dyDescent="0.2">
      <c r="D69" s="375">
        <v>41699</v>
      </c>
      <c r="E69" s="90">
        <f t="shared" si="2"/>
        <v>147966.51999999999</v>
      </c>
      <c r="G69" s="375">
        <v>41699</v>
      </c>
      <c r="H69" s="90">
        <f t="shared" si="3"/>
        <v>0</v>
      </c>
    </row>
    <row r="70" spans="1:13" x14ac:dyDescent="0.2">
      <c r="D70" s="375">
        <v>41913</v>
      </c>
      <c r="E70" s="90">
        <f t="shared" si="2"/>
        <v>319852</v>
      </c>
      <c r="G70" s="375">
        <v>41913</v>
      </c>
      <c r="H70" s="90">
        <f t="shared" si="3"/>
        <v>0</v>
      </c>
    </row>
    <row r="71" spans="1:13" x14ac:dyDescent="0.2">
      <c r="D71" s="375">
        <v>41944</v>
      </c>
      <c r="E71" s="90">
        <f t="shared" si="2"/>
        <v>2567807.77</v>
      </c>
      <c r="G71" s="375">
        <v>41944</v>
      </c>
      <c r="H71" s="90">
        <f t="shared" si="3"/>
        <v>0</v>
      </c>
    </row>
    <row r="72" spans="1:13" x14ac:dyDescent="0.2">
      <c r="D72" s="375">
        <v>42036</v>
      </c>
      <c r="E72" s="90">
        <f t="shared" si="2"/>
        <v>92284.66</v>
      </c>
      <c r="G72" s="375">
        <v>42036</v>
      </c>
      <c r="H72" s="90">
        <f t="shared" si="3"/>
        <v>273223.40000000002</v>
      </c>
    </row>
    <row r="73" spans="1:13" x14ac:dyDescent="0.2">
      <c r="D73" s="375">
        <v>42064</v>
      </c>
      <c r="E73" s="90">
        <f t="shared" si="2"/>
        <v>0</v>
      </c>
      <c r="G73" s="375">
        <v>42064</v>
      </c>
      <c r="H73" s="90">
        <f t="shared" si="3"/>
        <v>120061.92</v>
      </c>
    </row>
    <row r="74" spans="1:13" x14ac:dyDescent="0.2">
      <c r="D74" s="375">
        <v>42217</v>
      </c>
      <c r="E74" s="90">
        <f t="shared" si="2"/>
        <v>0</v>
      </c>
      <c r="G74" s="375">
        <v>42217</v>
      </c>
      <c r="H74" s="90">
        <f t="shared" si="3"/>
        <v>114200</v>
      </c>
    </row>
    <row r="75" spans="1:13" x14ac:dyDescent="0.2">
      <c r="D75" s="375">
        <v>42248</v>
      </c>
      <c r="E75" s="90">
        <f t="shared" si="2"/>
        <v>0</v>
      </c>
      <c r="G75" s="375">
        <v>42248</v>
      </c>
      <c r="H75" s="90">
        <f t="shared" si="3"/>
        <v>319852</v>
      </c>
    </row>
    <row r="76" spans="1:13" x14ac:dyDescent="0.2">
      <c r="D76" s="375">
        <v>42339</v>
      </c>
      <c r="E76" s="90">
        <f t="shared" si="2"/>
        <v>350831</v>
      </c>
      <c r="G76" s="375">
        <v>42339</v>
      </c>
      <c r="H76" s="90">
        <f t="shared" si="3"/>
        <v>0</v>
      </c>
    </row>
    <row r="77" spans="1:13" x14ac:dyDescent="0.2">
      <c r="D77" s="375">
        <v>42370</v>
      </c>
      <c r="E77" s="90">
        <f t="shared" si="2"/>
        <v>0</v>
      </c>
      <c r="G77" s="375">
        <v>42370</v>
      </c>
      <c r="H77" s="90">
        <f t="shared" si="3"/>
        <v>1442192.77</v>
      </c>
    </row>
    <row r="78" spans="1:13" x14ac:dyDescent="0.2">
      <c r="D78" s="375">
        <v>42767</v>
      </c>
      <c r="E78" s="90">
        <f t="shared" si="2"/>
        <v>41383.379999999997</v>
      </c>
      <c r="G78" s="375">
        <v>42767</v>
      </c>
      <c r="H78" s="90">
        <f t="shared" si="3"/>
        <v>0</v>
      </c>
    </row>
    <row r="79" spans="1:13" x14ac:dyDescent="0.2">
      <c r="D79" s="375"/>
      <c r="E79" s="90"/>
      <c r="G79" s="375"/>
      <c r="H79" s="90"/>
    </row>
    <row r="80" spans="1:13" s="8" customFormat="1" x14ac:dyDescent="0.2">
      <c r="A80" s="455"/>
      <c r="E80" s="457">
        <f>SUM(E58:E78)</f>
        <v>4259043.97</v>
      </c>
      <c r="F80" s="455"/>
      <c r="H80" s="457">
        <f>SUM(H58:H78)</f>
        <v>2457435.9300000002</v>
      </c>
      <c r="J80" s="1"/>
      <c r="K80" s="1"/>
      <c r="L80" s="1"/>
    </row>
    <row r="81" spans="5:12" x14ac:dyDescent="0.2">
      <c r="E81" s="90">
        <f>E80-E47</f>
        <v>-189013.18000000063</v>
      </c>
      <c r="H81" s="90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23" priority="6">
      <formula>$H$6:$H$37="en attente"</formula>
    </cfRule>
  </conditionalFormatting>
  <conditionalFormatting sqref="A7:L37">
    <cfRule type="expression" dxfId="22" priority="5">
      <formula>$H$6:$H$37="en attente"</formula>
    </cfRule>
  </conditionalFormatting>
  <conditionalFormatting sqref="M6">
    <cfRule type="expression" dxfId="21" priority="4">
      <formula>$H$6:$H$37="en attente"</formula>
    </cfRule>
  </conditionalFormatting>
  <conditionalFormatting sqref="M7:M37">
    <cfRule type="expression" dxfId="20" priority="3">
      <formula>$H$6:$H$37="en attente"</formula>
    </cfRule>
  </conditionalFormatting>
  <conditionalFormatting sqref="K41:K42">
    <cfRule type="expression" dxfId="19" priority="2">
      <formula>$H$6:$H$37="en attente"</formula>
    </cfRule>
  </conditionalFormatting>
  <conditionalFormatting sqref="H41">
    <cfRule type="expression" dxfId="18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48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EJ94"/>
  <sheetViews>
    <sheetView zoomScale="83" zoomScaleNormal="83" workbookViewId="0">
      <pane xSplit="1" ySplit="2" topLeftCell="B66" activePane="bottomRight" state="frozen"/>
      <selection pane="topRight" activeCell="B1" sqref="B1"/>
      <selection pane="bottomLeft" activeCell="A2" sqref="A2"/>
      <selection pane="bottomRight" activeCell="A89" sqref="A89"/>
    </sheetView>
  </sheetViews>
  <sheetFormatPr baseColWidth="10" defaultRowHeight="12.75" outlineLevelCol="1" x14ac:dyDescent="0.2"/>
  <cols>
    <col min="1" max="2" width="23.85546875" style="437" customWidth="1"/>
    <col min="3" max="3" width="19.85546875" customWidth="1" outlineLevel="1"/>
    <col min="4" max="4" width="13.140625" customWidth="1" outlineLevel="1"/>
    <col min="5" max="5" width="17.7109375" customWidth="1" outlineLevel="1"/>
    <col min="6" max="6" width="16.28515625" customWidth="1" outlineLevel="1"/>
    <col min="7" max="7" width="14.42578125" customWidth="1" outlineLevel="1"/>
    <col min="8" max="8" width="18.28515625" customWidth="1" outlineLevel="1"/>
    <col min="9" max="12" width="15.85546875" customWidth="1" outlineLevel="1"/>
    <col min="13" max="13" width="14.5703125" customWidth="1" outlineLevel="1"/>
    <col min="14" max="14" width="15.140625" customWidth="1" outlineLevel="1"/>
    <col min="15" max="16" width="14.42578125" customWidth="1" outlineLevel="1"/>
    <col min="17" max="17" width="17.28515625" customWidth="1" outlineLevel="1"/>
    <col min="18" max="18" width="16" customWidth="1" outlineLevel="1"/>
    <col min="19" max="19" width="32.42578125" bestFit="1" customWidth="1"/>
    <col min="20" max="20" width="32.42578125" customWidth="1"/>
    <col min="21" max="32" width="20.85546875" hidden="1" customWidth="1"/>
    <col min="33" max="33" width="20.85546875" customWidth="1"/>
    <col min="34" max="34" width="20.85546875" style="1043" customWidth="1"/>
    <col min="35" max="35" width="18.28515625" customWidth="1" outlineLevel="1"/>
    <col min="36" max="36" width="18.42578125" style="496" bestFit="1" customWidth="1"/>
    <col min="37" max="37" width="18.28515625" hidden="1" customWidth="1" outlineLevel="1"/>
    <col min="38" max="38" width="18.42578125" style="496" bestFit="1" customWidth="1" collapsed="1"/>
    <col min="39" max="39" width="19.140625" hidden="1" customWidth="1" outlineLevel="1"/>
    <col min="40" max="40" width="18.42578125" style="496" bestFit="1" customWidth="1" collapsed="1"/>
    <col min="41" max="41" width="18.28515625" hidden="1" customWidth="1" outlineLevel="1"/>
    <col min="42" max="42" width="19.140625" hidden="1" customWidth="1" outlineLevel="1"/>
    <col min="43" max="43" width="16.140625" hidden="1" customWidth="1" outlineLevel="1"/>
    <col min="44" max="44" width="27.28515625" style="437" hidden="1" customWidth="1" outlineLevel="1"/>
    <col min="45" max="45" width="18.42578125" style="496" bestFit="1" customWidth="1" collapsed="1"/>
    <col min="46" max="46" width="18.28515625" hidden="1" customWidth="1" outlineLevel="1"/>
    <col min="47" max="47" width="14.85546875" hidden="1" customWidth="1" outlineLevel="1"/>
    <col min="48" max="48" width="12.85546875" hidden="1" customWidth="1" outlineLevel="1"/>
    <col min="49" max="49" width="16.140625" hidden="1" customWidth="1" outlineLevel="1"/>
    <col min="50" max="50" width="16.42578125" hidden="1" customWidth="1" outlineLevel="1"/>
    <col min="51" max="51" width="13.42578125" hidden="1" customWidth="1" outlineLevel="1"/>
    <col min="52" max="52" width="18.42578125" style="496" bestFit="1" customWidth="1" collapsed="1"/>
    <col min="53" max="53" width="18.28515625" hidden="1" customWidth="1" outlineLevel="1"/>
    <col min="54" max="56" width="14.85546875" hidden="1" customWidth="1" outlineLevel="1"/>
    <col min="57" max="57" width="16.140625" hidden="1" customWidth="1" outlineLevel="1"/>
    <col min="58" max="58" width="13.42578125" hidden="1" customWidth="1" outlineLevel="1"/>
    <col min="59" max="59" width="18.42578125" style="496" bestFit="1" customWidth="1" collapsed="1"/>
    <col min="60" max="60" width="18.28515625" hidden="1" customWidth="1" outlineLevel="1"/>
    <col min="61" max="63" width="14.85546875" hidden="1" customWidth="1" outlineLevel="1"/>
    <col min="64" max="64" width="12.85546875" hidden="1" customWidth="1" outlineLevel="1"/>
    <col min="65" max="65" width="16.140625" hidden="1" customWidth="1" outlineLevel="1"/>
    <col min="66" max="66" width="18.42578125" style="496" bestFit="1" customWidth="1" collapsed="1"/>
    <col min="67" max="67" width="18.28515625" hidden="1" customWidth="1" outlineLevel="1"/>
    <col min="68" max="70" width="14.85546875" hidden="1" customWidth="1" outlineLevel="1"/>
    <col min="71" max="71" width="12" hidden="1" customWidth="1" outlineLevel="1"/>
    <col min="72" max="72" width="18.42578125" style="496" bestFit="1" customWidth="1" collapsed="1"/>
    <col min="73" max="73" width="18.28515625" hidden="1" customWidth="1" outlineLevel="1"/>
    <col min="74" max="76" width="14.85546875" hidden="1" customWidth="1" outlineLevel="1"/>
    <col min="77" max="77" width="12.85546875" hidden="1" customWidth="1" outlineLevel="1"/>
    <col min="78" max="79" width="16.140625" hidden="1" customWidth="1" outlineLevel="1"/>
    <col min="80" max="80" width="12" hidden="1" customWidth="1" outlineLevel="1"/>
    <col min="81" max="81" width="13.42578125" hidden="1" customWidth="1" outlineLevel="1"/>
    <col min="82" max="82" width="12.85546875" style="437" hidden="1" customWidth="1" outlineLevel="1"/>
    <col min="83" max="83" width="22.5703125" hidden="1" customWidth="1" outlineLevel="1"/>
    <col min="84" max="84" width="26.28515625" style="496" bestFit="1" customWidth="1" collapsed="1"/>
    <col min="85" max="85" width="18.28515625" hidden="1" customWidth="1" outlineLevel="1"/>
    <col min="86" max="88" width="14.85546875" hidden="1" customWidth="1" outlineLevel="1"/>
    <col min="89" max="89" width="12.85546875" hidden="1" customWidth="1" outlineLevel="1"/>
    <col min="90" max="90" width="16.140625" hidden="1" customWidth="1" outlineLevel="1"/>
    <col min="91" max="91" width="13.42578125" hidden="1" customWidth="1" outlineLevel="1"/>
    <col min="92" max="92" width="12.85546875" style="437" hidden="1" customWidth="1" outlineLevel="1"/>
    <col min="93" max="93" width="15" hidden="1" customWidth="1" outlineLevel="1"/>
    <col min="94" max="94" width="26.28515625" style="496" bestFit="1" customWidth="1" collapsed="1"/>
    <col min="95" max="95" width="18.28515625" hidden="1" customWidth="1" outlineLevel="1"/>
    <col min="96" max="97" width="14.85546875" hidden="1" customWidth="1" outlineLevel="1"/>
    <col min="98" max="98" width="12.85546875" hidden="1" customWidth="1" outlineLevel="1"/>
    <col min="99" max="99" width="12.85546875" style="437" hidden="1" customWidth="1" outlineLevel="1"/>
    <col min="100" max="100" width="26.28515625" style="496" bestFit="1" customWidth="1" collapsed="1"/>
    <col min="101" max="101" width="18.28515625" hidden="1" customWidth="1" outlineLevel="1"/>
    <col min="102" max="102" width="12.85546875" hidden="1" customWidth="1" outlineLevel="1"/>
    <col min="103" max="104" width="14.85546875" hidden="1" customWidth="1" outlineLevel="1"/>
    <col min="105" max="105" width="12.85546875" hidden="1" customWidth="1" outlineLevel="1"/>
    <col min="106" max="106" width="16.140625" hidden="1" customWidth="1" outlineLevel="1"/>
    <col min="107" max="107" width="12" hidden="1" customWidth="1" outlineLevel="1"/>
    <col min="108" max="108" width="11.85546875" hidden="1" customWidth="1" outlineLevel="1"/>
    <col min="109" max="109" width="12.85546875" style="437" hidden="1" customWidth="1" outlineLevel="1"/>
    <col min="110" max="110" width="12.85546875" hidden="1" customWidth="1" outlineLevel="1"/>
    <col min="111" max="111" width="15" hidden="1" customWidth="1" outlineLevel="1"/>
    <col min="112" max="112" width="26.28515625" style="496" bestFit="1" customWidth="1" collapsed="1"/>
    <col min="113" max="113" width="12.85546875" hidden="1" customWidth="1" outlineLevel="1"/>
    <col min="114" max="114" width="11.42578125" hidden="1" customWidth="1" outlineLevel="1"/>
    <col min="115" max="115" width="12.85546875" hidden="1" customWidth="1" outlineLevel="1"/>
    <col min="116" max="116" width="14.42578125" hidden="1" customWidth="1" outlineLevel="1"/>
    <col min="117" max="120" width="11.42578125" hidden="1" customWidth="1" outlineLevel="1"/>
    <col min="121" max="121" width="12.85546875" hidden="1" customWidth="1" outlineLevel="1"/>
    <col min="122" max="123" width="11.42578125" hidden="1" customWidth="1" outlineLevel="1"/>
    <col min="124" max="124" width="26.28515625" style="496" bestFit="1" customWidth="1" collapsed="1"/>
  </cols>
  <sheetData>
    <row r="1" spans="1:140" s="1016" customFormat="1" x14ac:dyDescent="0.2">
      <c r="A1" s="1017"/>
      <c r="B1" s="1017"/>
      <c r="C1" s="1017"/>
      <c r="D1" s="1017"/>
      <c r="E1" s="1017"/>
      <c r="F1" s="1017"/>
      <c r="G1" s="1017"/>
      <c r="H1" s="1017"/>
      <c r="I1" s="1017"/>
      <c r="J1" s="1017"/>
      <c r="K1" s="1017"/>
      <c r="L1" s="1017"/>
      <c r="M1" s="1017"/>
      <c r="N1" s="1017"/>
      <c r="O1" s="1017"/>
      <c r="P1" s="1017"/>
      <c r="Q1" s="1017"/>
      <c r="R1" s="1017"/>
      <c r="S1" s="1017"/>
      <c r="T1" s="1039" t="s">
        <v>11</v>
      </c>
      <c r="U1" s="1032" t="s">
        <v>407</v>
      </c>
      <c r="V1" s="1032" t="s">
        <v>408</v>
      </c>
      <c r="W1" s="1032" t="s">
        <v>409</v>
      </c>
      <c r="X1" s="1032" t="s">
        <v>410</v>
      </c>
      <c r="Y1" s="1032" t="s">
        <v>411</v>
      </c>
      <c r="Z1" s="1032" t="s">
        <v>412</v>
      </c>
      <c r="AA1" s="1032" t="s">
        <v>413</v>
      </c>
      <c r="AB1" s="1032" t="s">
        <v>414</v>
      </c>
      <c r="AC1" s="1032" t="s">
        <v>415</v>
      </c>
      <c r="AD1" s="1032" t="s">
        <v>416</v>
      </c>
      <c r="AE1" s="1032" t="s">
        <v>417</v>
      </c>
      <c r="AF1" s="1032" t="s">
        <v>418</v>
      </c>
      <c r="AG1" s="1032" t="s">
        <v>421</v>
      </c>
      <c r="AH1" s="1033" t="s">
        <v>386</v>
      </c>
      <c r="AI1" s="1097">
        <v>2006</v>
      </c>
      <c r="AJ1" s="1097"/>
      <c r="AK1" s="1097">
        <v>2007</v>
      </c>
      <c r="AL1" s="1097"/>
      <c r="AM1" s="1097">
        <v>2009</v>
      </c>
      <c r="AN1" s="1097"/>
      <c r="AO1" s="1097">
        <v>2010</v>
      </c>
      <c r="AP1" s="1097"/>
      <c r="AQ1" s="1097"/>
      <c r="AR1" s="1097"/>
      <c r="AS1" s="1097"/>
      <c r="AT1" s="1097">
        <v>2011</v>
      </c>
      <c r="AU1" s="1097"/>
      <c r="AV1" s="1097"/>
      <c r="AW1" s="1097"/>
      <c r="AX1" s="1097"/>
      <c r="AY1" s="1097"/>
      <c r="AZ1" s="1097"/>
      <c r="BA1" s="1097">
        <v>2012</v>
      </c>
      <c r="BB1" s="1097"/>
      <c r="BC1" s="1097"/>
      <c r="BD1" s="1097"/>
      <c r="BE1" s="1097"/>
      <c r="BF1" s="1097"/>
      <c r="BG1" s="1097"/>
      <c r="BH1" s="1097">
        <v>2013</v>
      </c>
      <c r="BI1" s="1097"/>
      <c r="BJ1" s="1097"/>
      <c r="BK1" s="1097"/>
      <c r="BL1" s="1097"/>
      <c r="BM1" s="1097"/>
      <c r="BN1" s="1097"/>
      <c r="BO1" s="1097">
        <v>2014</v>
      </c>
      <c r="BP1" s="1097"/>
      <c r="BQ1" s="1097"/>
      <c r="BR1" s="1097"/>
      <c r="BS1" s="1097"/>
      <c r="BT1" s="1097"/>
      <c r="BU1" s="1097">
        <v>2015</v>
      </c>
      <c r="BV1" s="1097"/>
      <c r="BW1" s="1097"/>
      <c r="BX1" s="1097"/>
      <c r="BY1" s="1097"/>
      <c r="BZ1" s="1097"/>
      <c r="CA1" s="1097"/>
      <c r="CB1" s="1097"/>
      <c r="CC1" s="1097"/>
      <c r="CD1" s="1097"/>
      <c r="CE1" s="1097"/>
      <c r="CF1" s="1097"/>
      <c r="CG1" s="1097">
        <v>2016</v>
      </c>
      <c r="CH1" s="1097"/>
      <c r="CI1" s="1097"/>
      <c r="CJ1" s="1097"/>
      <c r="CK1" s="1097"/>
      <c r="CL1" s="1097"/>
      <c r="CM1" s="1097"/>
      <c r="CN1" s="1097"/>
      <c r="CO1" s="1097"/>
      <c r="CP1" s="1097"/>
      <c r="CQ1" s="1094">
        <v>2017</v>
      </c>
      <c r="CR1" s="1095"/>
      <c r="CS1" s="1095"/>
      <c r="CT1" s="1095"/>
      <c r="CU1" s="1095"/>
      <c r="CV1" s="1096"/>
      <c r="CW1" s="1091">
        <v>2018</v>
      </c>
      <c r="CX1" s="1092"/>
      <c r="CY1" s="1092"/>
      <c r="CZ1" s="1092"/>
      <c r="DA1" s="1092"/>
      <c r="DB1" s="1092"/>
      <c r="DC1" s="1092"/>
      <c r="DD1" s="1092"/>
      <c r="DE1" s="1092"/>
      <c r="DF1" s="1092"/>
      <c r="DG1" s="1092"/>
      <c r="DH1" s="1093"/>
      <c r="DI1" s="1094">
        <v>2019</v>
      </c>
      <c r="DJ1" s="1095"/>
      <c r="DK1" s="1095"/>
      <c r="DL1" s="1095"/>
      <c r="DM1" s="1095"/>
      <c r="DN1" s="1095"/>
      <c r="DO1" s="1095"/>
      <c r="DP1" s="1095"/>
      <c r="DQ1" s="1095"/>
      <c r="DR1" s="1095"/>
      <c r="DS1" s="1095"/>
      <c r="DT1" s="1096"/>
      <c r="DU1" s="1009"/>
      <c r="DV1" s="1009"/>
      <c r="DW1" s="1009"/>
      <c r="DX1" s="1009"/>
      <c r="DY1" s="1009"/>
      <c r="DZ1" s="1009"/>
      <c r="EA1" s="1009"/>
      <c r="EB1" s="1009"/>
      <c r="EC1" s="1009"/>
      <c r="ED1" s="1009"/>
      <c r="EE1" s="1009"/>
      <c r="EF1" s="1009"/>
      <c r="EG1" s="1009"/>
      <c r="EH1" s="1009"/>
      <c r="EI1" s="1009"/>
      <c r="EJ1" s="1009"/>
    </row>
    <row r="2" spans="1:140" s="1022" customFormat="1" x14ac:dyDescent="0.2">
      <c r="A2" s="1027" t="s">
        <v>378</v>
      </c>
      <c r="B2" s="1027" t="s">
        <v>394</v>
      </c>
      <c r="C2" s="909" t="s">
        <v>94</v>
      </c>
      <c r="D2" s="909" t="s">
        <v>377</v>
      </c>
      <c r="E2" s="909" t="s">
        <v>93</v>
      </c>
      <c r="F2" s="909" t="s">
        <v>260</v>
      </c>
      <c r="G2" s="909" t="s">
        <v>72</v>
      </c>
      <c r="H2" s="909" t="s">
        <v>75</v>
      </c>
      <c r="I2" s="909" t="s">
        <v>379</v>
      </c>
      <c r="J2" s="909" t="s">
        <v>74</v>
      </c>
      <c r="K2" s="909" t="s">
        <v>76</v>
      </c>
      <c r="L2" s="909" t="s">
        <v>73</v>
      </c>
      <c r="M2" s="909" t="s">
        <v>261</v>
      </c>
      <c r="N2" s="909" t="s">
        <v>262</v>
      </c>
      <c r="O2" s="909" t="s">
        <v>263</v>
      </c>
      <c r="P2" s="909" t="s">
        <v>398</v>
      </c>
      <c r="Q2" s="909" t="s">
        <v>380</v>
      </c>
      <c r="R2" s="909" t="s">
        <v>266</v>
      </c>
      <c r="S2" s="909" t="s">
        <v>385</v>
      </c>
      <c r="T2" s="1036"/>
      <c r="U2" s="1033"/>
      <c r="V2" s="1033"/>
      <c r="W2" s="1033"/>
      <c r="X2" s="1033"/>
      <c r="Y2" s="1033"/>
      <c r="Z2" s="1033"/>
      <c r="AA2" s="1033"/>
      <c r="AB2" s="1033"/>
      <c r="AC2" s="1033"/>
      <c r="AD2" s="1033"/>
      <c r="AE2" s="1033"/>
      <c r="AF2" s="1033"/>
      <c r="AG2" s="1033"/>
      <c r="AH2" s="1033"/>
      <c r="AI2" s="1010" t="s">
        <v>94</v>
      </c>
      <c r="AJ2" s="1011" t="s">
        <v>406</v>
      </c>
      <c r="AK2" s="1010" t="s">
        <v>94</v>
      </c>
      <c r="AL2" s="1011" t="s">
        <v>405</v>
      </c>
      <c r="AM2" s="1010" t="s">
        <v>93</v>
      </c>
      <c r="AN2" s="1011" t="s">
        <v>404</v>
      </c>
      <c r="AO2" s="1010" t="s">
        <v>94</v>
      </c>
      <c r="AP2" s="1010" t="s">
        <v>93</v>
      </c>
      <c r="AQ2" s="1010" t="s">
        <v>76</v>
      </c>
      <c r="AR2" s="1010" t="s">
        <v>398</v>
      </c>
      <c r="AS2" s="1011" t="s">
        <v>400</v>
      </c>
      <c r="AT2" s="1010" t="s">
        <v>94</v>
      </c>
      <c r="AU2" s="1010" t="s">
        <v>93</v>
      </c>
      <c r="AV2" s="1010" t="s">
        <v>75</v>
      </c>
      <c r="AW2" s="1010" t="s">
        <v>73</v>
      </c>
      <c r="AX2" s="1010" t="s">
        <v>261</v>
      </c>
      <c r="AY2" s="1010" t="s">
        <v>262</v>
      </c>
      <c r="AZ2" s="1011" t="s">
        <v>401</v>
      </c>
      <c r="BA2" s="1010" t="s">
        <v>94</v>
      </c>
      <c r="BB2" s="1010" t="s">
        <v>93</v>
      </c>
      <c r="BC2" s="1010" t="s">
        <v>260</v>
      </c>
      <c r="BD2" s="1010" t="s">
        <v>72</v>
      </c>
      <c r="BE2" s="1010" t="s">
        <v>76</v>
      </c>
      <c r="BF2" s="1010" t="s">
        <v>262</v>
      </c>
      <c r="BG2" s="1011" t="s">
        <v>402</v>
      </c>
      <c r="BH2" s="1010" t="s">
        <v>94</v>
      </c>
      <c r="BI2" s="1010" t="s">
        <v>93</v>
      </c>
      <c r="BJ2" s="1010" t="s">
        <v>260</v>
      </c>
      <c r="BK2" s="1010" t="s">
        <v>72</v>
      </c>
      <c r="BL2" s="1010" t="s">
        <v>75</v>
      </c>
      <c r="BM2" s="1010" t="s">
        <v>76</v>
      </c>
      <c r="BN2" s="1011" t="s">
        <v>403</v>
      </c>
      <c r="BO2" s="1010" t="s">
        <v>94</v>
      </c>
      <c r="BP2" s="1010" t="s">
        <v>93</v>
      </c>
      <c r="BQ2" s="1010" t="s">
        <v>260</v>
      </c>
      <c r="BR2" s="1010" t="s">
        <v>72</v>
      </c>
      <c r="BS2" s="1010" t="s">
        <v>261</v>
      </c>
      <c r="BT2" s="1011" t="s">
        <v>399</v>
      </c>
      <c r="BU2" s="1010" t="s">
        <v>94</v>
      </c>
      <c r="BV2" s="1010" t="s">
        <v>93</v>
      </c>
      <c r="BW2" s="1010" t="s">
        <v>260</v>
      </c>
      <c r="BX2" s="1010" t="s">
        <v>72</v>
      </c>
      <c r="BY2" s="1010" t="s">
        <v>75</v>
      </c>
      <c r="BZ2" s="1010" t="s">
        <v>74</v>
      </c>
      <c r="CA2" s="1010" t="s">
        <v>73</v>
      </c>
      <c r="CB2" s="1010" t="s">
        <v>261</v>
      </c>
      <c r="CC2" s="1010" t="s">
        <v>262</v>
      </c>
      <c r="CD2" s="1010" t="s">
        <v>398</v>
      </c>
      <c r="CE2" s="1010" t="s">
        <v>380</v>
      </c>
      <c r="CF2" s="1011" t="s">
        <v>396</v>
      </c>
      <c r="CG2" s="1010" t="s">
        <v>94</v>
      </c>
      <c r="CH2" s="1010" t="s">
        <v>93</v>
      </c>
      <c r="CI2" s="1010" t="s">
        <v>260</v>
      </c>
      <c r="CJ2" s="1010" t="s">
        <v>72</v>
      </c>
      <c r="CK2" s="1010" t="s">
        <v>75</v>
      </c>
      <c r="CL2" s="1010" t="s">
        <v>73</v>
      </c>
      <c r="CM2" s="1010" t="s">
        <v>262</v>
      </c>
      <c r="CN2" s="1010" t="s">
        <v>263</v>
      </c>
      <c r="CO2" s="1010" t="s">
        <v>266</v>
      </c>
      <c r="CP2" s="1011" t="s">
        <v>395</v>
      </c>
      <c r="CQ2" s="1010" t="s">
        <v>94</v>
      </c>
      <c r="CR2" s="1010" t="s">
        <v>93</v>
      </c>
      <c r="CS2" s="1010" t="s">
        <v>72</v>
      </c>
      <c r="CT2" s="1010" t="s">
        <v>75</v>
      </c>
      <c r="CU2" s="1010" t="s">
        <v>263</v>
      </c>
      <c r="CV2" s="1011" t="s">
        <v>392</v>
      </c>
      <c r="CW2" s="1010" t="s">
        <v>94</v>
      </c>
      <c r="CX2" s="1010" t="s">
        <v>377</v>
      </c>
      <c r="CY2" s="1010" t="s">
        <v>93</v>
      </c>
      <c r="CZ2" s="1010" t="s">
        <v>72</v>
      </c>
      <c r="DA2" s="1010" t="s">
        <v>75</v>
      </c>
      <c r="DB2" s="1010" t="s">
        <v>379</v>
      </c>
      <c r="DC2" s="1010" t="s">
        <v>261</v>
      </c>
      <c r="DD2" s="1010" t="s">
        <v>262</v>
      </c>
      <c r="DE2" s="1010" t="s">
        <v>263</v>
      </c>
      <c r="DF2" s="1010" t="s">
        <v>380</v>
      </c>
      <c r="DG2" s="1010" t="s">
        <v>266</v>
      </c>
      <c r="DH2" s="1011" t="s">
        <v>390</v>
      </c>
      <c r="DI2" s="1010" t="s">
        <v>94</v>
      </c>
      <c r="DJ2" s="1010" t="s">
        <v>377</v>
      </c>
      <c r="DK2" s="1010" t="s">
        <v>93</v>
      </c>
      <c r="DL2" s="1010" t="s">
        <v>72</v>
      </c>
      <c r="DM2" s="1010" t="s">
        <v>75</v>
      </c>
      <c r="DN2" s="1010" t="s">
        <v>379</v>
      </c>
      <c r="DO2" s="1010" t="s">
        <v>261</v>
      </c>
      <c r="DP2" s="1010" t="s">
        <v>262</v>
      </c>
      <c r="DQ2" s="1010" t="s">
        <v>263</v>
      </c>
      <c r="DR2" s="1010" t="s">
        <v>380</v>
      </c>
      <c r="DS2" s="1010" t="s">
        <v>266</v>
      </c>
      <c r="DT2" s="1011" t="s">
        <v>391</v>
      </c>
    </row>
    <row r="3" spans="1:140" x14ac:dyDescent="0.2">
      <c r="A3" s="908" t="s">
        <v>32</v>
      </c>
      <c r="B3" s="908">
        <v>2012</v>
      </c>
      <c r="C3" s="910">
        <f t="shared" ref="C3:C7" si="0">SUMPRODUCT((OP_FRAFU=A3)*(Bdgt_FRAFU))</f>
        <v>0</v>
      </c>
      <c r="D3" s="910">
        <f t="shared" ref="D3:D7" si="1">SUMPRODUCT((OP_Rehab=A3)*(Bdgt_Rehab))</f>
        <v>0</v>
      </c>
      <c r="E3" s="910">
        <f t="shared" ref="E3:E7" si="2">SUMPRODUCT((OP_LBU=A3)*(Bdgt_LBU))</f>
        <v>832014</v>
      </c>
      <c r="F3" s="910">
        <f t="shared" ref="F3:F34" si="3">SUMPRODUCT((OP_ST_LEU=A3)*(Bdgt_ST_LEU))</f>
        <v>0</v>
      </c>
      <c r="G3" s="910">
        <f t="shared" ref="G3:G7" si="4">SUMPRODUCT((OP_CAF=A3)*(Bdgt_CAF))</f>
        <v>0</v>
      </c>
      <c r="H3" s="910">
        <f t="shared" ref="H3:H7" si="5">SUMPRODUCT((OP_Region=A3)*(Bdgt_Region))</f>
        <v>0</v>
      </c>
      <c r="I3" s="910">
        <f t="shared" ref="I3:I7" si="6">SUMPRODUCT((OP_Rectorat=A3)*(Bdgt_Rectorat))</f>
        <v>0</v>
      </c>
      <c r="J3" s="910">
        <f t="shared" ref="J3:J34" si="7">SUMPRODUCT((OP_DIECCTE=A3)*(Bdgt_DIECCTE))</f>
        <v>0</v>
      </c>
      <c r="K3" s="910">
        <f t="shared" ref="K3:K34" si="8">SUMPRODUCT((OP_TCO=A3)*(Bdgt_TCO))</f>
        <v>0</v>
      </c>
      <c r="L3" s="910">
        <f t="shared" ref="L3:L34" si="9">SUMPRODUCT((OP_FEDER=A3)*(Bdgt_FEDER))</f>
        <v>0</v>
      </c>
      <c r="M3" s="910">
        <f t="shared" ref="M3:M7" si="10">SUMPRODUCT((OP_ADEME=A3)*(Bdgt_ADEME))</f>
        <v>0</v>
      </c>
      <c r="N3" s="910">
        <f t="shared" ref="N3:N7" si="11">SUMPRODUCT((OP_P_Ile=A3)*(Bdgt_P_Ile))</f>
        <v>0</v>
      </c>
      <c r="O3" s="910">
        <f t="shared" ref="O3:O7" si="12">SUMPRODUCT((OP_EDF=A3)*(Bdgt_EDF))</f>
        <v>0</v>
      </c>
      <c r="P3" s="910">
        <f t="shared" ref="P3:P34" si="13">SUMPRODUCT((OP_EAU=A3)*(Bdgt_EAU))</f>
        <v>0</v>
      </c>
      <c r="Q3" s="910">
        <f t="shared" ref="Q3:Q7" si="14">SUMPRODUCT((OP_ETG_SALE=A3)*(Bdgt_ETG_SALE))</f>
        <v>0</v>
      </c>
      <c r="R3" s="910">
        <f t="shared" ref="R3:R7" si="15">SUMPRODUCT((OP_ST_JO=A3)*(Bdgt_ST_JO))</f>
        <v>0</v>
      </c>
      <c r="S3" s="910">
        <f t="shared" ref="S3:S7" si="16">SUM(C3:R3)</f>
        <v>832014</v>
      </c>
      <c r="T3" s="1037">
        <f t="shared" ref="T3:T34" si="17">S3-AG3</f>
        <v>0</v>
      </c>
      <c r="U3" s="1034">
        <f>AJ3</f>
        <v>0</v>
      </c>
      <c r="V3" s="1034">
        <f>AL3+U3</f>
        <v>0</v>
      </c>
      <c r="W3" s="1034">
        <f>V3+AN3</f>
        <v>0</v>
      </c>
      <c r="X3" s="1034">
        <f>W3+AS3</f>
        <v>0</v>
      </c>
      <c r="Y3" s="1034">
        <f>X3+AZ3</f>
        <v>343039.37</v>
      </c>
      <c r="Z3" s="1034">
        <f>Y3+BG3</f>
        <v>665611.19999999995</v>
      </c>
      <c r="AA3" s="1034">
        <f>Z3+BN3</f>
        <v>665611.19999999995</v>
      </c>
      <c r="AB3" s="1034">
        <f>AA3+BT3</f>
        <v>665611.19999999995</v>
      </c>
      <c r="AC3" s="1034">
        <f>AB3+CF3</f>
        <v>832014</v>
      </c>
      <c r="AD3" s="1034">
        <f>AC3+CP3</f>
        <v>832014</v>
      </c>
      <c r="AE3" s="1034">
        <f>AD3+CV3</f>
        <v>832014</v>
      </c>
      <c r="AF3" s="1034">
        <f>AE3+DH3</f>
        <v>832014</v>
      </c>
      <c r="AG3" s="1034">
        <f>AF3+DT3</f>
        <v>832014</v>
      </c>
      <c r="AH3" s="1041">
        <f>IF(AG3/S3=0,"-",AG3/S3)</f>
        <v>1</v>
      </c>
      <c r="AI3" s="1014">
        <f t="shared" ref="AI3:AI34" si="18">SUMPRODUCT((OP_FRAFU=A3)*(DatePmt&lt;&gt;"")*(DatePmt&lt;&gt;"en attente")*(YEAR(DatePmt)=$AI$1)*(ISNUMBER(MontantPaye)),MontantPaye)</f>
        <v>0</v>
      </c>
      <c r="AJ3" s="1025">
        <f>SUM(AI3:AI3)</f>
        <v>0</v>
      </c>
      <c r="AK3" s="1014">
        <f t="shared" ref="AK3:AK34" si="19">SUMPRODUCT((OP_FRAFU=A3)*(DatePmt&lt;&gt;"")*(DatePmt&lt;&gt;"en attente")*(YEAR(DatePmt)=$AK$1)*(ISNUMBER(MontantPaye)),MontantPaye)</f>
        <v>0</v>
      </c>
      <c r="AL3" s="1025">
        <f>SUM(AK3:AK3)</f>
        <v>0</v>
      </c>
      <c r="AM3" s="1014">
        <f t="shared" ref="AM3:AM34" si="20">SUMPRODUCT((OP_LBU=A3)*(DatePmt_LBU&lt;&gt;"")*(DatePmt_LBU&lt;&gt;"en attente")*(YEAR(DatePmt_LBU)=$AM$1)*(ISNUMBER(MtntPaye_LBU)),MtntPaye_LBU)</f>
        <v>0</v>
      </c>
      <c r="AN3" s="1025">
        <f>SUM(AM3:AM3)</f>
        <v>0</v>
      </c>
      <c r="AO3" s="1014">
        <f t="shared" ref="AO3:AO34" si="21">SUMPRODUCT((OP_FRAFU=A3)*(DatePmt&lt;&gt;"")*(DatePmt&lt;&gt;"en attente")*(YEAR(DatePmt)=$AO$1)*(ISNUMBER(MontantPaye)),MontantPaye)</f>
        <v>0</v>
      </c>
      <c r="AP3" s="1014">
        <f t="shared" ref="AP3:AP34" si="22">SUMPRODUCT((OP_LBU=A3)*(DatePmt_LBU&lt;&gt;"")*(DatePmt_LBU&lt;&gt;"en attente")*(YEAR(DatePmt_LBU)=$AO$1)*(ISNUMBER(MtntPaye_LBU)),MtntPaye_LBU)</f>
        <v>0</v>
      </c>
      <c r="AQ3" s="1014">
        <f t="shared" ref="AQ3:AQ34" si="23">SUMPRODUCT((OP_TCO=A3)*(DatePmt_TCO&lt;&gt;"")*(DatePmt_TCO&lt;&gt;"en attente")*(YEAR(DatePmt_TCO)=$AO$1)*(ISNUMBER(MtntPaye_TCO)),MtntPaye_TCO)</f>
        <v>0</v>
      </c>
      <c r="AR3" s="1015">
        <f t="shared" ref="AR3:AR34" si="24">SUMPRODUCT((OP_EAU=A3)*(DatePmt_EAU&lt;&gt;"")*(DatePmt_EAU&lt;&gt;"en attente")*(YEAR(DatePmt_EAU)=$AO$1)*(ISNUMBER(MtntPaye_EAU)),MtntPaye_EAU)</f>
        <v>0</v>
      </c>
      <c r="AS3" s="1025">
        <f t="shared" ref="AS3:AS34" si="25">SUM(AO3:AR3)</f>
        <v>0</v>
      </c>
      <c r="AT3" s="1014">
        <f t="shared" ref="AT3:AT34" si="26">SUMPRODUCT((OP_FRAFU=A3)*(DatePmt&lt;&gt;"")*(DatePmt&lt;&gt;"en attente")*(YEAR(DatePmt)=$AT$1)*(ISNUMBER(MontantPaye)),MontantPaye)</f>
        <v>0</v>
      </c>
      <c r="AU3" s="1014">
        <f t="shared" ref="AU3:AU34" si="27">SUMPRODUCT((OP_LBU=A3)*(DatePmt_LBU&lt;&gt;"")*(DatePmt_LBU&lt;&gt;"en attente")*(YEAR(DatePmt_LBU)=$AT$1)*(ISNUMBER(MtntPaye_LBU)),MtntPaye_LBU)</f>
        <v>343039.37</v>
      </c>
      <c r="AV3" s="1014">
        <f t="shared" ref="AV3:AV34" si="28">SUMPRODUCT((OP_Region=A3)*(DatePmt_Region&lt;&gt;"")*(DatePmt_Region&lt;&gt;"en attente")*(YEAR(DatePmt_Region)=$AT$1)*(ISNUMBER(MtntPaye_Region)),MtntPaye_Region)</f>
        <v>0</v>
      </c>
      <c r="AW3" s="1014">
        <f t="shared" ref="AW3:AW34" si="29">SUMPRODUCT((OP_FEDER=A3)*(DatePmt_FEDER&lt;&gt;"")*(DatePmt_FEDER&lt;&gt;"en attente")*(YEAR(DatePmt_FEDER)=$AT$1)*(ISNUMBER(MtntPaye_FEDER)),MtntPaye_FEDER)</f>
        <v>0</v>
      </c>
      <c r="AX3" s="1014">
        <f t="shared" ref="AX3:AX34" si="30">SUMPRODUCT((OP_ADEME=A3)*(DatePmt_ADEME&lt;&gt;"")*(DatePmt_ADEME&lt;&gt;"en attente")*(YEAR(DatePmt_ADEME)=$AT$1)*(ISNUMBER(MtntPaye_ADEME)),MtntPaye_ADEME)</f>
        <v>0</v>
      </c>
      <c r="AY3" s="1014">
        <f t="shared" ref="AY3:AY34" si="31">SUMPRODUCT((OP_P_Ile=A3)*(DatePmt_P_ILE&lt;&gt;"")*(DatePmt_P_ILE&lt;&gt;"en attente")*(YEAR(DatePmt_P_ILE)=$AT$1)*(ISNUMBER(MtntPaye_P_ILE)),MtntPaye_P_ILE)</f>
        <v>0</v>
      </c>
      <c r="AZ3" s="1025">
        <f t="shared" ref="AZ3:AZ34" si="32">SUM(AT3:AY3)</f>
        <v>343039.37</v>
      </c>
      <c r="BA3" s="1014">
        <f t="shared" ref="BA3:BA34" si="33">SUMPRODUCT((OP_FRAFU=A3)*(DatePmt&lt;&gt;"")*(DatePmt&lt;&gt;"en attente")*(YEAR(DatePmt)=$BA$1)*(ISNUMBER(MontantPaye)),MontantPaye)</f>
        <v>0</v>
      </c>
      <c r="BB3" s="1014">
        <f t="shared" ref="BB3:BB34" si="34">SUMPRODUCT((OP_LBU=A3)*(DatePmt_LBU&lt;&gt;"")*(DatePmt_LBU&lt;&gt;"en attente")*(YEAR(DatePmt_LBU)=$BA$1)*(ISNUMBER(MtntPaye_LBU)),MtntPaye_LBU)</f>
        <v>322571.82999999996</v>
      </c>
      <c r="BC3" s="1014">
        <f t="shared" ref="BC3:BC34" si="35">SUMPRODUCT((OP_ST_LEU=A3)*(DatePmt_ST_LEU&lt;&gt;"")*(DatePmt_ST_LEU&lt;&gt;"en attente")*(YEAR(DatePmt_ST_LEU)=$BA$1)*(ISNUMBER(MtntPaye_ST_LEU)),MtntPaye_ST_LEU)</f>
        <v>0</v>
      </c>
      <c r="BD3" s="1014">
        <f t="shared" ref="BD3:BD34" si="36">SUMPRODUCT((OP_CAF=A3)*(DatePmt_caf&lt;&gt;"")*(DatePmt_caf&lt;&gt;"en attente")*(YEAR(DatePmt_caf)=$BA$1)*(ISNUMBER(MtntPaye_CAF)),MtntPaye_CAF)</f>
        <v>0</v>
      </c>
      <c r="BE3" s="1014">
        <f t="shared" ref="BE3:BE34" si="37">SUMPRODUCT((OP_TCO=A3)*(DatePmt_TCO&lt;&gt;"")*(DatePmt_TCO&lt;&gt;"en attente")*(YEAR(DatePmt_TCO)=$BA$1)*(ISNUMBER(MtntPaye_TCO)),MtntPaye_TCO)</f>
        <v>0</v>
      </c>
      <c r="BF3" s="1014">
        <f t="shared" ref="BF3:BF34" si="38">SUMPRODUCT((OP_P_Ile=A3)*(DatePmt_P_ILE&lt;&gt;"")*(DatePmt_P_ILE&lt;&gt;"en attente")*(YEAR(DatePmt_P_ILE)=$BA$1)*(ISNUMBER(MtntPaye_P_ILE)),MtntPaye_P_ILE)</f>
        <v>0</v>
      </c>
      <c r="BG3" s="1025">
        <f t="shared" ref="BG3:BG34" si="39">SUM(BA3:BF3)</f>
        <v>322571.82999999996</v>
      </c>
      <c r="BH3" s="1014">
        <f t="shared" ref="BH3:BH34" si="40">SUMPRODUCT((OP_FRAFU=A3)*(DatePmt&lt;&gt;"")*(DatePmt&lt;&gt;"en attente")*(YEAR(DatePmt)=$BH$1)*(ISNUMBER(MontantPaye)),MontantPaye)</f>
        <v>0</v>
      </c>
      <c r="BI3" s="1014">
        <f t="shared" ref="BI3:BI34" si="41">SUMPRODUCT((OP_LBU=A3)*(DatePmt_LBU&lt;&gt;"")*(DatePmt_LBU&lt;&gt;"en attente")*(YEAR(DatePmt_LBU)=$BH$1)*(ISNUMBER(MtntPaye_LBU)),MtntPaye_LBU)</f>
        <v>0</v>
      </c>
      <c r="BJ3" s="1014">
        <f t="shared" ref="BJ3:BJ34" si="42">SUMPRODUCT((OP_ST_LEU=A3)*(DatePmt_ST_LEU&lt;&gt;"")*(DatePmt_ST_LEU&lt;&gt;"en attente")*(YEAR(DatePmt_ST_LEU)=$BH$1)*(ISNUMBER(MtntPaye_ST_LEU)),MtntPaye_ST_LEU)</f>
        <v>0</v>
      </c>
      <c r="BK3" s="1014">
        <f t="shared" ref="BK3:BK34" si="43">SUMPRODUCT((OP_CAF=A3)*(DatePmt_caf&lt;&gt;"")*(DatePmt_caf&lt;&gt;"en attente")*(YEAR(DatePmt_caf)=$BH$1)*(ISNUMBER(MtntPaye_CAF)),MtntPaye_CAF)</f>
        <v>0</v>
      </c>
      <c r="BL3" s="1014">
        <f t="shared" ref="BL3:BL34" si="44">SUMPRODUCT((OP_Region=A3)*(DatePmt_Region&lt;&gt;"")*(DatePmt_Region&lt;&gt;"en attente")*(YEAR(DatePmt_Region)=$BH$1)*(ISNUMBER(MtntPaye_Region)),MtntPaye_Region)</f>
        <v>0</v>
      </c>
      <c r="BM3" s="1014">
        <f t="shared" ref="BM3:BM34" si="45">SUMPRODUCT((OP_TCO=A3)*(DatePmt_TCO&lt;&gt;"")*(DatePmt_TCO&lt;&gt;"en attente")*(YEAR(DatePmt_TCO)=$BH$1)*(ISNUMBER(MtntPaye_TCO)),MtntPaye_TCO)</f>
        <v>0</v>
      </c>
      <c r="BN3" s="1025">
        <f t="shared" ref="BN3:BN34" si="46">SUM(BH3:BM3)</f>
        <v>0</v>
      </c>
      <c r="BO3" s="1014">
        <f t="shared" ref="BO3:BO34" si="47">SUMPRODUCT((OP_FRAFU=A3)*(DatePmt&lt;&gt;"")*(DatePmt&lt;&gt;"en attente")*(YEAR(DatePmt)=$BO$1)*(ISNUMBER(MontantPaye)),MontantPaye)</f>
        <v>0</v>
      </c>
      <c r="BP3" s="1014">
        <f t="shared" ref="BP3:BP34" si="48">SUMPRODUCT((OP_LBU=A3)*(DatePmt_LBU&lt;&gt;"")*(DatePmt_LBU&lt;&gt;"en attente")*(YEAR(DatePmt_LBU)=$BO$1)*(ISNUMBER(MtntPaye_LBU)),MtntPaye_LBU)</f>
        <v>0</v>
      </c>
      <c r="BQ3" s="1014">
        <f t="shared" ref="BQ3:BQ34" si="49">SUMPRODUCT((OP_ST_LEU=A3)*(DatePmt_ST_LEU&lt;&gt;"")*(DatePmt_ST_LEU&lt;&gt;"en attente")*(YEAR(DatePmt_ST_LEU)=$BO$1)*(ISNUMBER(MtntPaye_ST_LEU)),MtntPaye_ST_LEU)</f>
        <v>0</v>
      </c>
      <c r="BR3" s="1014">
        <f t="shared" ref="BR3:BR34" si="50">SUMPRODUCT((OP_CAF=A3)*(DatePmt_caf&lt;&gt;"")*(DatePmt_caf&lt;&gt;"en attente")*(YEAR(DatePmt_caf)=$BO$1)*(ISNUMBER(MtntPaye_CAF)),MtntPaye_CAF)</f>
        <v>0</v>
      </c>
      <c r="BS3" s="1014">
        <f t="shared" ref="BS3:BS34" si="51">SUMPRODUCT((OP_ADEME=A3)*(DatePmt_ADEME&lt;&gt;"")*(DatePmt_ADEME&lt;&gt;"en attente")*(YEAR(DatePmt_ADEME)=$BO$1)*(ISNUMBER(MtntPaye_ADEME)),MtntPaye_ADEME)</f>
        <v>0</v>
      </c>
      <c r="BT3" s="1025">
        <f t="shared" ref="BT3:BT34" si="52">SUM(BO3:BS3)</f>
        <v>0</v>
      </c>
      <c r="BU3" s="1014">
        <f t="shared" ref="BU3:BU34" si="53">SUMPRODUCT((OP_FRAFU=A3)*(DatePmt&lt;&gt;"")*(DatePmt&lt;&gt;"en attente")*(YEAR(DatePmt)=$BU$1)*(ISNUMBER(MontantPaye)),MontantPaye)</f>
        <v>0</v>
      </c>
      <c r="BV3" s="1014">
        <f t="shared" ref="BV3:BV34" si="54">SUMPRODUCT((OP_LBU=A3)*(DatePmt_LBU&lt;&gt;"")*(DatePmt_LBU&lt;&gt;"en attente")*(YEAR(DatePmt_LBU)=$BU$1)*(ISNUMBER(MtntPaye_LBU)),MtntPaye_LBU)</f>
        <v>166402.79999999999</v>
      </c>
      <c r="BW3" s="1014">
        <f t="shared" ref="BW3:BW34" si="55">SUMPRODUCT((OP_ST_LEU=A3)*(DatePmt_ST_LEU&lt;&gt;"")*(DatePmt_ST_LEU&lt;&gt;"en attente")*(YEAR(DatePmt_ST_LEU)=$BU$1)*(ISNUMBER(MtntPaye_ST_LEU)),MtntPaye_ST_LEU)</f>
        <v>0</v>
      </c>
      <c r="BX3" s="1014">
        <f t="shared" ref="BX3:BX34" si="56">SUMPRODUCT((OP_CAF=A3)*(DatePmt_caf&lt;&gt;"")*(DatePmt_caf&lt;&gt;"en attente")*(YEAR(DatePmt_caf)=$BU$1)*(ISNUMBER(MtntPaye_CAF)),MtntPaye_CAF)</f>
        <v>0</v>
      </c>
      <c r="BY3" s="1014">
        <f t="shared" ref="BY3:BY34" si="57">SUMPRODUCT((OP_Region=A3)*(DatePmt_Region&lt;&gt;"")*(DatePmt_Region&lt;&gt;"en attente")*(YEAR(DatePmt_Region)=$BU$1)*(ISNUMBER(MtntPaye_Region)),MtntPaye_Region)</f>
        <v>0</v>
      </c>
      <c r="BZ3" s="1014">
        <f t="shared" ref="BZ3:BZ34" si="58">SUMPRODUCT((OP_DIECCTE=A3)*(DatePmt_DIECCTE&lt;&gt;"")*(DatePmt_DIECCTE&lt;&gt;"en attente")*(YEAR(DatePmt_DIECCTE)=$BU$1)*(ISNUMBER(MtntPaye_DIECCTE)),MtntPaye_DIECCTE)</f>
        <v>0</v>
      </c>
      <c r="CA3" s="1014">
        <f t="shared" ref="CA3:CA34" si="59">SUMPRODUCT((OP_FEDER=A3)*(DatePmt_FEDER&lt;&gt;"")*(DatePmt_FEDER&lt;&gt;"en attente")*(YEAR(DatePmt_FEDER)=$BU$1)*(ISNUMBER(MtntPaye_FEDER)),MtntPaye_FEDER)</f>
        <v>0</v>
      </c>
      <c r="CB3" s="1014">
        <f t="shared" ref="CB3:CB34" si="60">SUMPRODUCT((OP_ADEME=A3)*(DatePmt_ADEME&lt;&gt;"")*(DatePmt_ADEME&lt;&gt;"en attente")*(YEAR(DatePmt_ADEME)=$BU$1)*(ISNUMBER(MtntPaye_ADEME)),MtntPaye_ADEME)</f>
        <v>0</v>
      </c>
      <c r="CC3" s="1014">
        <f t="shared" ref="CC3:CC34" si="61">SUMPRODUCT((OP_P_Ile=A3)*(DatePmt_P_ILE&lt;&gt;"")*(DatePmt_P_ILE&lt;&gt;"en attente")*(YEAR(DatePmt_P_ILE)=$BU$1)*(ISNUMBER(MtntPaye_P_ILE)),MtntPaye_P_ILE)</f>
        <v>0</v>
      </c>
      <c r="CD3" s="1015">
        <f t="shared" ref="CD3:CD34" si="62">SUMPRODUCT((OP_EAU=A3)*(DatePmt_EAU&lt;&gt;"")*(DatePmt_EAU&lt;&gt;"en attente")*(YEAR(DatePmt_EAU)=$BU$1)*(ISNUMBER(MtntPaye_EAU)),MtntPaye_EAU)</f>
        <v>0</v>
      </c>
      <c r="CE3" s="1014">
        <f t="shared" ref="CE3:CE34" si="63">SUMPRODUCT((OP_ETG_SALE=A3)*(DatePmt_ETG_SALE&lt;&gt;"")*(DatePmt_ETG_SALE&lt;&gt;"en attente")*(YEAR(DatePmt_ETG_SALE)=$BU$1)*(ISNUMBER(MtntPaye_ETG_SALE)),MtntPaye_ETG_SALE)</f>
        <v>0</v>
      </c>
      <c r="CF3" s="1025">
        <f t="shared" ref="CF3:CF34" si="64">SUM(BU3:CE3)</f>
        <v>166402.79999999999</v>
      </c>
      <c r="CG3" s="1014">
        <f t="shared" ref="CG3:CG34" si="65">SUMPRODUCT((OP_FRAFU=A3)*(DatePmt&lt;&gt;"")*(DatePmt&lt;&gt;"en attente")*(YEAR(DatePmt)=$CG$1)*(ISNUMBER(MontantPaye)),MontantPaye)</f>
        <v>0</v>
      </c>
      <c r="CH3" s="1014">
        <f t="shared" ref="CH3:CH34" si="66">SUMPRODUCT((OP_LBU=A3)*(DatePmt_LBU&lt;&gt;"")*(DatePmt_LBU&lt;&gt;"en attente")*(YEAR(DatePmt_LBU)=$CG$1)*(ISNUMBER(MtntPaye_LBU)),MtntPaye_LBU)</f>
        <v>0</v>
      </c>
      <c r="CI3" s="1014">
        <f t="shared" ref="CI3:CI34" si="67">SUMPRODUCT((OP_ST_LEU=A3)*(DatePmt_ST_LEU&lt;&gt;"")*(DatePmt_ST_LEU&lt;&gt;"en attente")*(YEAR(DatePmt_ST_LEU)=$CG$1)*(ISNUMBER(MtntPaye_ST_LEU)),MtntPaye_ST_LEU)</f>
        <v>0</v>
      </c>
      <c r="CJ3" s="1014">
        <f t="shared" ref="CJ3:CJ34" si="68">SUMPRODUCT((OP_CAF=A3)*(DatePmt_caf&lt;&gt;"")*(DatePmt_caf&lt;&gt;"en attente")*(YEAR(DatePmt_caf)=$CG$1)*(ISNUMBER(MtntPaye_CAF)),MtntPaye_CAF)</f>
        <v>0</v>
      </c>
      <c r="CK3" s="1014">
        <f t="shared" ref="CK3:CK34" si="69">SUMPRODUCT((OP_Region=A3)*(DatePmt_Region&lt;&gt;"")*(DatePmt_Region&lt;&gt;"en attente")*(YEAR(DatePmt_Region)=$CG$1)*(ISNUMBER(MtntPaye_Region)),MtntPaye_Region)</f>
        <v>0</v>
      </c>
      <c r="CL3" s="1014">
        <f t="shared" ref="CL3:CL34" si="70">SUMPRODUCT((OP_FEDER=A3)*(DatePmt_FEDER&lt;&gt;"")*(DatePmt_FEDER&lt;&gt;"en attente")*(YEAR(DatePmt_FEDER)=$CG$1)*(ISNUMBER(MtntPaye_FEDER)),MtntPaye_FEDER)</f>
        <v>0</v>
      </c>
      <c r="CM3" s="1014">
        <f t="shared" ref="CM3:CM34" si="71">SUMPRODUCT((OP_P_Ile=A3)*(DatePmt_P_ILE&lt;&gt;"")*(DatePmt_P_ILE&lt;&gt;"en attente")*(YEAR(DatePmt_P_ILE)=$CG$1)*(ISNUMBER(MtntPaye_P_ILE)),MtntPaye_P_ILE)</f>
        <v>0</v>
      </c>
      <c r="CN3" s="1015">
        <f t="shared" ref="CN3:CN34" si="72">SUMPRODUCT((OP_EDF=A3)*(DatePmt_EDF&lt;&gt;"")*(DatePmt_EDF&lt;&gt;"en attente")*(YEAR(DatePmt_EDF)=$CG$1)*(ISNUMBER(MtntPaye_EDF)),MtntPaye_EDF)</f>
        <v>0</v>
      </c>
      <c r="CO3" s="1014">
        <f t="shared" ref="CO3:CO34" si="73">SUMPRODUCT((OP_ST_JO=A3)*(DatePmt_ST_JOSEPH&lt;&gt;"")*(DatePmt_ST_JOSEPH&lt;&gt;"en attente")*(YEAR(DatePmt_ST_JOSEPH)=$CG$1)*(ISNUMBER(MtntPaye_ST_JOSEPH)),MtntPaye_ST_JOSEPH)</f>
        <v>0</v>
      </c>
      <c r="CP3" s="1025">
        <f t="shared" ref="CP3:CP34" si="74">SUM(CG3:CO3)</f>
        <v>0</v>
      </c>
      <c r="CQ3" s="1005">
        <f t="shared" ref="CQ3:CQ34" si="75">SUMPRODUCT((OP_FRAFU=A3)*(DatePmt&lt;&gt;"")*(DatePmt&lt;&gt;"en attente")*(YEAR(DatePmt)=$CQ$1)*(ISNUMBER(MontantPaye)),MontantPaye)</f>
        <v>0</v>
      </c>
      <c r="CR3" s="1005">
        <f t="shared" ref="CR3:CR34" si="76">SUMPRODUCT((OP_LBU=A3)*(DatePmt_LBU&lt;&gt;"")*(DatePmt_LBU&lt;&gt;"en attente")*(YEAR(DatePmt_LBU)=$CQ$1)*(ISNUMBER(MtntPaye_LBU)),MtntPaye_LBU)</f>
        <v>0</v>
      </c>
      <c r="CS3" s="1005">
        <f t="shared" ref="CS3:CS34" si="77">SUMPRODUCT((OP_CAF=A3)*(DatePmt_caf&lt;&gt;"")*(DatePmt_caf&lt;&gt;"en attente")*(YEAR(DatePmt_caf)=$CQ$1)*(ISNUMBER(MtntPaye_CAF)),MtntPaye_CAF)</f>
        <v>0</v>
      </c>
      <c r="CT3" s="1005">
        <f t="shared" ref="CT3:CT34" si="78">SUMPRODUCT((OP_Region=A3)*(DatePmt_Region&lt;&gt;"")*(DatePmt_Region&lt;&gt;"en attente")*(YEAR(DatePmt_Region)=$CQ$1)*(ISNUMBER(MtntPaye_Region)),MtntPaye_Region)</f>
        <v>0</v>
      </c>
      <c r="CU3" s="1006">
        <f t="shared" ref="CU3:CU34" si="79">SUMPRODUCT((OP_EDF=A3)*(DatePmt_EDF&lt;&gt;"")*(DatePmt_EDF&lt;&gt;"en attente")*(YEAR(DatePmt_EDF)=$CQ$1)*(ISNUMBER(MtntPaye_EDF)),MtntPaye_EDF)</f>
        <v>0</v>
      </c>
      <c r="CV3" s="1030">
        <f t="shared" ref="CV3:CV34" si="80">SUM(CQ3:CU3)</f>
        <v>0</v>
      </c>
      <c r="CW3" s="1014">
        <f t="shared" ref="CW3:CW34" si="81">SUMPRODUCT((OP_FRAFU=A3)*(DatePmt&lt;&gt;"")*(DatePmt&lt;&gt;"en attente")*(YEAR(DatePmt)=$CW$1)*(ISNUMBER(MontantPaye)),MontantPaye)</f>
        <v>0</v>
      </c>
      <c r="CX3" s="1014">
        <f t="shared" ref="CX3:CX34" si="82">SUMPRODUCT((OP_Rehab=A3)*(DatePmtRehab&lt;&gt;"")*(DatePmtRehab&lt;&gt;"en attente")*(YEAR(DatePmtRehab)=$CW$1)*(ISNUMBER(MontantPayeRehab)),MontantPayeRehab)</f>
        <v>0</v>
      </c>
      <c r="CY3" s="1014">
        <f t="shared" ref="CY3:CY34" si="83">SUMPRODUCT((OP_LBU=A3)*(DatePmt_LBU&lt;&gt;"")*(DatePmt_LBU&lt;&gt;"en attente")*(YEAR(DatePmt_LBU)=$CW$1)*(ISNUMBER(MtntPaye_LBU)),MtntPaye_LBU)</f>
        <v>0</v>
      </c>
      <c r="CZ3" s="1014">
        <f t="shared" ref="CZ3:CZ34" si="84">SUMPRODUCT((OP_CAF=A3)*(DatePmt_caf&lt;&gt;"")*(DatePmt_caf&lt;&gt;"en attente")*(YEAR(DatePmt_caf)=$CW$1)*(ISNUMBER(MtntPaye_CAF)),MtntPaye_CAF)</f>
        <v>0</v>
      </c>
      <c r="DA3" s="1014">
        <f t="shared" ref="DA3:DA34" si="85">SUMPRODUCT((OP_Region=A3)*(DatePmt_Region&lt;&gt;"")*(DatePmt_Region&lt;&gt;"en attente")*(YEAR(DatePmt_Region)=$CW$1)*(ISNUMBER(MtntPaye_Region)),MtntPaye_Region)</f>
        <v>0</v>
      </c>
      <c r="DB3" s="1014">
        <f t="shared" ref="DB3:DB34" si="86">SUMPRODUCT((OP_Rectorat=A3)*(DatePmt_Rectorat&lt;&gt;"")*(DatePmt_Rectorat&lt;&gt;"en attente")*(YEAR(DatePmt_Rectorat)=$CW$1)*(ISNUMBER(MtntPaye_Rectorat)),MtntPaye_Rectorat)</f>
        <v>0</v>
      </c>
      <c r="DC3" s="1014">
        <f t="shared" ref="DC3:DC34" si="87">SUMPRODUCT((OP_ADEME=A3)*(DatePmt_ADEME&lt;&gt;"")*(DatePmt_ADEME&lt;&gt;"en attente")*(YEAR(DatePmt_ADEME)=$CW$1)*(ISNUMBER(MtntPaye_ADEME)),MtntPaye_ADEME)</f>
        <v>0</v>
      </c>
      <c r="DD3" s="1014">
        <f t="shared" ref="DD3:DD34" si="88">SUMPRODUCT((OP_P_Ile=A3)*(DatePmt_P_ILE&lt;&gt;"")*(DatePmt_P_ILE&lt;&gt;"en attente")*(YEAR(DatePmt_P_ILE)=$CW$1)*(ISNUMBER(MtntPaye_P_ILE)),MtntPaye_P_ILE)</f>
        <v>0</v>
      </c>
      <c r="DE3" s="1015">
        <f t="shared" ref="DE3:DE34" si="89">SUMPRODUCT((OP_EDF=A3)*(DatePmt_EDF&lt;&gt;"")*(DatePmt_EDF&lt;&gt;"en attente")*(YEAR(DatePmt_EDF)=$CW$1)*(ISNUMBER(MtntPaye_EDF)),MtntPaye_EDF)</f>
        <v>0</v>
      </c>
      <c r="DF3" s="1014">
        <f t="shared" ref="DF3:DF34" si="90">SUMPRODUCT((OP_ETG_SALE=A3)*(DatePmt_ETG_SALE&lt;&gt;"")*(DatePmt_ETG_SALE&lt;&gt;"en attente")*(YEAR(DatePmt_ETG_SALE)=$CW$1)*(ISNUMBER(MtntPaye_ETG_SALE)),MtntPaye_ETG_SALE)</f>
        <v>0</v>
      </c>
      <c r="DG3" s="1014">
        <f t="shared" ref="DG3:DG34" si="91">SUMPRODUCT((OP_ST_JO=A3)*(DatePmt_ST_JOSEPH&lt;&gt;"")*(DatePmt_ST_JOSEPH&lt;&gt;"en attente")*(YEAR(DatePmt_ST_JOSEPH)=$CW$1)*(ISNUMBER(MtntPaye_ST_JOSEPH)),MtntPaye_ST_JOSEPH)</f>
        <v>0</v>
      </c>
      <c r="DH3" s="1012">
        <f t="shared" ref="DH3:DH7" si="92">SUM(CW3:DG3)</f>
        <v>0</v>
      </c>
      <c r="DI3" s="1014">
        <f t="shared" ref="DI3:DI34" si="93">SUMPRODUCT((OP_FRAFU=A3)*(DatePmt&lt;&gt;"")*(DatePmt&lt;&gt;"en attente")*(YEAR(DatePmt)=$DI$1)*(ISNUMBER(MontantPaye)),MontantPaye)</f>
        <v>0</v>
      </c>
      <c r="DJ3" s="1014">
        <f t="shared" ref="DJ3:DJ34" si="94">SUMPRODUCT((OP_Rehab=A3)*(DatePmtRehab&lt;&gt;"")*(DatePmtRehab&lt;&gt;"en attente")*(YEAR(DatePmtRehab)=$DI$1)*(ISNUMBER(MontantPayeRehab)),MontantPayeRehab)</f>
        <v>0</v>
      </c>
      <c r="DK3" s="1014">
        <f t="shared" ref="DK3:DK34" si="95">SUMPRODUCT((OP_LBU=A3)*(DatePmt_LBU&lt;&gt;"")*(DatePmt_LBU&lt;&gt;"en attente")*(YEAR(DatePmt_LBU)=$DI$1)*(ISNUMBER(MtntPaye_LBU)),MtntPaye_LBU)</f>
        <v>0</v>
      </c>
      <c r="DL3" s="1014">
        <f t="shared" ref="DL3:DL34" si="96">SUMPRODUCT((OP_CAF=A3)*(DatePmt_caf&lt;&gt;"")*(DatePmt_caf&lt;&gt;"en attente")*(YEAR(DatePmt_caf)=$DI$1)*(ISNUMBER(MtntPaye_CAF)),MtntPaye_CAF)</f>
        <v>0</v>
      </c>
      <c r="DM3" s="1014">
        <f t="shared" ref="DM3:DM34" si="97">SUMPRODUCT((OP_Region=A3)*(DatePmt_Region&lt;&gt;"")*(DatePmt_Region&lt;&gt;"en attente")*(YEAR(DatePmt_Region)=$DI$1)*(ISNUMBER(MtntPaye_Region)),MtntPaye_Region)</f>
        <v>0</v>
      </c>
      <c r="DN3" s="1014">
        <f t="shared" ref="DN3:DN34" si="98">SUMPRODUCT((OP_Rectorat=A3)*(DatePmt_Rectorat&lt;&gt;"")*(DatePmt_Rectorat&lt;&gt;"en attente")*(YEAR(DatePmt_Rectorat)=$DI$1)*(ISNUMBER(MtntPaye_Rectorat)),MtntPaye_Rectorat)</f>
        <v>0</v>
      </c>
      <c r="DO3" s="1014">
        <f t="shared" ref="DO3:DO34" si="99">SUMPRODUCT((OP_ADEME=A3)*(DatePmt_ADEME&lt;&gt;"")*(DatePmt_ADEME&lt;&gt;"en attente")*(YEAR(DatePmt_ADEME)=$DI$1)*(ISNUMBER(MtntPaye_ADEME)),MtntPaye_ADEME)</f>
        <v>0</v>
      </c>
      <c r="DP3" s="1014">
        <f t="shared" ref="DP3:DP34" si="100">SUMPRODUCT((OP_P_Ile=A3)*(DatePmt_P_ILE&lt;&gt;"")*(DatePmt_P_ILE&lt;&gt;"en attente")*(YEAR(DatePmt_P_ILE)=$DI$1)*(ISNUMBER(MtntPaye_P_ILE)),MtntPaye_P_ILE)</f>
        <v>0</v>
      </c>
      <c r="DQ3" s="1020">
        <f t="shared" ref="DQ3:DQ34" si="101">SUMPRODUCT((OP_EDF=A3)*(DatePmt_EDF&lt;&gt;"")*(DatePmt_EDF&lt;&gt;"en attente")*(YEAR(DatePmt_EDF)=$DI$1)*(ISNUMBER(MtntPaye_EDF)),MtntPaye_EDF)</f>
        <v>0</v>
      </c>
      <c r="DR3" s="1014">
        <f t="shared" ref="DR3:DR34" si="102">SUMPRODUCT((OP_ETG_SALE=A3)*(DatePmt_ETG_SALE&lt;&gt;"")*(DatePmt_ETG_SALE&lt;&gt;"en attente")*(YEAR(DatePmt_ETG_SALE)=$DI$1)*(ISNUMBER(MtntPaye_ETG_SALE)),MtntPaye_ETG_SALE)</f>
        <v>0</v>
      </c>
      <c r="DS3" s="1014">
        <f t="shared" ref="DS3:DS34" si="103">SUMPRODUCT((OP_ST_JO=A3)*(DatePmt_ST_JOSEPH&lt;&gt;"")*(DatePmt_ST_JOSEPH&lt;&gt;"en attente")*(YEAR(DatePmt_ST_JOSEPH)=$DI$1)*(ISNUMBER(MtntPaye_ST_JOSEPH)),MtntPaye_ST_JOSEPH)</f>
        <v>0</v>
      </c>
      <c r="DT3" s="1025">
        <f t="shared" ref="DT3:DT7" si="104">SUM(DI3:DS3)</f>
        <v>0</v>
      </c>
    </row>
    <row r="4" spans="1:140" x14ac:dyDescent="0.2">
      <c r="A4" s="908" t="s">
        <v>218</v>
      </c>
      <c r="B4" s="908"/>
      <c r="C4" s="910">
        <f t="shared" ref="C4" si="105">SUMPRODUCT((OP_FRAFU=A4)*(Bdgt_FRAFU))</f>
        <v>0</v>
      </c>
      <c r="D4" s="910">
        <f t="shared" ref="D4" si="106">SUMPRODUCT((OP_Rehab=A4)*(Bdgt_Rehab))</f>
        <v>0</v>
      </c>
      <c r="E4" s="910">
        <f t="shared" ref="E4" si="107">SUMPRODUCT((OP_LBU=A4)*(Bdgt_LBU))</f>
        <v>0</v>
      </c>
      <c r="F4" s="910">
        <f t="shared" si="3"/>
        <v>0</v>
      </c>
      <c r="G4" s="910">
        <f t="shared" ref="G4" si="108">SUMPRODUCT((OP_CAF=A4)*(Bdgt_CAF))</f>
        <v>0</v>
      </c>
      <c r="H4" s="910">
        <f t="shared" ref="H4" si="109">SUMPRODUCT((OP_Region=A4)*(Bdgt_Region))</f>
        <v>38067.93</v>
      </c>
      <c r="I4" s="910">
        <f t="shared" ref="I4" si="110">SUMPRODUCT((OP_Rectorat=A4)*(Bdgt_Rectorat))</f>
        <v>0</v>
      </c>
      <c r="J4" s="910">
        <f t="shared" si="7"/>
        <v>57101.89</v>
      </c>
      <c r="K4" s="910">
        <f t="shared" si="8"/>
        <v>0</v>
      </c>
      <c r="L4" s="910">
        <f t="shared" si="9"/>
        <v>0</v>
      </c>
      <c r="M4" s="910">
        <f t="shared" ref="M4" si="111">SUMPRODUCT((OP_ADEME=A4)*(Bdgt_ADEME))</f>
        <v>0</v>
      </c>
      <c r="N4" s="910">
        <f t="shared" ref="N4" si="112">SUMPRODUCT((OP_P_Ile=A4)*(Bdgt_P_Ile))</f>
        <v>0</v>
      </c>
      <c r="O4" s="910">
        <f t="shared" ref="O4" si="113">SUMPRODUCT((OP_EDF=A4)*(Bdgt_EDF))</f>
        <v>0</v>
      </c>
      <c r="P4" s="910">
        <f t="shared" si="13"/>
        <v>0</v>
      </c>
      <c r="Q4" s="910">
        <f t="shared" ref="Q4" si="114">SUMPRODUCT((OP_ETG_SALE=A4)*(Bdgt_ETG_SALE))</f>
        <v>0</v>
      </c>
      <c r="R4" s="910">
        <f t="shared" ref="R4" si="115">SUMPRODUCT((OP_ST_JO=A4)*(Bdgt_ST_JO))</f>
        <v>0</v>
      </c>
      <c r="S4" s="910">
        <f t="shared" ref="S4" si="116">SUM(C4:R4)</f>
        <v>95169.82</v>
      </c>
      <c r="T4" s="1037">
        <f t="shared" si="17"/>
        <v>0</v>
      </c>
      <c r="U4" s="1034">
        <f t="shared" ref="U4:U67" si="117">AJ4</f>
        <v>0</v>
      </c>
      <c r="V4" s="1034">
        <f t="shared" ref="V4:V67" si="118">AL4+U4</f>
        <v>0</v>
      </c>
      <c r="W4" s="1034">
        <f t="shared" ref="W4:W67" si="119">V4+AN4</f>
        <v>0</v>
      </c>
      <c r="X4" s="1034">
        <f t="shared" ref="X4:X67" si="120">W4+AS4</f>
        <v>0</v>
      </c>
      <c r="Y4" s="1034">
        <f t="shared" ref="Y4:Y67" si="121">X4+AZ4</f>
        <v>0</v>
      </c>
      <c r="Z4" s="1034">
        <f t="shared" ref="Z4:Z67" si="122">Y4+BG4</f>
        <v>0</v>
      </c>
      <c r="AA4" s="1034">
        <f t="shared" ref="AA4:AA67" si="123">Z4+BN4</f>
        <v>0</v>
      </c>
      <c r="AB4" s="1034">
        <f t="shared" ref="AB4:AB67" si="124">AA4+BT4</f>
        <v>0</v>
      </c>
      <c r="AC4" s="1034">
        <f t="shared" ref="AC4:AC67" si="125">AB4+CF4</f>
        <v>95169.82</v>
      </c>
      <c r="AD4" s="1034">
        <f t="shared" ref="AD4:AD67" si="126">AC4+CP4</f>
        <v>95169.82</v>
      </c>
      <c r="AE4" s="1034">
        <f t="shared" ref="AE4:AE67" si="127">AD4+CV4</f>
        <v>95169.82</v>
      </c>
      <c r="AF4" s="1034">
        <f t="shared" ref="AF4:AF67" si="128">AE4+DH4</f>
        <v>95169.82</v>
      </c>
      <c r="AG4" s="1034">
        <f t="shared" ref="AG4:AG67" si="129">AF4+DT4</f>
        <v>95169.82</v>
      </c>
      <c r="AH4" s="1041">
        <f t="shared" ref="AH4:AH67" si="130">IF(AG4/S4=0,"-",AG4/S4)</f>
        <v>1</v>
      </c>
      <c r="AI4" s="1014">
        <f t="shared" si="18"/>
        <v>0</v>
      </c>
      <c r="AJ4" s="1025">
        <f t="shared" ref="AJ4:AJ67" si="131">SUM(AI4:AI4)</f>
        <v>0</v>
      </c>
      <c r="AK4" s="1014">
        <f t="shared" si="19"/>
        <v>0</v>
      </c>
      <c r="AL4" s="1025">
        <f t="shared" ref="AL4:AL67" si="132">SUM(AK4:AK4)</f>
        <v>0</v>
      </c>
      <c r="AM4" s="1014">
        <f t="shared" si="20"/>
        <v>0</v>
      </c>
      <c r="AN4" s="1025">
        <f t="shared" ref="AN4:AN67" si="133">SUM(AM4:AM4)</f>
        <v>0</v>
      </c>
      <c r="AO4" s="1014">
        <f t="shared" si="21"/>
        <v>0</v>
      </c>
      <c r="AP4" s="1014">
        <f t="shared" si="22"/>
        <v>0</v>
      </c>
      <c r="AQ4" s="1014">
        <f t="shared" si="23"/>
        <v>0</v>
      </c>
      <c r="AR4" s="1015">
        <f t="shared" si="24"/>
        <v>0</v>
      </c>
      <c r="AS4" s="1025">
        <f t="shared" si="25"/>
        <v>0</v>
      </c>
      <c r="AT4" s="1014">
        <f t="shared" si="26"/>
        <v>0</v>
      </c>
      <c r="AU4" s="1014">
        <f t="shared" si="27"/>
        <v>0</v>
      </c>
      <c r="AV4" s="1014">
        <f t="shared" si="28"/>
        <v>0</v>
      </c>
      <c r="AW4" s="1014">
        <f t="shared" si="29"/>
        <v>0</v>
      </c>
      <c r="AX4" s="1014">
        <f t="shared" si="30"/>
        <v>0</v>
      </c>
      <c r="AY4" s="1014">
        <f t="shared" si="31"/>
        <v>0</v>
      </c>
      <c r="AZ4" s="1025">
        <f t="shared" si="32"/>
        <v>0</v>
      </c>
      <c r="BA4" s="1014">
        <f t="shared" si="33"/>
        <v>0</v>
      </c>
      <c r="BB4" s="1014">
        <f t="shared" si="34"/>
        <v>0</v>
      </c>
      <c r="BC4" s="1014">
        <f t="shared" si="35"/>
        <v>0</v>
      </c>
      <c r="BD4" s="1014">
        <f t="shared" si="36"/>
        <v>0</v>
      </c>
      <c r="BE4" s="1014">
        <f t="shared" si="37"/>
        <v>0</v>
      </c>
      <c r="BF4" s="1014">
        <f t="shared" si="38"/>
        <v>0</v>
      </c>
      <c r="BG4" s="1025">
        <f t="shared" si="39"/>
        <v>0</v>
      </c>
      <c r="BH4" s="1014">
        <f t="shared" si="40"/>
        <v>0</v>
      </c>
      <c r="BI4" s="1014">
        <f t="shared" si="41"/>
        <v>0</v>
      </c>
      <c r="BJ4" s="1014">
        <f t="shared" si="42"/>
        <v>0</v>
      </c>
      <c r="BK4" s="1014">
        <f t="shared" si="43"/>
        <v>0</v>
      </c>
      <c r="BL4" s="1014">
        <f t="shared" si="44"/>
        <v>0</v>
      </c>
      <c r="BM4" s="1014">
        <f t="shared" si="45"/>
        <v>0</v>
      </c>
      <c r="BN4" s="1025">
        <f t="shared" si="46"/>
        <v>0</v>
      </c>
      <c r="BO4" s="1014">
        <f t="shared" si="47"/>
        <v>0</v>
      </c>
      <c r="BP4" s="1014">
        <f t="shared" si="48"/>
        <v>0</v>
      </c>
      <c r="BQ4" s="1014">
        <f t="shared" si="49"/>
        <v>0</v>
      </c>
      <c r="BR4" s="1014">
        <f t="shared" si="50"/>
        <v>0</v>
      </c>
      <c r="BS4" s="1014">
        <f t="shared" si="51"/>
        <v>0</v>
      </c>
      <c r="BT4" s="1025">
        <f t="shared" si="52"/>
        <v>0</v>
      </c>
      <c r="BU4" s="1014">
        <f t="shared" si="53"/>
        <v>0</v>
      </c>
      <c r="BV4" s="1014">
        <f t="shared" si="54"/>
        <v>0</v>
      </c>
      <c r="BW4" s="1014">
        <f t="shared" si="55"/>
        <v>0</v>
      </c>
      <c r="BX4" s="1014">
        <f t="shared" si="56"/>
        <v>0</v>
      </c>
      <c r="BY4" s="1014">
        <f t="shared" si="57"/>
        <v>38067.93</v>
      </c>
      <c r="BZ4" s="1014">
        <f t="shared" si="58"/>
        <v>57101.89</v>
      </c>
      <c r="CA4" s="1014">
        <f t="shared" si="59"/>
        <v>0</v>
      </c>
      <c r="CB4" s="1014">
        <f t="shared" si="60"/>
        <v>0</v>
      </c>
      <c r="CC4" s="1014">
        <f t="shared" si="61"/>
        <v>0</v>
      </c>
      <c r="CD4" s="1015">
        <f t="shared" si="62"/>
        <v>0</v>
      </c>
      <c r="CE4" s="1014">
        <f t="shared" si="63"/>
        <v>0</v>
      </c>
      <c r="CF4" s="1025">
        <f t="shared" si="64"/>
        <v>95169.82</v>
      </c>
      <c r="CG4" s="1014">
        <f t="shared" si="65"/>
        <v>0</v>
      </c>
      <c r="CH4" s="1014">
        <f t="shared" si="66"/>
        <v>0</v>
      </c>
      <c r="CI4" s="1014">
        <f t="shared" si="67"/>
        <v>0</v>
      </c>
      <c r="CJ4" s="1014">
        <f t="shared" si="68"/>
        <v>0</v>
      </c>
      <c r="CK4" s="1014">
        <f t="shared" si="69"/>
        <v>0</v>
      </c>
      <c r="CL4" s="1014">
        <f t="shared" si="70"/>
        <v>0</v>
      </c>
      <c r="CM4" s="1014">
        <f t="shared" si="71"/>
        <v>0</v>
      </c>
      <c r="CN4" s="1015">
        <f t="shared" si="72"/>
        <v>0</v>
      </c>
      <c r="CO4" s="1014">
        <f t="shared" si="73"/>
        <v>0</v>
      </c>
      <c r="CP4" s="1025">
        <f t="shared" si="74"/>
        <v>0</v>
      </c>
      <c r="CQ4" s="1014">
        <f t="shared" si="75"/>
        <v>0</v>
      </c>
      <c r="CR4" s="1014">
        <f t="shared" si="76"/>
        <v>0</v>
      </c>
      <c r="CS4" s="1014">
        <f t="shared" si="77"/>
        <v>0</v>
      </c>
      <c r="CT4" s="1014">
        <f t="shared" si="78"/>
        <v>0</v>
      </c>
      <c r="CU4" s="1015">
        <f t="shared" si="79"/>
        <v>0</v>
      </c>
      <c r="CV4" s="1030">
        <f t="shared" si="80"/>
        <v>0</v>
      </c>
      <c r="CW4" s="1014">
        <f t="shared" si="81"/>
        <v>0</v>
      </c>
      <c r="CX4" s="1014">
        <f t="shared" si="82"/>
        <v>0</v>
      </c>
      <c r="CY4" s="1014">
        <f t="shared" si="83"/>
        <v>0</v>
      </c>
      <c r="CZ4" s="1014">
        <f t="shared" si="84"/>
        <v>0</v>
      </c>
      <c r="DA4" s="1014">
        <f t="shared" si="85"/>
        <v>0</v>
      </c>
      <c r="DB4" s="1014">
        <f t="shared" si="86"/>
        <v>0</v>
      </c>
      <c r="DC4" s="1014">
        <f t="shared" si="87"/>
        <v>0</v>
      </c>
      <c r="DD4" s="1014">
        <f t="shared" si="88"/>
        <v>0</v>
      </c>
      <c r="DE4" s="1015">
        <f t="shared" si="89"/>
        <v>0</v>
      </c>
      <c r="DF4" s="1014">
        <f t="shared" si="90"/>
        <v>0</v>
      </c>
      <c r="DG4" s="1014">
        <f t="shared" si="91"/>
        <v>0</v>
      </c>
      <c r="DH4" s="1012">
        <f t="shared" ref="DH4" si="134">SUM(CW4:DG4)</f>
        <v>0</v>
      </c>
      <c r="DI4" s="1014">
        <f t="shared" si="93"/>
        <v>0</v>
      </c>
      <c r="DJ4" s="1014">
        <f t="shared" si="94"/>
        <v>0</v>
      </c>
      <c r="DK4" s="1014">
        <f t="shared" si="95"/>
        <v>0</v>
      </c>
      <c r="DL4" s="1014">
        <f t="shared" si="96"/>
        <v>0</v>
      </c>
      <c r="DM4" s="1014">
        <f t="shared" si="97"/>
        <v>0</v>
      </c>
      <c r="DN4" s="1014">
        <f t="shared" si="98"/>
        <v>0</v>
      </c>
      <c r="DO4" s="1014">
        <f t="shared" si="99"/>
        <v>0</v>
      </c>
      <c r="DP4" s="1014">
        <f t="shared" si="100"/>
        <v>0</v>
      </c>
      <c r="DQ4" s="1020">
        <f t="shared" si="101"/>
        <v>0</v>
      </c>
      <c r="DR4" s="1014">
        <f t="shared" si="102"/>
        <v>0</v>
      </c>
      <c r="DS4" s="1014">
        <f t="shared" si="103"/>
        <v>0</v>
      </c>
      <c r="DT4" s="1025">
        <f t="shared" ref="DT4" si="135">SUM(DI4:DS4)</f>
        <v>0</v>
      </c>
    </row>
    <row r="5" spans="1:140" x14ac:dyDescent="0.2">
      <c r="A5" s="908" t="s">
        <v>33</v>
      </c>
      <c r="B5" s="908">
        <v>2012</v>
      </c>
      <c r="C5" s="910">
        <f t="shared" si="0"/>
        <v>0</v>
      </c>
      <c r="D5" s="910">
        <f t="shared" si="1"/>
        <v>0</v>
      </c>
      <c r="E5" s="910">
        <f t="shared" si="2"/>
        <v>1425198</v>
      </c>
      <c r="F5" s="910">
        <f t="shared" si="3"/>
        <v>0</v>
      </c>
      <c r="G5" s="910">
        <f t="shared" si="4"/>
        <v>0</v>
      </c>
      <c r="H5" s="910">
        <f t="shared" si="5"/>
        <v>20808.98</v>
      </c>
      <c r="I5" s="910">
        <f t="shared" si="6"/>
        <v>0</v>
      </c>
      <c r="J5" s="910">
        <f t="shared" si="7"/>
        <v>0</v>
      </c>
      <c r="K5" s="910">
        <f t="shared" si="8"/>
        <v>289790.76326910633</v>
      </c>
      <c r="L5" s="910">
        <f t="shared" si="9"/>
        <v>0</v>
      </c>
      <c r="M5" s="910">
        <f t="shared" si="10"/>
        <v>0</v>
      </c>
      <c r="N5" s="910">
        <f t="shared" si="11"/>
        <v>0</v>
      </c>
      <c r="O5" s="910">
        <f t="shared" si="12"/>
        <v>0</v>
      </c>
      <c r="P5" s="910">
        <f t="shared" si="13"/>
        <v>0</v>
      </c>
      <c r="Q5" s="910">
        <f t="shared" si="14"/>
        <v>0</v>
      </c>
      <c r="R5" s="910">
        <f t="shared" si="15"/>
        <v>0</v>
      </c>
      <c r="S5" s="910">
        <f t="shared" si="16"/>
        <v>1735797.7432691064</v>
      </c>
      <c r="T5" s="1037">
        <f t="shared" si="17"/>
        <v>2.1732691065408289</v>
      </c>
      <c r="U5" s="1034">
        <f t="shared" si="117"/>
        <v>0</v>
      </c>
      <c r="V5" s="1034">
        <f t="shared" si="118"/>
        <v>0</v>
      </c>
      <c r="W5" s="1034">
        <f t="shared" si="119"/>
        <v>0</v>
      </c>
      <c r="X5" s="1034">
        <f t="shared" si="120"/>
        <v>68000</v>
      </c>
      <c r="Y5" s="1034">
        <f t="shared" si="121"/>
        <v>806110.04</v>
      </c>
      <c r="Z5" s="1034">
        <f t="shared" si="122"/>
        <v>1412158.4</v>
      </c>
      <c r="AA5" s="1034">
        <f t="shared" si="123"/>
        <v>1429946.99</v>
      </c>
      <c r="AB5" s="1034">
        <f t="shared" si="124"/>
        <v>1429946.99</v>
      </c>
      <c r="AC5" s="1034">
        <f t="shared" si="125"/>
        <v>1735795.5699999998</v>
      </c>
      <c r="AD5" s="1034">
        <f t="shared" si="126"/>
        <v>1735795.5699999998</v>
      </c>
      <c r="AE5" s="1034">
        <f t="shared" si="127"/>
        <v>1735795.5699999998</v>
      </c>
      <c r="AF5" s="1034">
        <f t="shared" si="128"/>
        <v>1735795.5699999998</v>
      </c>
      <c r="AG5" s="1034">
        <f t="shared" si="129"/>
        <v>1735795.5699999998</v>
      </c>
      <c r="AH5" s="1041">
        <f t="shared" si="130"/>
        <v>0.99999874797100352</v>
      </c>
      <c r="AI5" s="1014">
        <f t="shared" si="18"/>
        <v>0</v>
      </c>
      <c r="AJ5" s="1025">
        <f t="shared" si="131"/>
        <v>0</v>
      </c>
      <c r="AK5" s="1014">
        <f t="shared" si="19"/>
        <v>0</v>
      </c>
      <c r="AL5" s="1025">
        <f t="shared" si="132"/>
        <v>0</v>
      </c>
      <c r="AM5" s="1014">
        <f t="shared" si="20"/>
        <v>0</v>
      </c>
      <c r="AN5" s="1025">
        <f t="shared" si="133"/>
        <v>0</v>
      </c>
      <c r="AO5" s="1014">
        <f t="shared" si="21"/>
        <v>0</v>
      </c>
      <c r="AP5" s="1014">
        <f t="shared" si="22"/>
        <v>0</v>
      </c>
      <c r="AQ5" s="1014">
        <f t="shared" si="23"/>
        <v>68000</v>
      </c>
      <c r="AR5" s="1015">
        <f t="shared" si="24"/>
        <v>0</v>
      </c>
      <c r="AS5" s="1025">
        <f t="shared" si="25"/>
        <v>68000</v>
      </c>
      <c r="AT5" s="1014">
        <f t="shared" si="26"/>
        <v>0</v>
      </c>
      <c r="AU5" s="1014">
        <f t="shared" si="27"/>
        <v>738110.04</v>
      </c>
      <c r="AV5" s="1014">
        <f t="shared" si="28"/>
        <v>0</v>
      </c>
      <c r="AW5" s="1014">
        <f t="shared" si="29"/>
        <v>0</v>
      </c>
      <c r="AX5" s="1014">
        <f t="shared" si="30"/>
        <v>0</v>
      </c>
      <c r="AY5" s="1014">
        <f t="shared" si="31"/>
        <v>0</v>
      </c>
      <c r="AZ5" s="1025">
        <f t="shared" si="32"/>
        <v>738110.04</v>
      </c>
      <c r="BA5" s="1014">
        <f t="shared" si="33"/>
        <v>0</v>
      </c>
      <c r="BB5" s="1014">
        <f t="shared" si="34"/>
        <v>402048.36</v>
      </c>
      <c r="BC5" s="1014">
        <f t="shared" si="35"/>
        <v>0</v>
      </c>
      <c r="BD5" s="1014">
        <f t="shared" si="36"/>
        <v>0</v>
      </c>
      <c r="BE5" s="1014">
        <f t="shared" si="37"/>
        <v>204000</v>
      </c>
      <c r="BF5" s="1014">
        <f t="shared" si="38"/>
        <v>0</v>
      </c>
      <c r="BG5" s="1025">
        <f t="shared" si="39"/>
        <v>606048.36</v>
      </c>
      <c r="BH5" s="1014">
        <f t="shared" si="40"/>
        <v>0</v>
      </c>
      <c r="BI5" s="1014">
        <f t="shared" si="41"/>
        <v>0</v>
      </c>
      <c r="BJ5" s="1014">
        <f t="shared" si="42"/>
        <v>0</v>
      </c>
      <c r="BK5" s="1014">
        <f t="shared" si="43"/>
        <v>0</v>
      </c>
      <c r="BL5" s="1014">
        <f t="shared" si="44"/>
        <v>0</v>
      </c>
      <c r="BM5" s="1014">
        <f t="shared" si="45"/>
        <v>17788.59</v>
      </c>
      <c r="BN5" s="1025">
        <f t="shared" si="46"/>
        <v>17788.59</v>
      </c>
      <c r="BO5" s="1014">
        <f t="shared" si="47"/>
        <v>0</v>
      </c>
      <c r="BP5" s="1014">
        <f t="shared" si="48"/>
        <v>0</v>
      </c>
      <c r="BQ5" s="1014">
        <f t="shared" si="49"/>
        <v>0</v>
      </c>
      <c r="BR5" s="1014">
        <f t="shared" si="50"/>
        <v>0</v>
      </c>
      <c r="BS5" s="1014">
        <f t="shared" si="51"/>
        <v>0</v>
      </c>
      <c r="BT5" s="1025">
        <f t="shared" si="52"/>
        <v>0</v>
      </c>
      <c r="BU5" s="1014">
        <f t="shared" si="53"/>
        <v>0</v>
      </c>
      <c r="BV5" s="1014">
        <f t="shared" si="54"/>
        <v>285039.59999999998</v>
      </c>
      <c r="BW5" s="1014">
        <f t="shared" si="55"/>
        <v>0</v>
      </c>
      <c r="BX5" s="1014">
        <f t="shared" si="56"/>
        <v>0</v>
      </c>
      <c r="BY5" s="1014">
        <f t="shared" si="57"/>
        <v>20808.98</v>
      </c>
      <c r="BZ5" s="1014">
        <f t="shared" si="58"/>
        <v>0</v>
      </c>
      <c r="CA5" s="1014">
        <f t="shared" si="59"/>
        <v>0</v>
      </c>
      <c r="CB5" s="1014">
        <f t="shared" si="60"/>
        <v>0</v>
      </c>
      <c r="CC5" s="1014">
        <f t="shared" si="61"/>
        <v>0</v>
      </c>
      <c r="CD5" s="1015">
        <f t="shared" si="62"/>
        <v>0</v>
      </c>
      <c r="CE5" s="1014">
        <f t="shared" si="63"/>
        <v>0</v>
      </c>
      <c r="CF5" s="1025">
        <f t="shared" si="64"/>
        <v>305848.57999999996</v>
      </c>
      <c r="CG5" s="1014">
        <f t="shared" si="65"/>
        <v>0</v>
      </c>
      <c r="CH5" s="1014">
        <f t="shared" si="66"/>
        <v>0</v>
      </c>
      <c r="CI5" s="1014">
        <f t="shared" si="67"/>
        <v>0</v>
      </c>
      <c r="CJ5" s="1014">
        <f t="shared" si="68"/>
        <v>0</v>
      </c>
      <c r="CK5" s="1014">
        <f t="shared" si="69"/>
        <v>0</v>
      </c>
      <c r="CL5" s="1014">
        <f t="shared" si="70"/>
        <v>0</v>
      </c>
      <c r="CM5" s="1014">
        <f t="shared" si="71"/>
        <v>0</v>
      </c>
      <c r="CN5" s="1015">
        <f t="shared" si="72"/>
        <v>0</v>
      </c>
      <c r="CO5" s="1014">
        <f t="shared" si="73"/>
        <v>0</v>
      </c>
      <c r="CP5" s="1025">
        <f t="shared" si="74"/>
        <v>0</v>
      </c>
      <c r="CQ5" s="1014">
        <f t="shared" si="75"/>
        <v>0</v>
      </c>
      <c r="CR5" s="1014">
        <f t="shared" si="76"/>
        <v>0</v>
      </c>
      <c r="CS5" s="1014">
        <f t="shared" si="77"/>
        <v>0</v>
      </c>
      <c r="CT5" s="1014">
        <f t="shared" si="78"/>
        <v>0</v>
      </c>
      <c r="CU5" s="1015">
        <f t="shared" si="79"/>
        <v>0</v>
      </c>
      <c r="CV5" s="1030">
        <f t="shared" si="80"/>
        <v>0</v>
      </c>
      <c r="CW5" s="1014">
        <f t="shared" si="81"/>
        <v>0</v>
      </c>
      <c r="CX5" s="1014">
        <f t="shared" si="82"/>
        <v>0</v>
      </c>
      <c r="CY5" s="1014">
        <f t="shared" si="83"/>
        <v>0</v>
      </c>
      <c r="CZ5" s="1014">
        <f t="shared" si="84"/>
        <v>0</v>
      </c>
      <c r="DA5" s="1014">
        <f t="shared" si="85"/>
        <v>0</v>
      </c>
      <c r="DB5" s="1014">
        <f t="shared" si="86"/>
        <v>0</v>
      </c>
      <c r="DC5" s="1014">
        <f t="shared" si="87"/>
        <v>0</v>
      </c>
      <c r="DD5" s="1014">
        <f t="shared" si="88"/>
        <v>0</v>
      </c>
      <c r="DE5" s="1015">
        <f t="shared" si="89"/>
        <v>0</v>
      </c>
      <c r="DF5" s="1014">
        <f t="shared" si="90"/>
        <v>0</v>
      </c>
      <c r="DG5" s="1014">
        <f t="shared" si="91"/>
        <v>0</v>
      </c>
      <c r="DH5" s="1012">
        <f t="shared" si="92"/>
        <v>0</v>
      </c>
      <c r="DI5" s="1014">
        <f t="shared" si="93"/>
        <v>0</v>
      </c>
      <c r="DJ5" s="1014">
        <f t="shared" si="94"/>
        <v>0</v>
      </c>
      <c r="DK5" s="1014">
        <f t="shared" si="95"/>
        <v>0</v>
      </c>
      <c r="DL5" s="1014">
        <f t="shared" si="96"/>
        <v>0</v>
      </c>
      <c r="DM5" s="1014">
        <f t="shared" si="97"/>
        <v>0</v>
      </c>
      <c r="DN5" s="1014">
        <f t="shared" si="98"/>
        <v>0</v>
      </c>
      <c r="DO5" s="1014">
        <f t="shared" si="99"/>
        <v>0</v>
      </c>
      <c r="DP5" s="1014">
        <f t="shared" si="100"/>
        <v>0</v>
      </c>
      <c r="DQ5" s="1020">
        <f t="shared" si="101"/>
        <v>0</v>
      </c>
      <c r="DR5" s="1014">
        <f t="shared" si="102"/>
        <v>0</v>
      </c>
      <c r="DS5" s="1014">
        <f t="shared" si="103"/>
        <v>0</v>
      </c>
      <c r="DT5" s="1025">
        <f t="shared" si="104"/>
        <v>0</v>
      </c>
    </row>
    <row r="6" spans="1:140" x14ac:dyDescent="0.2">
      <c r="A6" s="908" t="s">
        <v>61</v>
      </c>
      <c r="B6" s="908"/>
      <c r="C6" s="910">
        <f t="shared" ref="C6" si="136">SUMPRODUCT((OP_FRAFU=A6)*(Bdgt_FRAFU))</f>
        <v>0</v>
      </c>
      <c r="D6" s="910">
        <f t="shared" ref="D6" si="137">SUMPRODUCT((OP_Rehab=A6)*(Bdgt_Rehab))</f>
        <v>0</v>
      </c>
      <c r="E6" s="910">
        <f t="shared" ref="E6" si="138">SUMPRODUCT((OP_LBU=A6)*(Bdgt_LBU))</f>
        <v>0</v>
      </c>
      <c r="F6" s="910">
        <f t="shared" si="3"/>
        <v>0</v>
      </c>
      <c r="G6" s="910">
        <f t="shared" ref="G6" si="139">SUMPRODUCT((OP_CAF=A6)*(Bdgt_CAF))</f>
        <v>0</v>
      </c>
      <c r="H6" s="910">
        <f t="shared" ref="H6" si="140">SUMPRODUCT((OP_Region=A6)*(Bdgt_Region))</f>
        <v>1272168.47</v>
      </c>
      <c r="I6" s="910">
        <f t="shared" ref="I6" si="141">SUMPRODUCT((OP_Rectorat=A6)*(Bdgt_Rectorat))</f>
        <v>0</v>
      </c>
      <c r="J6" s="910">
        <f t="shared" si="7"/>
        <v>0</v>
      </c>
      <c r="K6" s="910">
        <f t="shared" si="8"/>
        <v>0</v>
      </c>
      <c r="L6" s="910">
        <f t="shared" si="9"/>
        <v>1290562.67</v>
      </c>
      <c r="M6" s="910">
        <f t="shared" ref="M6" si="142">SUMPRODUCT((OP_ADEME=A6)*(Bdgt_ADEME))</f>
        <v>0</v>
      </c>
      <c r="N6" s="910">
        <f t="shared" ref="N6" si="143">SUMPRODUCT((OP_P_Ile=A6)*(Bdgt_P_Ile))</f>
        <v>0</v>
      </c>
      <c r="O6" s="910">
        <f t="shared" ref="O6" si="144">SUMPRODUCT((OP_EDF=A6)*(Bdgt_EDF))</f>
        <v>0</v>
      </c>
      <c r="P6" s="910">
        <f t="shared" si="13"/>
        <v>0</v>
      </c>
      <c r="Q6" s="910">
        <f t="shared" ref="Q6" si="145">SUMPRODUCT((OP_ETG_SALE=A6)*(Bdgt_ETG_SALE))</f>
        <v>0</v>
      </c>
      <c r="R6" s="910">
        <f t="shared" ref="R6" si="146">SUMPRODUCT((OP_ST_JO=A6)*(Bdgt_ST_JO))</f>
        <v>0</v>
      </c>
      <c r="S6" s="910">
        <f t="shared" ref="S6" si="147">SUM(C6:R6)</f>
        <v>2562731.1399999997</v>
      </c>
      <c r="T6" s="1037">
        <f t="shared" si="17"/>
        <v>-18394.200000000186</v>
      </c>
      <c r="U6" s="1034">
        <f t="shared" si="117"/>
        <v>0</v>
      </c>
      <c r="V6" s="1034">
        <f t="shared" si="118"/>
        <v>0</v>
      </c>
      <c r="W6" s="1034">
        <f t="shared" si="119"/>
        <v>0</v>
      </c>
      <c r="X6" s="1034">
        <f t="shared" si="120"/>
        <v>0</v>
      </c>
      <c r="Y6" s="1034">
        <f t="shared" si="121"/>
        <v>735403.9</v>
      </c>
      <c r="Z6" s="1034">
        <f t="shared" si="122"/>
        <v>735403.9</v>
      </c>
      <c r="AA6" s="1034">
        <f t="shared" si="123"/>
        <v>735403.9</v>
      </c>
      <c r="AB6" s="1034">
        <f t="shared" si="124"/>
        <v>735403.9</v>
      </c>
      <c r="AC6" s="1034">
        <f t="shared" si="125"/>
        <v>1290562.67</v>
      </c>
      <c r="AD6" s="1034">
        <f t="shared" si="126"/>
        <v>2581125.34</v>
      </c>
      <c r="AE6" s="1034">
        <f t="shared" si="127"/>
        <v>2581125.34</v>
      </c>
      <c r="AF6" s="1034">
        <f t="shared" si="128"/>
        <v>2581125.34</v>
      </c>
      <c r="AG6" s="1034">
        <f t="shared" si="129"/>
        <v>2581125.34</v>
      </c>
      <c r="AH6" s="1041">
        <f t="shared" si="130"/>
        <v>1.0071775769657991</v>
      </c>
      <c r="AI6" s="1014">
        <f t="shared" si="18"/>
        <v>0</v>
      </c>
      <c r="AJ6" s="1025">
        <f t="shared" si="131"/>
        <v>0</v>
      </c>
      <c r="AK6" s="1014">
        <f t="shared" si="19"/>
        <v>0</v>
      </c>
      <c r="AL6" s="1025">
        <f t="shared" si="132"/>
        <v>0</v>
      </c>
      <c r="AM6" s="1014">
        <f t="shared" si="20"/>
        <v>0</v>
      </c>
      <c r="AN6" s="1025">
        <f t="shared" si="133"/>
        <v>0</v>
      </c>
      <c r="AO6" s="1014">
        <f t="shared" si="21"/>
        <v>0</v>
      </c>
      <c r="AP6" s="1014">
        <f t="shared" si="22"/>
        <v>0</v>
      </c>
      <c r="AQ6" s="1014">
        <f t="shared" si="23"/>
        <v>0</v>
      </c>
      <c r="AR6" s="1015">
        <f t="shared" si="24"/>
        <v>0</v>
      </c>
      <c r="AS6" s="1025">
        <f t="shared" si="25"/>
        <v>0</v>
      </c>
      <c r="AT6" s="1014">
        <f t="shared" si="26"/>
        <v>0</v>
      </c>
      <c r="AU6" s="1014">
        <f t="shared" si="27"/>
        <v>0</v>
      </c>
      <c r="AV6" s="1014">
        <f t="shared" si="28"/>
        <v>735403.9</v>
      </c>
      <c r="AW6" s="1014">
        <f t="shared" si="29"/>
        <v>0</v>
      </c>
      <c r="AX6" s="1014">
        <f t="shared" si="30"/>
        <v>0</v>
      </c>
      <c r="AY6" s="1014">
        <f t="shared" si="31"/>
        <v>0</v>
      </c>
      <c r="AZ6" s="1025">
        <f t="shared" si="32"/>
        <v>735403.9</v>
      </c>
      <c r="BA6" s="1014">
        <f t="shared" si="33"/>
        <v>0</v>
      </c>
      <c r="BB6" s="1014">
        <f t="shared" si="34"/>
        <v>0</v>
      </c>
      <c r="BC6" s="1014">
        <f t="shared" si="35"/>
        <v>0</v>
      </c>
      <c r="BD6" s="1014">
        <f t="shared" si="36"/>
        <v>0</v>
      </c>
      <c r="BE6" s="1014">
        <f t="shared" si="37"/>
        <v>0</v>
      </c>
      <c r="BF6" s="1014">
        <f t="shared" si="38"/>
        <v>0</v>
      </c>
      <c r="BG6" s="1025">
        <f t="shared" si="39"/>
        <v>0</v>
      </c>
      <c r="BH6" s="1014">
        <f t="shared" si="40"/>
        <v>0</v>
      </c>
      <c r="BI6" s="1014">
        <f t="shared" si="41"/>
        <v>0</v>
      </c>
      <c r="BJ6" s="1014">
        <f t="shared" si="42"/>
        <v>0</v>
      </c>
      <c r="BK6" s="1014">
        <f t="shared" si="43"/>
        <v>0</v>
      </c>
      <c r="BL6" s="1014">
        <f t="shared" si="44"/>
        <v>0</v>
      </c>
      <c r="BM6" s="1014">
        <f t="shared" si="45"/>
        <v>0</v>
      </c>
      <c r="BN6" s="1025">
        <f t="shared" si="46"/>
        <v>0</v>
      </c>
      <c r="BO6" s="1014">
        <f t="shared" si="47"/>
        <v>0</v>
      </c>
      <c r="BP6" s="1014">
        <f t="shared" si="48"/>
        <v>0</v>
      </c>
      <c r="BQ6" s="1014">
        <f t="shared" si="49"/>
        <v>0</v>
      </c>
      <c r="BR6" s="1014">
        <f t="shared" si="50"/>
        <v>0</v>
      </c>
      <c r="BS6" s="1014">
        <f t="shared" si="51"/>
        <v>0</v>
      </c>
      <c r="BT6" s="1025">
        <f t="shared" si="52"/>
        <v>0</v>
      </c>
      <c r="BU6" s="1014">
        <f t="shared" si="53"/>
        <v>0</v>
      </c>
      <c r="BV6" s="1014">
        <f t="shared" si="54"/>
        <v>0</v>
      </c>
      <c r="BW6" s="1014">
        <f t="shared" si="55"/>
        <v>0</v>
      </c>
      <c r="BX6" s="1014">
        <f t="shared" si="56"/>
        <v>0</v>
      </c>
      <c r="BY6" s="1014">
        <f t="shared" si="57"/>
        <v>555158.77</v>
      </c>
      <c r="BZ6" s="1014">
        <f t="shared" si="58"/>
        <v>0</v>
      </c>
      <c r="CA6" s="1014">
        <f t="shared" si="59"/>
        <v>0</v>
      </c>
      <c r="CB6" s="1014">
        <f t="shared" si="60"/>
        <v>0</v>
      </c>
      <c r="CC6" s="1014">
        <f t="shared" si="61"/>
        <v>0</v>
      </c>
      <c r="CD6" s="1015">
        <f t="shared" si="62"/>
        <v>0</v>
      </c>
      <c r="CE6" s="1014">
        <f t="shared" si="63"/>
        <v>0</v>
      </c>
      <c r="CF6" s="1025">
        <f t="shared" si="64"/>
        <v>555158.77</v>
      </c>
      <c r="CG6" s="1014">
        <f t="shared" si="65"/>
        <v>0</v>
      </c>
      <c r="CH6" s="1014">
        <f t="shared" si="66"/>
        <v>0</v>
      </c>
      <c r="CI6" s="1014">
        <f t="shared" si="67"/>
        <v>0</v>
      </c>
      <c r="CJ6" s="1014">
        <f t="shared" si="68"/>
        <v>0</v>
      </c>
      <c r="CK6" s="1014">
        <f t="shared" si="69"/>
        <v>0</v>
      </c>
      <c r="CL6" s="1014">
        <f t="shared" si="70"/>
        <v>1290562.67</v>
      </c>
      <c r="CM6" s="1014">
        <f t="shared" si="71"/>
        <v>0</v>
      </c>
      <c r="CN6" s="1015">
        <f t="shared" si="72"/>
        <v>0</v>
      </c>
      <c r="CO6" s="1014">
        <f t="shared" si="73"/>
        <v>0</v>
      </c>
      <c r="CP6" s="1025">
        <f t="shared" si="74"/>
        <v>1290562.67</v>
      </c>
      <c r="CQ6" s="1014">
        <f t="shared" si="75"/>
        <v>0</v>
      </c>
      <c r="CR6" s="1014">
        <f t="shared" si="76"/>
        <v>0</v>
      </c>
      <c r="CS6" s="1014">
        <f t="shared" si="77"/>
        <v>0</v>
      </c>
      <c r="CT6" s="1014">
        <f t="shared" si="78"/>
        <v>0</v>
      </c>
      <c r="CU6" s="1015">
        <f t="shared" si="79"/>
        <v>0</v>
      </c>
      <c r="CV6" s="1030">
        <f t="shared" si="80"/>
        <v>0</v>
      </c>
      <c r="CW6" s="1014">
        <f t="shared" si="81"/>
        <v>0</v>
      </c>
      <c r="CX6" s="1014">
        <f t="shared" si="82"/>
        <v>0</v>
      </c>
      <c r="CY6" s="1014">
        <f t="shared" si="83"/>
        <v>0</v>
      </c>
      <c r="CZ6" s="1014">
        <f t="shared" si="84"/>
        <v>0</v>
      </c>
      <c r="DA6" s="1014">
        <f t="shared" si="85"/>
        <v>0</v>
      </c>
      <c r="DB6" s="1014">
        <f t="shared" si="86"/>
        <v>0</v>
      </c>
      <c r="DC6" s="1014">
        <f t="shared" si="87"/>
        <v>0</v>
      </c>
      <c r="DD6" s="1014">
        <f t="shared" si="88"/>
        <v>0</v>
      </c>
      <c r="DE6" s="1015">
        <f t="shared" si="89"/>
        <v>0</v>
      </c>
      <c r="DF6" s="1014">
        <f t="shared" si="90"/>
        <v>0</v>
      </c>
      <c r="DG6" s="1014">
        <f t="shared" si="91"/>
        <v>0</v>
      </c>
      <c r="DH6" s="1012">
        <f t="shared" ref="DH6" si="148">SUM(CW6:DG6)</f>
        <v>0</v>
      </c>
      <c r="DI6" s="1014">
        <f t="shared" si="93"/>
        <v>0</v>
      </c>
      <c r="DJ6" s="1014">
        <f t="shared" si="94"/>
        <v>0</v>
      </c>
      <c r="DK6" s="1014">
        <f t="shared" si="95"/>
        <v>0</v>
      </c>
      <c r="DL6" s="1014">
        <f t="shared" si="96"/>
        <v>0</v>
      </c>
      <c r="DM6" s="1014">
        <f t="shared" si="97"/>
        <v>0</v>
      </c>
      <c r="DN6" s="1014">
        <f t="shared" si="98"/>
        <v>0</v>
      </c>
      <c r="DO6" s="1014">
        <f t="shared" si="99"/>
        <v>0</v>
      </c>
      <c r="DP6" s="1014">
        <f t="shared" si="100"/>
        <v>0</v>
      </c>
      <c r="DQ6" s="1020">
        <f t="shared" si="101"/>
        <v>0</v>
      </c>
      <c r="DR6" s="1014">
        <f t="shared" si="102"/>
        <v>0</v>
      </c>
      <c r="DS6" s="1014">
        <f t="shared" si="103"/>
        <v>0</v>
      </c>
      <c r="DT6" s="1025">
        <f t="shared" ref="DT6" si="149">SUM(DI6:DS6)</f>
        <v>0</v>
      </c>
    </row>
    <row r="7" spans="1:140" x14ac:dyDescent="0.2">
      <c r="A7" s="908" t="s">
        <v>34</v>
      </c>
      <c r="B7" s="908">
        <v>2012</v>
      </c>
      <c r="C7" s="910">
        <f t="shared" si="0"/>
        <v>0</v>
      </c>
      <c r="D7" s="910">
        <f t="shared" si="1"/>
        <v>0</v>
      </c>
      <c r="E7" s="910">
        <f t="shared" si="2"/>
        <v>2766905</v>
      </c>
      <c r="F7" s="910">
        <f t="shared" si="3"/>
        <v>0</v>
      </c>
      <c r="G7" s="910">
        <f t="shared" si="4"/>
        <v>0</v>
      </c>
      <c r="H7" s="910">
        <f t="shared" si="5"/>
        <v>0</v>
      </c>
      <c r="I7" s="910">
        <f t="shared" si="6"/>
        <v>0</v>
      </c>
      <c r="J7" s="910">
        <f t="shared" si="7"/>
        <v>0</v>
      </c>
      <c r="K7" s="910">
        <f t="shared" si="8"/>
        <v>0</v>
      </c>
      <c r="L7" s="910">
        <f t="shared" si="9"/>
        <v>0</v>
      </c>
      <c r="M7" s="910">
        <f t="shared" si="10"/>
        <v>0</v>
      </c>
      <c r="N7" s="910">
        <f t="shared" si="11"/>
        <v>0</v>
      </c>
      <c r="O7" s="910">
        <f t="shared" si="12"/>
        <v>0</v>
      </c>
      <c r="P7" s="910">
        <f t="shared" si="13"/>
        <v>0</v>
      </c>
      <c r="Q7" s="910">
        <f t="shared" si="14"/>
        <v>0</v>
      </c>
      <c r="R7" s="910">
        <f t="shared" si="15"/>
        <v>0</v>
      </c>
      <c r="S7" s="910">
        <f t="shared" si="16"/>
        <v>2766905</v>
      </c>
      <c r="T7" s="1037">
        <f t="shared" si="17"/>
        <v>0</v>
      </c>
      <c r="U7" s="1034">
        <f t="shared" si="117"/>
        <v>0</v>
      </c>
      <c r="V7" s="1034">
        <f t="shared" si="118"/>
        <v>0</v>
      </c>
      <c r="W7" s="1034">
        <f t="shared" si="119"/>
        <v>830071.5</v>
      </c>
      <c r="X7" s="1034">
        <f t="shared" si="120"/>
        <v>1901140.43</v>
      </c>
      <c r="Y7" s="1034">
        <f t="shared" si="121"/>
        <v>2213524</v>
      </c>
      <c r="Z7" s="1034">
        <f t="shared" si="122"/>
        <v>2213524</v>
      </c>
      <c r="AA7" s="1034">
        <f t="shared" si="123"/>
        <v>2213524</v>
      </c>
      <c r="AB7" s="1034">
        <f t="shared" si="124"/>
        <v>2213524</v>
      </c>
      <c r="AC7" s="1034">
        <f t="shared" si="125"/>
        <v>2766905</v>
      </c>
      <c r="AD7" s="1034">
        <f t="shared" si="126"/>
        <v>2766905</v>
      </c>
      <c r="AE7" s="1034">
        <f t="shared" si="127"/>
        <v>2766905</v>
      </c>
      <c r="AF7" s="1034">
        <f t="shared" si="128"/>
        <v>2766905</v>
      </c>
      <c r="AG7" s="1034">
        <f t="shared" si="129"/>
        <v>2766905</v>
      </c>
      <c r="AH7" s="1041">
        <f t="shared" si="130"/>
        <v>1</v>
      </c>
      <c r="AI7" s="1014">
        <f t="shared" si="18"/>
        <v>0</v>
      </c>
      <c r="AJ7" s="1025">
        <f t="shared" si="131"/>
        <v>0</v>
      </c>
      <c r="AK7" s="1014">
        <f t="shared" si="19"/>
        <v>0</v>
      </c>
      <c r="AL7" s="1025">
        <f t="shared" si="132"/>
        <v>0</v>
      </c>
      <c r="AM7" s="1014">
        <f t="shared" si="20"/>
        <v>830071.5</v>
      </c>
      <c r="AN7" s="1025">
        <f t="shared" si="133"/>
        <v>830071.5</v>
      </c>
      <c r="AO7" s="1014">
        <f t="shared" si="21"/>
        <v>0</v>
      </c>
      <c r="AP7" s="1014">
        <f t="shared" si="22"/>
        <v>1071068.93</v>
      </c>
      <c r="AQ7" s="1014">
        <f t="shared" si="23"/>
        <v>0</v>
      </c>
      <c r="AR7" s="1015">
        <f t="shared" si="24"/>
        <v>0</v>
      </c>
      <c r="AS7" s="1025">
        <f t="shared" si="25"/>
        <v>1071068.93</v>
      </c>
      <c r="AT7" s="1014">
        <f t="shared" si="26"/>
        <v>0</v>
      </c>
      <c r="AU7" s="1014">
        <f t="shared" si="27"/>
        <v>312383.57</v>
      </c>
      <c r="AV7" s="1014">
        <f t="shared" si="28"/>
        <v>0</v>
      </c>
      <c r="AW7" s="1014">
        <f t="shared" si="29"/>
        <v>0</v>
      </c>
      <c r="AX7" s="1014">
        <f t="shared" si="30"/>
        <v>0</v>
      </c>
      <c r="AY7" s="1014">
        <f t="shared" si="31"/>
        <v>0</v>
      </c>
      <c r="AZ7" s="1025">
        <f t="shared" si="32"/>
        <v>312383.57</v>
      </c>
      <c r="BA7" s="1014">
        <f t="shared" si="33"/>
        <v>0</v>
      </c>
      <c r="BB7" s="1014">
        <f t="shared" si="34"/>
        <v>0</v>
      </c>
      <c r="BC7" s="1014">
        <f t="shared" si="35"/>
        <v>0</v>
      </c>
      <c r="BD7" s="1014">
        <f t="shared" si="36"/>
        <v>0</v>
      </c>
      <c r="BE7" s="1014">
        <f t="shared" si="37"/>
        <v>0</v>
      </c>
      <c r="BF7" s="1014">
        <f t="shared" si="38"/>
        <v>0</v>
      </c>
      <c r="BG7" s="1025">
        <f t="shared" si="39"/>
        <v>0</v>
      </c>
      <c r="BH7" s="1014">
        <f t="shared" si="40"/>
        <v>0</v>
      </c>
      <c r="BI7" s="1014">
        <f t="shared" si="41"/>
        <v>0</v>
      </c>
      <c r="BJ7" s="1014">
        <f t="shared" si="42"/>
        <v>0</v>
      </c>
      <c r="BK7" s="1014">
        <f t="shared" si="43"/>
        <v>0</v>
      </c>
      <c r="BL7" s="1014">
        <f t="shared" si="44"/>
        <v>0</v>
      </c>
      <c r="BM7" s="1014">
        <f t="shared" si="45"/>
        <v>0</v>
      </c>
      <c r="BN7" s="1025">
        <f t="shared" si="46"/>
        <v>0</v>
      </c>
      <c r="BO7" s="1014">
        <f t="shared" si="47"/>
        <v>0</v>
      </c>
      <c r="BP7" s="1014">
        <f t="shared" si="48"/>
        <v>0</v>
      </c>
      <c r="BQ7" s="1014">
        <f t="shared" si="49"/>
        <v>0</v>
      </c>
      <c r="BR7" s="1014">
        <f t="shared" si="50"/>
        <v>0</v>
      </c>
      <c r="BS7" s="1014">
        <f t="shared" si="51"/>
        <v>0</v>
      </c>
      <c r="BT7" s="1025">
        <f t="shared" si="52"/>
        <v>0</v>
      </c>
      <c r="BU7" s="1014">
        <f t="shared" si="53"/>
        <v>0</v>
      </c>
      <c r="BV7" s="1014">
        <f t="shared" si="54"/>
        <v>553381</v>
      </c>
      <c r="BW7" s="1014">
        <f t="shared" si="55"/>
        <v>0</v>
      </c>
      <c r="BX7" s="1014">
        <f t="shared" si="56"/>
        <v>0</v>
      </c>
      <c r="BY7" s="1014">
        <f t="shared" si="57"/>
        <v>0</v>
      </c>
      <c r="BZ7" s="1014">
        <f t="shared" si="58"/>
        <v>0</v>
      </c>
      <c r="CA7" s="1014">
        <f t="shared" si="59"/>
        <v>0</v>
      </c>
      <c r="CB7" s="1014">
        <f t="shared" si="60"/>
        <v>0</v>
      </c>
      <c r="CC7" s="1014">
        <f t="shared" si="61"/>
        <v>0</v>
      </c>
      <c r="CD7" s="1015">
        <f t="shared" si="62"/>
        <v>0</v>
      </c>
      <c r="CE7" s="1014">
        <f t="shared" si="63"/>
        <v>0</v>
      </c>
      <c r="CF7" s="1025">
        <f t="shared" si="64"/>
        <v>553381</v>
      </c>
      <c r="CG7" s="1014">
        <f t="shared" si="65"/>
        <v>0</v>
      </c>
      <c r="CH7" s="1014">
        <f t="shared" si="66"/>
        <v>0</v>
      </c>
      <c r="CI7" s="1014">
        <f t="shared" si="67"/>
        <v>0</v>
      </c>
      <c r="CJ7" s="1014">
        <f t="shared" si="68"/>
        <v>0</v>
      </c>
      <c r="CK7" s="1014">
        <f t="shared" si="69"/>
        <v>0</v>
      </c>
      <c r="CL7" s="1014">
        <f t="shared" si="70"/>
        <v>0</v>
      </c>
      <c r="CM7" s="1014">
        <f t="shared" si="71"/>
        <v>0</v>
      </c>
      <c r="CN7" s="1015">
        <f t="shared" si="72"/>
        <v>0</v>
      </c>
      <c r="CO7" s="1014">
        <f t="shared" si="73"/>
        <v>0</v>
      </c>
      <c r="CP7" s="1025">
        <f t="shared" si="74"/>
        <v>0</v>
      </c>
      <c r="CQ7" s="1014">
        <f t="shared" si="75"/>
        <v>0</v>
      </c>
      <c r="CR7" s="1014">
        <f t="shared" si="76"/>
        <v>0</v>
      </c>
      <c r="CS7" s="1014">
        <f t="shared" si="77"/>
        <v>0</v>
      </c>
      <c r="CT7" s="1014">
        <f t="shared" si="78"/>
        <v>0</v>
      </c>
      <c r="CU7" s="1015">
        <f t="shared" si="79"/>
        <v>0</v>
      </c>
      <c r="CV7" s="1030">
        <f t="shared" si="80"/>
        <v>0</v>
      </c>
      <c r="CW7" s="1014">
        <f t="shared" si="81"/>
        <v>0</v>
      </c>
      <c r="CX7" s="1014">
        <f t="shared" si="82"/>
        <v>0</v>
      </c>
      <c r="CY7" s="1014">
        <f t="shared" si="83"/>
        <v>0</v>
      </c>
      <c r="CZ7" s="1014">
        <f t="shared" si="84"/>
        <v>0</v>
      </c>
      <c r="DA7" s="1014">
        <f t="shared" si="85"/>
        <v>0</v>
      </c>
      <c r="DB7" s="1014">
        <f t="shared" si="86"/>
        <v>0</v>
      </c>
      <c r="DC7" s="1014">
        <f t="shared" si="87"/>
        <v>0</v>
      </c>
      <c r="DD7" s="1014">
        <f t="shared" si="88"/>
        <v>0</v>
      </c>
      <c r="DE7" s="1015">
        <f t="shared" si="89"/>
        <v>0</v>
      </c>
      <c r="DF7" s="1014">
        <f t="shared" si="90"/>
        <v>0</v>
      </c>
      <c r="DG7" s="1014">
        <f t="shared" si="91"/>
        <v>0</v>
      </c>
      <c r="DH7" s="1012">
        <f t="shared" si="92"/>
        <v>0</v>
      </c>
      <c r="DI7" s="1014">
        <f t="shared" si="93"/>
        <v>0</v>
      </c>
      <c r="DJ7" s="1014">
        <f t="shared" si="94"/>
        <v>0</v>
      </c>
      <c r="DK7" s="1014">
        <f t="shared" si="95"/>
        <v>0</v>
      </c>
      <c r="DL7" s="1014">
        <f t="shared" si="96"/>
        <v>0</v>
      </c>
      <c r="DM7" s="1014">
        <f t="shared" si="97"/>
        <v>0</v>
      </c>
      <c r="DN7" s="1014">
        <f t="shared" si="98"/>
        <v>0</v>
      </c>
      <c r="DO7" s="1014">
        <f t="shared" si="99"/>
        <v>0</v>
      </c>
      <c r="DP7" s="1014">
        <f t="shared" si="100"/>
        <v>0</v>
      </c>
      <c r="DQ7" s="1020">
        <f t="shared" si="101"/>
        <v>0</v>
      </c>
      <c r="DR7" s="1014">
        <f t="shared" si="102"/>
        <v>0</v>
      </c>
      <c r="DS7" s="1014">
        <f t="shared" si="103"/>
        <v>0</v>
      </c>
      <c r="DT7" s="1025">
        <f t="shared" si="104"/>
        <v>0</v>
      </c>
    </row>
    <row r="8" spans="1:140" x14ac:dyDescent="0.2">
      <c r="A8" s="908" t="s">
        <v>42</v>
      </c>
      <c r="B8" s="908">
        <v>2013</v>
      </c>
      <c r="C8" s="910">
        <f t="shared" ref="C8" si="150">SUMPRODUCT((OP_FRAFU=A8)*(Bdgt_FRAFU))</f>
        <v>0</v>
      </c>
      <c r="D8" s="910">
        <f t="shared" ref="D8" si="151">SUMPRODUCT((OP_Rehab=A8)*(Bdgt_Rehab))</f>
        <v>0</v>
      </c>
      <c r="E8" s="910">
        <f t="shared" ref="E8" si="152">SUMPRODUCT((OP_LBU=A8)*(Bdgt_LBU))</f>
        <v>355000</v>
      </c>
      <c r="F8" s="910">
        <f t="shared" si="3"/>
        <v>0</v>
      </c>
      <c r="G8" s="910">
        <f t="shared" ref="G8" si="153">SUMPRODUCT((OP_CAF=A8)*(Bdgt_CAF))</f>
        <v>0</v>
      </c>
      <c r="H8" s="910">
        <f t="shared" ref="H8" si="154">SUMPRODUCT((OP_Region=A8)*(Bdgt_Region))</f>
        <v>0</v>
      </c>
      <c r="I8" s="910">
        <f t="shared" ref="I8" si="155">SUMPRODUCT((OP_Rectorat=A8)*(Bdgt_Rectorat))</f>
        <v>0</v>
      </c>
      <c r="J8" s="910">
        <f t="shared" si="7"/>
        <v>0</v>
      </c>
      <c r="K8" s="910">
        <f t="shared" si="8"/>
        <v>0</v>
      </c>
      <c r="L8" s="910">
        <f t="shared" si="9"/>
        <v>0</v>
      </c>
      <c r="M8" s="910">
        <f t="shared" ref="M8" si="156">SUMPRODUCT((OP_ADEME=A8)*(Bdgt_ADEME))</f>
        <v>0</v>
      </c>
      <c r="N8" s="910">
        <f t="shared" ref="N8" si="157">SUMPRODUCT((OP_P_Ile=A8)*(Bdgt_P_Ile))</f>
        <v>0</v>
      </c>
      <c r="O8" s="910">
        <f t="shared" ref="O8" si="158">SUMPRODUCT((OP_EDF=A8)*(Bdgt_EDF))</f>
        <v>0</v>
      </c>
      <c r="P8" s="910">
        <f t="shared" si="13"/>
        <v>0</v>
      </c>
      <c r="Q8" s="910">
        <f t="shared" ref="Q8" si="159">SUMPRODUCT((OP_ETG_SALE=A8)*(Bdgt_ETG_SALE))</f>
        <v>0</v>
      </c>
      <c r="R8" s="910">
        <f t="shared" ref="R8" si="160">SUMPRODUCT((OP_ST_JO=A8)*(Bdgt_ST_JO))</f>
        <v>0</v>
      </c>
      <c r="S8" s="910">
        <f t="shared" ref="S8" si="161">SUM(C8:R8)</f>
        <v>355000</v>
      </c>
      <c r="T8" s="1037">
        <f t="shared" si="17"/>
        <v>0</v>
      </c>
      <c r="U8" s="1034">
        <f t="shared" si="117"/>
        <v>0</v>
      </c>
      <c r="V8" s="1034">
        <f t="shared" si="118"/>
        <v>0</v>
      </c>
      <c r="W8" s="1034">
        <f t="shared" si="119"/>
        <v>0</v>
      </c>
      <c r="X8" s="1034">
        <f t="shared" si="120"/>
        <v>0</v>
      </c>
      <c r="Y8" s="1034">
        <f t="shared" si="121"/>
        <v>0</v>
      </c>
      <c r="Z8" s="1034">
        <f t="shared" si="122"/>
        <v>197593</v>
      </c>
      <c r="AA8" s="1034">
        <f t="shared" si="123"/>
        <v>284000</v>
      </c>
      <c r="AB8" s="1034">
        <f t="shared" si="124"/>
        <v>284000</v>
      </c>
      <c r="AC8" s="1034">
        <f t="shared" si="125"/>
        <v>355000</v>
      </c>
      <c r="AD8" s="1034">
        <f t="shared" si="126"/>
        <v>355000</v>
      </c>
      <c r="AE8" s="1034">
        <f t="shared" si="127"/>
        <v>355000</v>
      </c>
      <c r="AF8" s="1034">
        <f t="shared" si="128"/>
        <v>355000</v>
      </c>
      <c r="AG8" s="1034">
        <f t="shared" si="129"/>
        <v>355000</v>
      </c>
      <c r="AH8" s="1041">
        <f t="shared" si="130"/>
        <v>1</v>
      </c>
      <c r="AI8" s="1014">
        <f t="shared" si="18"/>
        <v>0</v>
      </c>
      <c r="AJ8" s="1025">
        <f t="shared" si="131"/>
        <v>0</v>
      </c>
      <c r="AK8" s="1014">
        <f t="shared" si="19"/>
        <v>0</v>
      </c>
      <c r="AL8" s="1025">
        <f t="shared" si="132"/>
        <v>0</v>
      </c>
      <c r="AM8" s="1014">
        <f t="shared" si="20"/>
        <v>0</v>
      </c>
      <c r="AN8" s="1025">
        <f t="shared" si="133"/>
        <v>0</v>
      </c>
      <c r="AO8" s="1014">
        <f t="shared" si="21"/>
        <v>0</v>
      </c>
      <c r="AP8" s="1014">
        <f t="shared" si="22"/>
        <v>0</v>
      </c>
      <c r="AQ8" s="1014">
        <f t="shared" si="23"/>
        <v>0</v>
      </c>
      <c r="AR8" s="1015">
        <f t="shared" si="24"/>
        <v>0</v>
      </c>
      <c r="AS8" s="1025">
        <f t="shared" si="25"/>
        <v>0</v>
      </c>
      <c r="AT8" s="1014">
        <f t="shared" si="26"/>
        <v>0</v>
      </c>
      <c r="AU8" s="1014">
        <f t="shared" si="27"/>
        <v>0</v>
      </c>
      <c r="AV8" s="1014">
        <f t="shared" si="28"/>
        <v>0</v>
      </c>
      <c r="AW8" s="1014">
        <f t="shared" si="29"/>
        <v>0</v>
      </c>
      <c r="AX8" s="1014">
        <f t="shared" si="30"/>
        <v>0</v>
      </c>
      <c r="AY8" s="1014">
        <f t="shared" si="31"/>
        <v>0</v>
      </c>
      <c r="AZ8" s="1025">
        <f t="shared" si="32"/>
        <v>0</v>
      </c>
      <c r="BA8" s="1014">
        <f t="shared" si="33"/>
        <v>0</v>
      </c>
      <c r="BB8" s="1014">
        <f t="shared" si="34"/>
        <v>197593</v>
      </c>
      <c r="BC8" s="1014">
        <f t="shared" si="35"/>
        <v>0</v>
      </c>
      <c r="BD8" s="1014">
        <f t="shared" si="36"/>
        <v>0</v>
      </c>
      <c r="BE8" s="1014">
        <f t="shared" si="37"/>
        <v>0</v>
      </c>
      <c r="BF8" s="1014">
        <f t="shared" si="38"/>
        <v>0</v>
      </c>
      <c r="BG8" s="1025">
        <f t="shared" si="39"/>
        <v>197593</v>
      </c>
      <c r="BH8" s="1014">
        <f t="shared" si="40"/>
        <v>0</v>
      </c>
      <c r="BI8" s="1014">
        <f t="shared" si="41"/>
        <v>86407</v>
      </c>
      <c r="BJ8" s="1014">
        <f t="shared" si="42"/>
        <v>0</v>
      </c>
      <c r="BK8" s="1014">
        <f t="shared" si="43"/>
        <v>0</v>
      </c>
      <c r="BL8" s="1014">
        <f t="shared" si="44"/>
        <v>0</v>
      </c>
      <c r="BM8" s="1014">
        <f t="shared" si="45"/>
        <v>0</v>
      </c>
      <c r="BN8" s="1025">
        <f t="shared" si="46"/>
        <v>86407</v>
      </c>
      <c r="BO8" s="1014">
        <f t="shared" si="47"/>
        <v>0</v>
      </c>
      <c r="BP8" s="1014">
        <f t="shared" si="48"/>
        <v>0</v>
      </c>
      <c r="BQ8" s="1014">
        <f t="shared" si="49"/>
        <v>0</v>
      </c>
      <c r="BR8" s="1014">
        <f t="shared" si="50"/>
        <v>0</v>
      </c>
      <c r="BS8" s="1014">
        <f t="shared" si="51"/>
        <v>0</v>
      </c>
      <c r="BT8" s="1025">
        <f t="shared" si="52"/>
        <v>0</v>
      </c>
      <c r="BU8" s="1014">
        <f t="shared" si="53"/>
        <v>0</v>
      </c>
      <c r="BV8" s="1014">
        <f t="shared" si="54"/>
        <v>71000</v>
      </c>
      <c r="BW8" s="1014">
        <f t="shared" si="55"/>
        <v>0</v>
      </c>
      <c r="BX8" s="1014">
        <f t="shared" si="56"/>
        <v>0</v>
      </c>
      <c r="BY8" s="1014">
        <f t="shared" si="57"/>
        <v>0</v>
      </c>
      <c r="BZ8" s="1014">
        <f t="shared" si="58"/>
        <v>0</v>
      </c>
      <c r="CA8" s="1014">
        <f t="shared" si="59"/>
        <v>0</v>
      </c>
      <c r="CB8" s="1014">
        <f t="shared" si="60"/>
        <v>0</v>
      </c>
      <c r="CC8" s="1014">
        <f t="shared" si="61"/>
        <v>0</v>
      </c>
      <c r="CD8" s="1015">
        <f t="shared" si="62"/>
        <v>0</v>
      </c>
      <c r="CE8" s="1014">
        <f t="shared" si="63"/>
        <v>0</v>
      </c>
      <c r="CF8" s="1025">
        <f t="shared" si="64"/>
        <v>71000</v>
      </c>
      <c r="CG8" s="1014">
        <f t="shared" si="65"/>
        <v>0</v>
      </c>
      <c r="CH8" s="1014">
        <f t="shared" si="66"/>
        <v>0</v>
      </c>
      <c r="CI8" s="1014">
        <f t="shared" si="67"/>
        <v>0</v>
      </c>
      <c r="CJ8" s="1014">
        <f t="shared" si="68"/>
        <v>0</v>
      </c>
      <c r="CK8" s="1014">
        <f t="shared" si="69"/>
        <v>0</v>
      </c>
      <c r="CL8" s="1014">
        <f t="shared" si="70"/>
        <v>0</v>
      </c>
      <c r="CM8" s="1014">
        <f t="shared" si="71"/>
        <v>0</v>
      </c>
      <c r="CN8" s="1015">
        <f t="shared" si="72"/>
        <v>0</v>
      </c>
      <c r="CO8" s="1014">
        <f t="shared" si="73"/>
        <v>0</v>
      </c>
      <c r="CP8" s="1025">
        <f t="shared" si="74"/>
        <v>0</v>
      </c>
      <c r="CQ8" s="1014">
        <f t="shared" si="75"/>
        <v>0</v>
      </c>
      <c r="CR8" s="1014">
        <f t="shared" si="76"/>
        <v>0</v>
      </c>
      <c r="CS8" s="1014">
        <f t="shared" si="77"/>
        <v>0</v>
      </c>
      <c r="CT8" s="1014">
        <f t="shared" si="78"/>
        <v>0</v>
      </c>
      <c r="CU8" s="1015">
        <f t="shared" si="79"/>
        <v>0</v>
      </c>
      <c r="CV8" s="1030">
        <f t="shared" si="80"/>
        <v>0</v>
      </c>
      <c r="CW8" s="1014">
        <f t="shared" si="81"/>
        <v>0</v>
      </c>
      <c r="CX8" s="1014">
        <f t="shared" si="82"/>
        <v>0</v>
      </c>
      <c r="CY8" s="1014">
        <f t="shared" si="83"/>
        <v>0</v>
      </c>
      <c r="CZ8" s="1014">
        <f t="shared" si="84"/>
        <v>0</v>
      </c>
      <c r="DA8" s="1014">
        <f t="shared" si="85"/>
        <v>0</v>
      </c>
      <c r="DB8" s="1014">
        <f t="shared" si="86"/>
        <v>0</v>
      </c>
      <c r="DC8" s="1014">
        <f t="shared" si="87"/>
        <v>0</v>
      </c>
      <c r="DD8" s="1014">
        <f t="shared" si="88"/>
        <v>0</v>
      </c>
      <c r="DE8" s="1015">
        <f t="shared" si="89"/>
        <v>0</v>
      </c>
      <c r="DF8" s="1014">
        <f t="shared" si="90"/>
        <v>0</v>
      </c>
      <c r="DG8" s="1014">
        <f t="shared" si="91"/>
        <v>0</v>
      </c>
      <c r="DH8" s="1012">
        <f t="shared" ref="DH8" si="162">SUM(CW8:DG8)</f>
        <v>0</v>
      </c>
      <c r="DI8" s="1014">
        <f t="shared" si="93"/>
        <v>0</v>
      </c>
      <c r="DJ8" s="1014">
        <f t="shared" si="94"/>
        <v>0</v>
      </c>
      <c r="DK8" s="1014">
        <f t="shared" si="95"/>
        <v>0</v>
      </c>
      <c r="DL8" s="1014">
        <f t="shared" si="96"/>
        <v>0</v>
      </c>
      <c r="DM8" s="1014">
        <f t="shared" si="97"/>
        <v>0</v>
      </c>
      <c r="DN8" s="1014">
        <f t="shared" si="98"/>
        <v>0</v>
      </c>
      <c r="DO8" s="1014">
        <f t="shared" si="99"/>
        <v>0</v>
      </c>
      <c r="DP8" s="1014">
        <f t="shared" si="100"/>
        <v>0</v>
      </c>
      <c r="DQ8" s="1020">
        <f t="shared" si="101"/>
        <v>0</v>
      </c>
      <c r="DR8" s="1014">
        <f t="shared" si="102"/>
        <v>0</v>
      </c>
      <c r="DS8" s="1014">
        <f t="shared" si="103"/>
        <v>0</v>
      </c>
      <c r="DT8" s="1025">
        <f t="shared" ref="DT8" si="163">SUM(DI8:DS8)</f>
        <v>0</v>
      </c>
    </row>
    <row r="9" spans="1:140" x14ac:dyDescent="0.2">
      <c r="A9" s="908" t="s">
        <v>397</v>
      </c>
      <c r="B9" s="908">
        <v>2013</v>
      </c>
      <c r="C9" s="910">
        <f t="shared" ref="C9" si="164">SUMPRODUCT((OP_FRAFU=A9)*(Bdgt_FRAFU))</f>
        <v>0</v>
      </c>
      <c r="D9" s="910">
        <f t="shared" ref="D9" si="165">SUMPRODUCT((OP_Rehab=A9)*(Bdgt_Rehab))</f>
        <v>0</v>
      </c>
      <c r="E9" s="910">
        <f t="shared" ref="E9" si="166">SUMPRODUCT((OP_LBU=A9)*(Bdgt_LBU))</f>
        <v>400000</v>
      </c>
      <c r="F9" s="910">
        <f t="shared" si="3"/>
        <v>0</v>
      </c>
      <c r="G9" s="910">
        <f t="shared" ref="G9" si="167">SUMPRODUCT((OP_CAF=A9)*(Bdgt_CAF))</f>
        <v>0</v>
      </c>
      <c r="H9" s="910">
        <f t="shared" ref="H9" si="168">SUMPRODUCT((OP_Region=A9)*(Bdgt_Region))</f>
        <v>0</v>
      </c>
      <c r="I9" s="910">
        <f t="shared" ref="I9" si="169">SUMPRODUCT((OP_Rectorat=A9)*(Bdgt_Rectorat))</f>
        <v>0</v>
      </c>
      <c r="J9" s="910">
        <f t="shared" si="7"/>
        <v>0</v>
      </c>
      <c r="K9" s="910">
        <f t="shared" si="8"/>
        <v>0</v>
      </c>
      <c r="L9" s="910">
        <f t="shared" si="9"/>
        <v>0</v>
      </c>
      <c r="M9" s="910">
        <f>SUMPRODUCT((OP_ADEME=A9)*(Bdgt_ADEME))</f>
        <v>0</v>
      </c>
      <c r="N9" s="910">
        <f>SUMPRODUCT((OP_P_Ile=A9)*(Bdgt_P_Ile))</f>
        <v>0</v>
      </c>
      <c r="O9" s="910">
        <f>SUMPRODUCT((OP_EDF=A9)*(Bdgt_EDF))</f>
        <v>0</v>
      </c>
      <c r="P9" s="910">
        <f t="shared" si="13"/>
        <v>0</v>
      </c>
      <c r="Q9" s="910">
        <f>SUMPRODUCT((OP_ETG_SALE=A9)*(Bdgt_ETG_SALE))</f>
        <v>0</v>
      </c>
      <c r="R9" s="910">
        <f>SUMPRODUCT((OP_ST_JO=A9)*(Bdgt_ST_JO))</f>
        <v>0</v>
      </c>
      <c r="S9" s="910">
        <f>SUM(C9:R9)</f>
        <v>400000</v>
      </c>
      <c r="T9" s="1037">
        <f t="shared" si="17"/>
        <v>0</v>
      </c>
      <c r="U9" s="1034">
        <f t="shared" si="117"/>
        <v>0</v>
      </c>
      <c r="V9" s="1034">
        <f t="shared" si="118"/>
        <v>0</v>
      </c>
      <c r="W9" s="1034">
        <f t="shared" si="119"/>
        <v>0</v>
      </c>
      <c r="X9" s="1034">
        <f t="shared" si="120"/>
        <v>0</v>
      </c>
      <c r="Y9" s="1034">
        <f t="shared" si="121"/>
        <v>0</v>
      </c>
      <c r="Z9" s="1034">
        <f t="shared" si="122"/>
        <v>120000</v>
      </c>
      <c r="AA9" s="1034">
        <f t="shared" si="123"/>
        <v>320000</v>
      </c>
      <c r="AB9" s="1034">
        <f t="shared" si="124"/>
        <v>320000</v>
      </c>
      <c r="AC9" s="1034">
        <f t="shared" si="125"/>
        <v>400000</v>
      </c>
      <c r="AD9" s="1034">
        <f t="shared" si="126"/>
        <v>400000</v>
      </c>
      <c r="AE9" s="1034">
        <f t="shared" si="127"/>
        <v>400000</v>
      </c>
      <c r="AF9" s="1034">
        <f t="shared" si="128"/>
        <v>400000</v>
      </c>
      <c r="AG9" s="1034">
        <f t="shared" si="129"/>
        <v>400000</v>
      </c>
      <c r="AH9" s="1041">
        <f t="shared" si="130"/>
        <v>1</v>
      </c>
      <c r="AI9" s="1014">
        <f t="shared" si="18"/>
        <v>0</v>
      </c>
      <c r="AJ9" s="1025">
        <f t="shared" si="131"/>
        <v>0</v>
      </c>
      <c r="AK9" s="1014">
        <f t="shared" si="19"/>
        <v>0</v>
      </c>
      <c r="AL9" s="1025">
        <f t="shared" si="132"/>
        <v>0</v>
      </c>
      <c r="AM9" s="1014">
        <f t="shared" si="20"/>
        <v>0</v>
      </c>
      <c r="AN9" s="1025">
        <f t="shared" si="133"/>
        <v>0</v>
      </c>
      <c r="AO9" s="1014">
        <f t="shared" si="21"/>
        <v>0</v>
      </c>
      <c r="AP9" s="1014">
        <f t="shared" si="22"/>
        <v>0</v>
      </c>
      <c r="AQ9" s="1014">
        <f t="shared" si="23"/>
        <v>0</v>
      </c>
      <c r="AR9" s="1015">
        <f t="shared" si="24"/>
        <v>0</v>
      </c>
      <c r="AS9" s="1025">
        <f t="shared" si="25"/>
        <v>0</v>
      </c>
      <c r="AT9" s="1014">
        <f t="shared" si="26"/>
        <v>0</v>
      </c>
      <c r="AU9" s="1014">
        <f t="shared" si="27"/>
        <v>0</v>
      </c>
      <c r="AV9" s="1014">
        <f t="shared" si="28"/>
        <v>0</v>
      </c>
      <c r="AW9" s="1014">
        <f t="shared" si="29"/>
        <v>0</v>
      </c>
      <c r="AX9" s="1014">
        <f t="shared" si="30"/>
        <v>0</v>
      </c>
      <c r="AY9" s="1014">
        <f t="shared" si="31"/>
        <v>0</v>
      </c>
      <c r="AZ9" s="1025">
        <f t="shared" si="32"/>
        <v>0</v>
      </c>
      <c r="BA9" s="1014">
        <f t="shared" si="33"/>
        <v>0</v>
      </c>
      <c r="BB9" s="1014">
        <f t="shared" si="34"/>
        <v>120000</v>
      </c>
      <c r="BC9" s="1014">
        <f t="shared" si="35"/>
        <v>0</v>
      </c>
      <c r="BD9" s="1014">
        <f t="shared" si="36"/>
        <v>0</v>
      </c>
      <c r="BE9" s="1014">
        <f t="shared" si="37"/>
        <v>0</v>
      </c>
      <c r="BF9" s="1014">
        <f t="shared" si="38"/>
        <v>0</v>
      </c>
      <c r="BG9" s="1025">
        <f t="shared" si="39"/>
        <v>120000</v>
      </c>
      <c r="BH9" s="1014">
        <f t="shared" si="40"/>
        <v>0</v>
      </c>
      <c r="BI9" s="1014">
        <f t="shared" si="41"/>
        <v>200000</v>
      </c>
      <c r="BJ9" s="1014">
        <f t="shared" si="42"/>
        <v>0</v>
      </c>
      <c r="BK9" s="1014">
        <f t="shared" si="43"/>
        <v>0</v>
      </c>
      <c r="BL9" s="1014">
        <f t="shared" si="44"/>
        <v>0</v>
      </c>
      <c r="BM9" s="1014">
        <f t="shared" si="45"/>
        <v>0</v>
      </c>
      <c r="BN9" s="1025">
        <f t="shared" si="46"/>
        <v>200000</v>
      </c>
      <c r="BO9" s="1014">
        <f t="shared" si="47"/>
        <v>0</v>
      </c>
      <c r="BP9" s="1014">
        <f t="shared" si="48"/>
        <v>0</v>
      </c>
      <c r="BQ9" s="1014">
        <f t="shared" si="49"/>
        <v>0</v>
      </c>
      <c r="BR9" s="1014">
        <f t="shared" si="50"/>
        <v>0</v>
      </c>
      <c r="BS9" s="1014">
        <f t="shared" si="51"/>
        <v>0</v>
      </c>
      <c r="BT9" s="1025">
        <f t="shared" si="52"/>
        <v>0</v>
      </c>
      <c r="BU9" s="1014">
        <f t="shared" si="53"/>
        <v>0</v>
      </c>
      <c r="BV9" s="1014">
        <f t="shared" si="54"/>
        <v>80000</v>
      </c>
      <c r="BW9" s="1014">
        <f t="shared" si="55"/>
        <v>0</v>
      </c>
      <c r="BX9" s="1014">
        <f t="shared" si="56"/>
        <v>0</v>
      </c>
      <c r="BY9" s="1014">
        <f t="shared" si="57"/>
        <v>0</v>
      </c>
      <c r="BZ9" s="1014">
        <f t="shared" si="58"/>
        <v>0</v>
      </c>
      <c r="CA9" s="1014">
        <f t="shared" si="59"/>
        <v>0</v>
      </c>
      <c r="CB9" s="1014">
        <f t="shared" si="60"/>
        <v>0</v>
      </c>
      <c r="CC9" s="1014">
        <f t="shared" si="61"/>
        <v>0</v>
      </c>
      <c r="CD9" s="1015">
        <f t="shared" si="62"/>
        <v>0</v>
      </c>
      <c r="CE9" s="1014">
        <f t="shared" si="63"/>
        <v>0</v>
      </c>
      <c r="CF9" s="1025">
        <f t="shared" si="64"/>
        <v>80000</v>
      </c>
      <c r="CG9" s="1014">
        <f t="shared" si="65"/>
        <v>0</v>
      </c>
      <c r="CH9" s="1014">
        <f t="shared" si="66"/>
        <v>0</v>
      </c>
      <c r="CI9" s="1014">
        <f t="shared" si="67"/>
        <v>0</v>
      </c>
      <c r="CJ9" s="1014">
        <f t="shared" si="68"/>
        <v>0</v>
      </c>
      <c r="CK9" s="1014">
        <f t="shared" si="69"/>
        <v>0</v>
      </c>
      <c r="CL9" s="1014">
        <f t="shared" si="70"/>
        <v>0</v>
      </c>
      <c r="CM9" s="1014">
        <f t="shared" si="71"/>
        <v>0</v>
      </c>
      <c r="CN9" s="1015">
        <f t="shared" si="72"/>
        <v>0</v>
      </c>
      <c r="CO9" s="1014">
        <f t="shared" si="73"/>
        <v>0</v>
      </c>
      <c r="CP9" s="1025">
        <f t="shared" si="74"/>
        <v>0</v>
      </c>
      <c r="CQ9" s="1014">
        <f t="shared" si="75"/>
        <v>0</v>
      </c>
      <c r="CR9" s="1014">
        <f t="shared" si="76"/>
        <v>0</v>
      </c>
      <c r="CS9" s="1014">
        <f t="shared" si="77"/>
        <v>0</v>
      </c>
      <c r="CT9" s="1014">
        <f t="shared" si="78"/>
        <v>0</v>
      </c>
      <c r="CU9" s="1015">
        <f t="shared" si="79"/>
        <v>0</v>
      </c>
      <c r="CV9" s="1030">
        <f t="shared" si="80"/>
        <v>0</v>
      </c>
      <c r="CW9" s="1014">
        <f t="shared" si="81"/>
        <v>0</v>
      </c>
      <c r="CX9" s="1014">
        <f t="shared" si="82"/>
        <v>0</v>
      </c>
      <c r="CY9" s="1014">
        <f t="shared" si="83"/>
        <v>0</v>
      </c>
      <c r="CZ9" s="1014">
        <f t="shared" si="84"/>
        <v>0</v>
      </c>
      <c r="DA9" s="1014">
        <f t="shared" si="85"/>
        <v>0</v>
      </c>
      <c r="DB9" s="1014">
        <f t="shared" si="86"/>
        <v>0</v>
      </c>
      <c r="DC9" s="1014">
        <f t="shared" si="87"/>
        <v>0</v>
      </c>
      <c r="DD9" s="1014">
        <f t="shared" si="88"/>
        <v>0</v>
      </c>
      <c r="DE9" s="1015">
        <f t="shared" si="89"/>
        <v>0</v>
      </c>
      <c r="DF9" s="1014">
        <f t="shared" si="90"/>
        <v>0</v>
      </c>
      <c r="DG9" s="1014">
        <f t="shared" si="91"/>
        <v>0</v>
      </c>
      <c r="DH9" s="1012">
        <f t="shared" ref="DH9" si="170">SUM(CW9:DG9)</f>
        <v>0</v>
      </c>
      <c r="DI9" s="1014">
        <f t="shared" si="93"/>
        <v>0</v>
      </c>
      <c r="DJ9" s="1014">
        <f t="shared" si="94"/>
        <v>0</v>
      </c>
      <c r="DK9" s="1014">
        <f t="shared" si="95"/>
        <v>0</v>
      </c>
      <c r="DL9" s="1014">
        <f t="shared" si="96"/>
        <v>0</v>
      </c>
      <c r="DM9" s="1014">
        <f t="shared" si="97"/>
        <v>0</v>
      </c>
      <c r="DN9" s="1014">
        <f t="shared" si="98"/>
        <v>0</v>
      </c>
      <c r="DO9" s="1014">
        <f t="shared" si="99"/>
        <v>0</v>
      </c>
      <c r="DP9" s="1014">
        <f t="shared" si="100"/>
        <v>0</v>
      </c>
      <c r="DQ9" s="1020">
        <f t="shared" si="101"/>
        <v>0</v>
      </c>
      <c r="DR9" s="1014">
        <f t="shared" si="102"/>
        <v>0</v>
      </c>
      <c r="DS9" s="1014">
        <f t="shared" si="103"/>
        <v>0</v>
      </c>
      <c r="DT9" s="1025">
        <f t="shared" ref="DT9" si="171">SUM(DI9:DS9)</f>
        <v>0</v>
      </c>
    </row>
    <row r="10" spans="1:140" x14ac:dyDescent="0.2">
      <c r="A10" s="908" t="s">
        <v>56</v>
      </c>
      <c r="B10" s="908">
        <v>2013</v>
      </c>
      <c r="C10" s="910">
        <f t="shared" ref="C10:C11" si="172">SUMPRODUCT((OP_FRAFU=A10)*(Bdgt_FRAFU))</f>
        <v>0</v>
      </c>
      <c r="D10" s="910">
        <f t="shared" ref="D10:D11" si="173">SUMPRODUCT((OP_Rehab=A10)*(Bdgt_Rehab))</f>
        <v>0</v>
      </c>
      <c r="E10" s="910">
        <f t="shared" ref="E10:E11" si="174">SUMPRODUCT((OP_LBU=A10)*(Bdgt_LBU))</f>
        <v>239587</v>
      </c>
      <c r="F10" s="910">
        <f t="shared" si="3"/>
        <v>0</v>
      </c>
      <c r="G10" s="910">
        <f t="shared" ref="G10:G11" si="175">SUMPRODUCT((OP_CAF=A10)*(Bdgt_CAF))</f>
        <v>0</v>
      </c>
      <c r="H10" s="910">
        <f t="shared" ref="H10:H11" si="176">SUMPRODUCT((OP_Region=A10)*(Bdgt_Region))</f>
        <v>0</v>
      </c>
      <c r="I10" s="910">
        <f t="shared" ref="I10:I11" si="177">SUMPRODUCT((OP_Rectorat=A10)*(Bdgt_Rectorat))</f>
        <v>0</v>
      </c>
      <c r="J10" s="910">
        <f t="shared" si="7"/>
        <v>0</v>
      </c>
      <c r="K10" s="910">
        <f t="shared" si="8"/>
        <v>0</v>
      </c>
      <c r="L10" s="910">
        <f t="shared" si="9"/>
        <v>0</v>
      </c>
      <c r="M10" s="910">
        <f t="shared" ref="M10:M11" si="178">SUMPRODUCT((OP_ADEME=A10)*(Bdgt_ADEME))</f>
        <v>0</v>
      </c>
      <c r="N10" s="910">
        <f t="shared" ref="N10:N11" si="179">SUMPRODUCT((OP_P_Ile=A10)*(Bdgt_P_Ile))</f>
        <v>0</v>
      </c>
      <c r="O10" s="910">
        <f t="shared" ref="O10:O11" si="180">SUMPRODUCT((OP_EDF=A10)*(Bdgt_EDF))</f>
        <v>0</v>
      </c>
      <c r="P10" s="910">
        <f t="shared" si="13"/>
        <v>0</v>
      </c>
      <c r="Q10" s="910">
        <f t="shared" ref="Q10:Q11" si="181">SUMPRODUCT((OP_ETG_SALE=A10)*(Bdgt_ETG_SALE))</f>
        <v>0</v>
      </c>
      <c r="R10" s="910">
        <f t="shared" ref="R10:R11" si="182">SUMPRODUCT((OP_ST_JO=A10)*(Bdgt_ST_JO))</f>
        <v>0</v>
      </c>
      <c r="S10" s="910">
        <f t="shared" ref="S10:S11" si="183">SUM(C10:R10)</f>
        <v>239587</v>
      </c>
      <c r="T10" s="1037">
        <f t="shared" si="17"/>
        <v>0</v>
      </c>
      <c r="U10" s="1034">
        <f t="shared" si="117"/>
        <v>0</v>
      </c>
      <c r="V10" s="1034">
        <f t="shared" si="118"/>
        <v>0</v>
      </c>
      <c r="W10" s="1034">
        <f t="shared" si="119"/>
        <v>0</v>
      </c>
      <c r="X10" s="1034">
        <f t="shared" si="120"/>
        <v>0</v>
      </c>
      <c r="Y10" s="1034">
        <f t="shared" si="121"/>
        <v>0</v>
      </c>
      <c r="Z10" s="1034">
        <f t="shared" si="122"/>
        <v>71876.100000000006</v>
      </c>
      <c r="AA10" s="1034">
        <f t="shared" si="123"/>
        <v>191669.6</v>
      </c>
      <c r="AB10" s="1034">
        <f t="shared" si="124"/>
        <v>191669.6</v>
      </c>
      <c r="AC10" s="1034">
        <f t="shared" si="125"/>
        <v>239587</v>
      </c>
      <c r="AD10" s="1034">
        <f t="shared" si="126"/>
        <v>239587</v>
      </c>
      <c r="AE10" s="1034">
        <f t="shared" si="127"/>
        <v>239587</v>
      </c>
      <c r="AF10" s="1034">
        <f t="shared" si="128"/>
        <v>239587</v>
      </c>
      <c r="AG10" s="1034">
        <f t="shared" si="129"/>
        <v>239587</v>
      </c>
      <c r="AH10" s="1041">
        <f t="shared" si="130"/>
        <v>1</v>
      </c>
      <c r="AI10" s="1014">
        <f t="shared" si="18"/>
        <v>0</v>
      </c>
      <c r="AJ10" s="1025">
        <f t="shared" si="131"/>
        <v>0</v>
      </c>
      <c r="AK10" s="1014">
        <f t="shared" si="19"/>
        <v>0</v>
      </c>
      <c r="AL10" s="1025">
        <f t="shared" si="132"/>
        <v>0</v>
      </c>
      <c r="AM10" s="1014">
        <f t="shared" si="20"/>
        <v>0</v>
      </c>
      <c r="AN10" s="1025">
        <f t="shared" si="133"/>
        <v>0</v>
      </c>
      <c r="AO10" s="1014">
        <f t="shared" si="21"/>
        <v>0</v>
      </c>
      <c r="AP10" s="1014">
        <f t="shared" si="22"/>
        <v>0</v>
      </c>
      <c r="AQ10" s="1014">
        <f t="shared" si="23"/>
        <v>0</v>
      </c>
      <c r="AR10" s="1015">
        <f t="shared" si="24"/>
        <v>0</v>
      </c>
      <c r="AS10" s="1025">
        <f t="shared" si="25"/>
        <v>0</v>
      </c>
      <c r="AT10" s="1014">
        <f t="shared" si="26"/>
        <v>0</v>
      </c>
      <c r="AU10" s="1014">
        <f t="shared" si="27"/>
        <v>0</v>
      </c>
      <c r="AV10" s="1014">
        <f t="shared" si="28"/>
        <v>0</v>
      </c>
      <c r="AW10" s="1014">
        <f t="shared" si="29"/>
        <v>0</v>
      </c>
      <c r="AX10" s="1014">
        <f t="shared" si="30"/>
        <v>0</v>
      </c>
      <c r="AY10" s="1014">
        <f t="shared" si="31"/>
        <v>0</v>
      </c>
      <c r="AZ10" s="1025">
        <f t="shared" si="32"/>
        <v>0</v>
      </c>
      <c r="BA10" s="1014">
        <f t="shared" si="33"/>
        <v>0</v>
      </c>
      <c r="BB10" s="1014">
        <f t="shared" si="34"/>
        <v>71876.100000000006</v>
      </c>
      <c r="BC10" s="1014">
        <f t="shared" si="35"/>
        <v>0</v>
      </c>
      <c r="BD10" s="1014">
        <f t="shared" si="36"/>
        <v>0</v>
      </c>
      <c r="BE10" s="1014">
        <f t="shared" si="37"/>
        <v>0</v>
      </c>
      <c r="BF10" s="1014">
        <f t="shared" si="38"/>
        <v>0</v>
      </c>
      <c r="BG10" s="1025">
        <f t="shared" si="39"/>
        <v>71876.100000000006</v>
      </c>
      <c r="BH10" s="1014">
        <f t="shared" si="40"/>
        <v>0</v>
      </c>
      <c r="BI10" s="1014">
        <f t="shared" si="41"/>
        <v>119793.5</v>
      </c>
      <c r="BJ10" s="1014">
        <f t="shared" si="42"/>
        <v>0</v>
      </c>
      <c r="BK10" s="1014">
        <f t="shared" si="43"/>
        <v>0</v>
      </c>
      <c r="BL10" s="1014">
        <f t="shared" si="44"/>
        <v>0</v>
      </c>
      <c r="BM10" s="1014">
        <f t="shared" si="45"/>
        <v>0</v>
      </c>
      <c r="BN10" s="1025">
        <f t="shared" si="46"/>
        <v>119793.5</v>
      </c>
      <c r="BO10" s="1014">
        <f t="shared" si="47"/>
        <v>0</v>
      </c>
      <c r="BP10" s="1014">
        <f t="shared" si="48"/>
        <v>0</v>
      </c>
      <c r="BQ10" s="1014">
        <f t="shared" si="49"/>
        <v>0</v>
      </c>
      <c r="BR10" s="1014">
        <f t="shared" si="50"/>
        <v>0</v>
      </c>
      <c r="BS10" s="1014">
        <f t="shared" si="51"/>
        <v>0</v>
      </c>
      <c r="BT10" s="1025">
        <f t="shared" si="52"/>
        <v>0</v>
      </c>
      <c r="BU10" s="1014">
        <f t="shared" si="53"/>
        <v>0</v>
      </c>
      <c r="BV10" s="1014">
        <f t="shared" si="54"/>
        <v>47917.4</v>
      </c>
      <c r="BW10" s="1014">
        <f t="shared" si="55"/>
        <v>0</v>
      </c>
      <c r="BX10" s="1014">
        <f t="shared" si="56"/>
        <v>0</v>
      </c>
      <c r="BY10" s="1014">
        <f t="shared" si="57"/>
        <v>0</v>
      </c>
      <c r="BZ10" s="1014">
        <f t="shared" si="58"/>
        <v>0</v>
      </c>
      <c r="CA10" s="1014">
        <f t="shared" si="59"/>
        <v>0</v>
      </c>
      <c r="CB10" s="1014">
        <f t="shared" si="60"/>
        <v>0</v>
      </c>
      <c r="CC10" s="1014">
        <f t="shared" si="61"/>
        <v>0</v>
      </c>
      <c r="CD10" s="1015">
        <f t="shared" si="62"/>
        <v>0</v>
      </c>
      <c r="CE10" s="1014">
        <f t="shared" si="63"/>
        <v>0</v>
      </c>
      <c r="CF10" s="1025">
        <f t="shared" si="64"/>
        <v>47917.4</v>
      </c>
      <c r="CG10" s="1014">
        <f t="shared" si="65"/>
        <v>0</v>
      </c>
      <c r="CH10" s="1014">
        <f t="shared" si="66"/>
        <v>0</v>
      </c>
      <c r="CI10" s="1014">
        <f t="shared" si="67"/>
        <v>0</v>
      </c>
      <c r="CJ10" s="1014">
        <f t="shared" si="68"/>
        <v>0</v>
      </c>
      <c r="CK10" s="1014">
        <f t="shared" si="69"/>
        <v>0</v>
      </c>
      <c r="CL10" s="1014">
        <f t="shared" si="70"/>
        <v>0</v>
      </c>
      <c r="CM10" s="1014">
        <f t="shared" si="71"/>
        <v>0</v>
      </c>
      <c r="CN10" s="1015">
        <f t="shared" si="72"/>
        <v>0</v>
      </c>
      <c r="CO10" s="1014">
        <f t="shared" si="73"/>
        <v>0</v>
      </c>
      <c r="CP10" s="1025">
        <f t="shared" si="74"/>
        <v>0</v>
      </c>
      <c r="CQ10" s="1014">
        <f t="shared" si="75"/>
        <v>0</v>
      </c>
      <c r="CR10" s="1014">
        <f t="shared" si="76"/>
        <v>0</v>
      </c>
      <c r="CS10" s="1014">
        <f t="shared" si="77"/>
        <v>0</v>
      </c>
      <c r="CT10" s="1014">
        <f t="shared" si="78"/>
        <v>0</v>
      </c>
      <c r="CU10" s="1015">
        <f t="shared" si="79"/>
        <v>0</v>
      </c>
      <c r="CV10" s="1030">
        <f t="shared" si="80"/>
        <v>0</v>
      </c>
      <c r="CW10" s="1014">
        <f t="shared" si="81"/>
        <v>0</v>
      </c>
      <c r="CX10" s="1014">
        <f t="shared" si="82"/>
        <v>0</v>
      </c>
      <c r="CY10" s="1014">
        <f t="shared" si="83"/>
        <v>0</v>
      </c>
      <c r="CZ10" s="1014">
        <f t="shared" si="84"/>
        <v>0</v>
      </c>
      <c r="DA10" s="1014">
        <f t="shared" si="85"/>
        <v>0</v>
      </c>
      <c r="DB10" s="1014">
        <f t="shared" si="86"/>
        <v>0</v>
      </c>
      <c r="DC10" s="1014">
        <f t="shared" si="87"/>
        <v>0</v>
      </c>
      <c r="DD10" s="1014">
        <f t="shared" si="88"/>
        <v>0</v>
      </c>
      <c r="DE10" s="1015">
        <f t="shared" si="89"/>
        <v>0</v>
      </c>
      <c r="DF10" s="1014">
        <f t="shared" si="90"/>
        <v>0</v>
      </c>
      <c r="DG10" s="1014">
        <f t="shared" si="91"/>
        <v>0</v>
      </c>
      <c r="DH10" s="1012">
        <f t="shared" ref="DH10:DH11" si="184">SUM(CW10:DG10)</f>
        <v>0</v>
      </c>
      <c r="DI10" s="1014">
        <f t="shared" si="93"/>
        <v>0</v>
      </c>
      <c r="DJ10" s="1014">
        <f t="shared" si="94"/>
        <v>0</v>
      </c>
      <c r="DK10" s="1014">
        <f t="shared" si="95"/>
        <v>0</v>
      </c>
      <c r="DL10" s="1014">
        <f t="shared" si="96"/>
        <v>0</v>
      </c>
      <c r="DM10" s="1014">
        <f t="shared" si="97"/>
        <v>0</v>
      </c>
      <c r="DN10" s="1014">
        <f t="shared" si="98"/>
        <v>0</v>
      </c>
      <c r="DO10" s="1014">
        <f t="shared" si="99"/>
        <v>0</v>
      </c>
      <c r="DP10" s="1014">
        <f t="shared" si="100"/>
        <v>0</v>
      </c>
      <c r="DQ10" s="1020">
        <f t="shared" si="101"/>
        <v>0</v>
      </c>
      <c r="DR10" s="1014">
        <f t="shared" si="102"/>
        <v>0</v>
      </c>
      <c r="DS10" s="1014">
        <f t="shared" si="103"/>
        <v>0</v>
      </c>
      <c r="DT10" s="1025">
        <f t="shared" ref="DT10:DT11" si="185">SUM(DI10:DS10)</f>
        <v>0</v>
      </c>
    </row>
    <row r="11" spans="1:140" x14ac:dyDescent="0.2">
      <c r="A11" s="908" t="s">
        <v>365</v>
      </c>
      <c r="B11" s="908">
        <v>2014</v>
      </c>
      <c r="C11" s="910">
        <f t="shared" si="172"/>
        <v>0</v>
      </c>
      <c r="D11" s="910">
        <f t="shared" si="173"/>
        <v>0</v>
      </c>
      <c r="E11" s="910">
        <f t="shared" si="174"/>
        <v>89905</v>
      </c>
      <c r="F11" s="910">
        <f t="shared" si="3"/>
        <v>0</v>
      </c>
      <c r="G11" s="910">
        <f t="shared" si="175"/>
        <v>70000</v>
      </c>
      <c r="H11" s="910">
        <f t="shared" si="176"/>
        <v>210000</v>
      </c>
      <c r="I11" s="910">
        <f t="shared" si="177"/>
        <v>0</v>
      </c>
      <c r="J11" s="910">
        <f t="shared" si="7"/>
        <v>0</v>
      </c>
      <c r="K11" s="910">
        <f t="shared" si="8"/>
        <v>0</v>
      </c>
      <c r="L11" s="910">
        <f t="shared" si="9"/>
        <v>0</v>
      </c>
      <c r="M11" s="910">
        <f t="shared" si="178"/>
        <v>0</v>
      </c>
      <c r="N11" s="910">
        <f t="shared" si="179"/>
        <v>0</v>
      </c>
      <c r="O11" s="910">
        <f t="shared" si="180"/>
        <v>17204.37</v>
      </c>
      <c r="P11" s="910">
        <f t="shared" si="13"/>
        <v>0</v>
      </c>
      <c r="Q11" s="910">
        <f t="shared" si="181"/>
        <v>0</v>
      </c>
      <c r="R11" s="910">
        <f t="shared" si="182"/>
        <v>0</v>
      </c>
      <c r="S11" s="910">
        <f t="shared" si="183"/>
        <v>387109.37</v>
      </c>
      <c r="T11" s="1037">
        <f t="shared" si="17"/>
        <v>0</v>
      </c>
      <c r="U11" s="1034">
        <f t="shared" si="117"/>
        <v>0</v>
      </c>
      <c r="V11" s="1034">
        <f t="shared" si="118"/>
        <v>0</v>
      </c>
      <c r="W11" s="1034">
        <f t="shared" si="119"/>
        <v>0</v>
      </c>
      <c r="X11" s="1034">
        <f t="shared" si="120"/>
        <v>0</v>
      </c>
      <c r="Y11" s="1034">
        <f t="shared" si="121"/>
        <v>0</v>
      </c>
      <c r="Z11" s="1034">
        <f t="shared" si="122"/>
        <v>0</v>
      </c>
      <c r="AA11" s="1034">
        <f t="shared" si="123"/>
        <v>159971.5</v>
      </c>
      <c r="AB11" s="1034">
        <f t="shared" si="124"/>
        <v>204924</v>
      </c>
      <c r="AC11" s="1034">
        <f t="shared" si="125"/>
        <v>246924</v>
      </c>
      <c r="AD11" s="1034">
        <f t="shared" si="126"/>
        <v>351924</v>
      </c>
      <c r="AE11" s="1034">
        <f t="shared" si="127"/>
        <v>369905</v>
      </c>
      <c r="AF11" s="1034">
        <f t="shared" si="128"/>
        <v>369905</v>
      </c>
      <c r="AG11" s="1034">
        <f t="shared" si="129"/>
        <v>387109.37</v>
      </c>
      <c r="AH11" s="1041">
        <f t="shared" si="130"/>
        <v>1</v>
      </c>
      <c r="AI11" s="1014">
        <f t="shared" si="18"/>
        <v>0</v>
      </c>
      <c r="AJ11" s="1025">
        <f t="shared" si="131"/>
        <v>0</v>
      </c>
      <c r="AK11" s="1014">
        <f t="shared" si="19"/>
        <v>0</v>
      </c>
      <c r="AL11" s="1025">
        <f t="shared" si="132"/>
        <v>0</v>
      </c>
      <c r="AM11" s="1014">
        <f t="shared" si="20"/>
        <v>0</v>
      </c>
      <c r="AN11" s="1025">
        <f t="shared" si="133"/>
        <v>0</v>
      </c>
      <c r="AO11" s="1014">
        <f t="shared" si="21"/>
        <v>0</v>
      </c>
      <c r="AP11" s="1014">
        <f t="shared" si="22"/>
        <v>0</v>
      </c>
      <c r="AQ11" s="1014">
        <f t="shared" si="23"/>
        <v>0</v>
      </c>
      <c r="AR11" s="1015">
        <f t="shared" si="24"/>
        <v>0</v>
      </c>
      <c r="AS11" s="1025">
        <f t="shared" si="25"/>
        <v>0</v>
      </c>
      <c r="AT11" s="1014">
        <f t="shared" si="26"/>
        <v>0</v>
      </c>
      <c r="AU11" s="1014">
        <f t="shared" si="27"/>
        <v>0</v>
      </c>
      <c r="AV11" s="1014">
        <f t="shared" si="28"/>
        <v>0</v>
      </c>
      <c r="AW11" s="1014">
        <f t="shared" si="29"/>
        <v>0</v>
      </c>
      <c r="AX11" s="1014">
        <f t="shared" si="30"/>
        <v>0</v>
      </c>
      <c r="AY11" s="1014">
        <f t="shared" si="31"/>
        <v>0</v>
      </c>
      <c r="AZ11" s="1025">
        <f t="shared" si="32"/>
        <v>0</v>
      </c>
      <c r="BA11" s="1014">
        <f t="shared" si="33"/>
        <v>0</v>
      </c>
      <c r="BB11" s="1014">
        <f t="shared" si="34"/>
        <v>0</v>
      </c>
      <c r="BC11" s="1014">
        <f t="shared" si="35"/>
        <v>0</v>
      </c>
      <c r="BD11" s="1014">
        <f t="shared" si="36"/>
        <v>0</v>
      </c>
      <c r="BE11" s="1014">
        <f t="shared" si="37"/>
        <v>0</v>
      </c>
      <c r="BF11" s="1014">
        <f t="shared" si="38"/>
        <v>0</v>
      </c>
      <c r="BG11" s="1025">
        <f t="shared" si="39"/>
        <v>0</v>
      </c>
      <c r="BH11" s="1014">
        <f t="shared" si="40"/>
        <v>0</v>
      </c>
      <c r="BI11" s="1014">
        <f t="shared" si="41"/>
        <v>26971.5</v>
      </c>
      <c r="BJ11" s="1014">
        <f t="shared" si="42"/>
        <v>0</v>
      </c>
      <c r="BK11" s="1014">
        <f t="shared" si="43"/>
        <v>28000</v>
      </c>
      <c r="BL11" s="1014">
        <f t="shared" si="44"/>
        <v>105000</v>
      </c>
      <c r="BM11" s="1014">
        <f t="shared" si="45"/>
        <v>0</v>
      </c>
      <c r="BN11" s="1025">
        <f t="shared" si="46"/>
        <v>159971.5</v>
      </c>
      <c r="BO11" s="1014">
        <f t="shared" si="47"/>
        <v>0</v>
      </c>
      <c r="BP11" s="1014">
        <f t="shared" si="48"/>
        <v>44952.5</v>
      </c>
      <c r="BQ11" s="1014">
        <f t="shared" si="49"/>
        <v>0</v>
      </c>
      <c r="BR11" s="1014">
        <f t="shared" si="50"/>
        <v>0</v>
      </c>
      <c r="BS11" s="1014">
        <f t="shared" si="51"/>
        <v>0</v>
      </c>
      <c r="BT11" s="1025">
        <f t="shared" si="52"/>
        <v>44952.5</v>
      </c>
      <c r="BU11" s="1014">
        <f t="shared" si="53"/>
        <v>0</v>
      </c>
      <c r="BV11" s="1014">
        <f t="shared" si="54"/>
        <v>0</v>
      </c>
      <c r="BW11" s="1014">
        <f t="shared" si="55"/>
        <v>0</v>
      </c>
      <c r="BX11" s="1014">
        <f t="shared" si="56"/>
        <v>42000</v>
      </c>
      <c r="BY11" s="1014">
        <f t="shared" si="57"/>
        <v>0</v>
      </c>
      <c r="BZ11" s="1014">
        <f t="shared" si="58"/>
        <v>0</v>
      </c>
      <c r="CA11" s="1014">
        <f t="shared" si="59"/>
        <v>0</v>
      </c>
      <c r="CB11" s="1014">
        <f t="shared" si="60"/>
        <v>0</v>
      </c>
      <c r="CC11" s="1014">
        <f t="shared" si="61"/>
        <v>0</v>
      </c>
      <c r="CD11" s="1015">
        <f t="shared" si="62"/>
        <v>0</v>
      </c>
      <c r="CE11" s="1014">
        <f t="shared" si="63"/>
        <v>0</v>
      </c>
      <c r="CF11" s="1025">
        <f t="shared" si="64"/>
        <v>42000</v>
      </c>
      <c r="CG11" s="1014">
        <f t="shared" si="65"/>
        <v>0</v>
      </c>
      <c r="CH11" s="1014">
        <f t="shared" si="66"/>
        <v>0</v>
      </c>
      <c r="CI11" s="1014">
        <f t="shared" si="67"/>
        <v>0</v>
      </c>
      <c r="CJ11" s="1014">
        <f t="shared" si="68"/>
        <v>0</v>
      </c>
      <c r="CK11" s="1014">
        <f t="shared" si="69"/>
        <v>105000</v>
      </c>
      <c r="CL11" s="1014">
        <f t="shared" si="70"/>
        <v>0</v>
      </c>
      <c r="CM11" s="1014">
        <f t="shared" si="71"/>
        <v>0</v>
      </c>
      <c r="CN11" s="1015">
        <f t="shared" si="72"/>
        <v>0</v>
      </c>
      <c r="CO11" s="1014">
        <f t="shared" si="73"/>
        <v>0</v>
      </c>
      <c r="CP11" s="1025">
        <f t="shared" si="74"/>
        <v>105000</v>
      </c>
      <c r="CQ11" s="1014">
        <f t="shared" si="75"/>
        <v>0</v>
      </c>
      <c r="CR11" s="1014">
        <f t="shared" si="76"/>
        <v>17981</v>
      </c>
      <c r="CS11" s="1014">
        <f t="shared" si="77"/>
        <v>0</v>
      </c>
      <c r="CT11" s="1014">
        <f t="shared" si="78"/>
        <v>0</v>
      </c>
      <c r="CU11" s="1015">
        <f t="shared" si="79"/>
        <v>0</v>
      </c>
      <c r="CV11" s="1030">
        <f t="shared" si="80"/>
        <v>17981</v>
      </c>
      <c r="CW11" s="1014">
        <f t="shared" si="81"/>
        <v>0</v>
      </c>
      <c r="CX11" s="1014">
        <f t="shared" si="82"/>
        <v>0</v>
      </c>
      <c r="CY11" s="1014">
        <f t="shared" si="83"/>
        <v>0</v>
      </c>
      <c r="CZ11" s="1014">
        <f t="shared" si="84"/>
        <v>0</v>
      </c>
      <c r="DA11" s="1014">
        <f t="shared" si="85"/>
        <v>0</v>
      </c>
      <c r="DB11" s="1014">
        <f t="shared" si="86"/>
        <v>0</v>
      </c>
      <c r="DC11" s="1014">
        <f t="shared" si="87"/>
        <v>0</v>
      </c>
      <c r="DD11" s="1014">
        <f t="shared" si="88"/>
        <v>0</v>
      </c>
      <c r="DE11" s="1015">
        <f t="shared" si="89"/>
        <v>0</v>
      </c>
      <c r="DF11" s="1014">
        <f t="shared" si="90"/>
        <v>0</v>
      </c>
      <c r="DG11" s="1014">
        <f t="shared" si="91"/>
        <v>0</v>
      </c>
      <c r="DH11" s="1012">
        <f t="shared" si="184"/>
        <v>0</v>
      </c>
      <c r="DI11" s="1014">
        <f t="shared" si="93"/>
        <v>0</v>
      </c>
      <c r="DJ11" s="1014">
        <f t="shared" si="94"/>
        <v>0</v>
      </c>
      <c r="DK11" s="1014">
        <f t="shared" si="95"/>
        <v>0</v>
      </c>
      <c r="DL11" s="1014">
        <f t="shared" si="96"/>
        <v>0</v>
      </c>
      <c r="DM11" s="1014">
        <f t="shared" si="97"/>
        <v>0</v>
      </c>
      <c r="DN11" s="1014">
        <f t="shared" si="98"/>
        <v>0</v>
      </c>
      <c r="DO11" s="1014">
        <f t="shared" si="99"/>
        <v>0</v>
      </c>
      <c r="DP11" s="1014">
        <f t="shared" si="100"/>
        <v>0</v>
      </c>
      <c r="DQ11" s="1020">
        <f t="shared" si="101"/>
        <v>17204.37</v>
      </c>
      <c r="DR11" s="1014">
        <f t="shared" si="102"/>
        <v>0</v>
      </c>
      <c r="DS11" s="1014">
        <f t="shared" si="103"/>
        <v>0</v>
      </c>
      <c r="DT11" s="1025">
        <f t="shared" si="185"/>
        <v>17204.37</v>
      </c>
    </row>
    <row r="12" spans="1:140" x14ac:dyDescent="0.2">
      <c r="A12" s="908" t="s">
        <v>39</v>
      </c>
      <c r="B12" s="908">
        <v>2013</v>
      </c>
      <c r="C12" s="910">
        <f t="shared" ref="C12" si="186">SUMPRODUCT((OP_FRAFU=A12)*(Bdgt_FRAFU))</f>
        <v>660000</v>
      </c>
      <c r="D12" s="910">
        <f t="shared" ref="D12" si="187">SUMPRODUCT((OP_Rehab=A12)*(Bdgt_Rehab))</f>
        <v>0</v>
      </c>
      <c r="E12" s="910">
        <f t="shared" ref="E12" si="188">SUMPRODUCT((OP_LBU=A12)*(Bdgt_LBU))</f>
        <v>1173028</v>
      </c>
      <c r="F12" s="910">
        <f t="shared" si="3"/>
        <v>0</v>
      </c>
      <c r="G12" s="910">
        <f t="shared" ref="G12" si="189">SUMPRODUCT((OP_CAF=A12)*(Bdgt_CAF))</f>
        <v>0</v>
      </c>
      <c r="H12" s="910">
        <f t="shared" ref="H12" si="190">SUMPRODUCT((OP_Region=A12)*(Bdgt_Region))</f>
        <v>0</v>
      </c>
      <c r="I12" s="910">
        <f t="shared" ref="I12" si="191">SUMPRODUCT((OP_Rectorat=A12)*(Bdgt_Rectorat))</f>
        <v>0</v>
      </c>
      <c r="J12" s="910">
        <f t="shared" si="7"/>
        <v>0</v>
      </c>
      <c r="K12" s="910">
        <f t="shared" si="8"/>
        <v>0</v>
      </c>
      <c r="L12" s="910">
        <f t="shared" si="9"/>
        <v>0</v>
      </c>
      <c r="M12" s="910">
        <f t="shared" ref="M12" si="192">SUMPRODUCT((OP_ADEME=A12)*(Bdgt_ADEME))</f>
        <v>0</v>
      </c>
      <c r="N12" s="910">
        <f t="shared" ref="N12" si="193">SUMPRODUCT((OP_P_Ile=A12)*(Bdgt_P_Ile))</f>
        <v>706939.04545808176</v>
      </c>
      <c r="O12" s="910">
        <f t="shared" ref="O12" si="194">SUMPRODUCT((OP_EDF=A12)*(Bdgt_EDF))</f>
        <v>0</v>
      </c>
      <c r="P12" s="910">
        <f t="shared" si="13"/>
        <v>0</v>
      </c>
      <c r="Q12" s="910">
        <f t="shared" ref="Q12" si="195">SUMPRODUCT((OP_ETG_SALE=A12)*(Bdgt_ETG_SALE))</f>
        <v>0</v>
      </c>
      <c r="R12" s="910">
        <f t="shared" ref="R12" si="196">SUMPRODUCT((OP_ST_JO=A12)*(Bdgt_ST_JO))</f>
        <v>0</v>
      </c>
      <c r="S12" s="910">
        <f t="shared" ref="S12" si="197">SUM(C12:R12)</f>
        <v>2539967.0454580816</v>
      </c>
      <c r="T12" s="1037">
        <f t="shared" si="17"/>
        <v>9690.385458081495</v>
      </c>
      <c r="U12" s="1034">
        <f t="shared" si="117"/>
        <v>0</v>
      </c>
      <c r="V12" s="1034">
        <f t="shared" si="118"/>
        <v>0</v>
      </c>
      <c r="W12" s="1034">
        <f t="shared" si="119"/>
        <v>0</v>
      </c>
      <c r="X12" s="1034">
        <f t="shared" si="120"/>
        <v>0</v>
      </c>
      <c r="Y12" s="1034">
        <f t="shared" si="121"/>
        <v>869898.4</v>
      </c>
      <c r="Z12" s="1034">
        <f t="shared" si="122"/>
        <v>1476327.65</v>
      </c>
      <c r="AA12" s="1034">
        <f t="shared" si="123"/>
        <v>1940404.5599999998</v>
      </c>
      <c r="AB12" s="1034">
        <f t="shared" si="124"/>
        <v>1961278.4</v>
      </c>
      <c r="AC12" s="1034">
        <f t="shared" si="125"/>
        <v>2295671.06</v>
      </c>
      <c r="AD12" s="1034">
        <f t="shared" si="126"/>
        <v>2530276.66</v>
      </c>
      <c r="AE12" s="1034">
        <f t="shared" si="127"/>
        <v>2530276.66</v>
      </c>
      <c r="AF12" s="1034">
        <f t="shared" si="128"/>
        <v>2530276.66</v>
      </c>
      <c r="AG12" s="1034">
        <f t="shared" si="129"/>
        <v>2530276.66</v>
      </c>
      <c r="AH12" s="1041">
        <f t="shared" si="130"/>
        <v>0.99618483811614422</v>
      </c>
      <c r="AI12" s="1014">
        <f t="shared" si="18"/>
        <v>0</v>
      </c>
      <c r="AJ12" s="1025">
        <f t="shared" si="131"/>
        <v>0</v>
      </c>
      <c r="AK12" s="1014">
        <f t="shared" si="19"/>
        <v>0</v>
      </c>
      <c r="AL12" s="1025">
        <f t="shared" si="132"/>
        <v>0</v>
      </c>
      <c r="AM12" s="1014">
        <f t="shared" si="20"/>
        <v>0</v>
      </c>
      <c r="AN12" s="1025">
        <f t="shared" si="133"/>
        <v>0</v>
      </c>
      <c r="AO12" s="1014">
        <f t="shared" si="21"/>
        <v>0</v>
      </c>
      <c r="AP12" s="1014">
        <f t="shared" si="22"/>
        <v>0</v>
      </c>
      <c r="AQ12" s="1014">
        <f t="shared" si="23"/>
        <v>0</v>
      </c>
      <c r="AR12" s="1015">
        <f t="shared" si="24"/>
        <v>0</v>
      </c>
      <c r="AS12" s="1025">
        <f t="shared" si="25"/>
        <v>0</v>
      </c>
      <c r="AT12" s="1014">
        <f t="shared" si="26"/>
        <v>267990</v>
      </c>
      <c r="AU12" s="1014">
        <f t="shared" si="27"/>
        <v>351908.4</v>
      </c>
      <c r="AV12" s="1014">
        <f t="shared" si="28"/>
        <v>0</v>
      </c>
      <c r="AW12" s="1014">
        <f t="shared" si="29"/>
        <v>0</v>
      </c>
      <c r="AX12" s="1014">
        <f t="shared" si="30"/>
        <v>0</v>
      </c>
      <c r="AY12" s="1014">
        <f t="shared" si="31"/>
        <v>250000</v>
      </c>
      <c r="AZ12" s="1025">
        <f t="shared" si="32"/>
        <v>869898.4</v>
      </c>
      <c r="BA12" s="1014">
        <f t="shared" si="33"/>
        <v>43682.66</v>
      </c>
      <c r="BB12" s="1014">
        <f t="shared" si="34"/>
        <v>317890.58999999997</v>
      </c>
      <c r="BC12" s="1014">
        <f t="shared" si="35"/>
        <v>0</v>
      </c>
      <c r="BD12" s="1014">
        <f t="shared" si="36"/>
        <v>0</v>
      </c>
      <c r="BE12" s="1014">
        <f t="shared" si="37"/>
        <v>0</v>
      </c>
      <c r="BF12" s="1014">
        <f t="shared" si="38"/>
        <v>244856</v>
      </c>
      <c r="BG12" s="1025">
        <f t="shared" si="39"/>
        <v>606429.25</v>
      </c>
      <c r="BH12" s="1014">
        <f t="shared" si="40"/>
        <v>195453.5</v>
      </c>
      <c r="BI12" s="1014">
        <f t="shared" si="41"/>
        <v>268623.40999999997</v>
      </c>
      <c r="BJ12" s="1014">
        <f t="shared" si="42"/>
        <v>0</v>
      </c>
      <c r="BK12" s="1014">
        <f t="shared" si="43"/>
        <v>0</v>
      </c>
      <c r="BL12" s="1014">
        <f t="shared" si="44"/>
        <v>0</v>
      </c>
      <c r="BM12" s="1014">
        <f t="shared" si="45"/>
        <v>0</v>
      </c>
      <c r="BN12" s="1025">
        <f t="shared" si="46"/>
        <v>464076.91</v>
      </c>
      <c r="BO12" s="1014">
        <f t="shared" si="47"/>
        <v>20873.84</v>
      </c>
      <c r="BP12" s="1014">
        <f t="shared" si="48"/>
        <v>0</v>
      </c>
      <c r="BQ12" s="1014">
        <f t="shared" si="49"/>
        <v>0</v>
      </c>
      <c r="BR12" s="1014">
        <f t="shared" si="50"/>
        <v>0</v>
      </c>
      <c r="BS12" s="1014">
        <f t="shared" si="51"/>
        <v>0</v>
      </c>
      <c r="BT12" s="1025">
        <f t="shared" si="52"/>
        <v>20873.84</v>
      </c>
      <c r="BU12" s="1014">
        <f t="shared" si="53"/>
        <v>128094.66</v>
      </c>
      <c r="BV12" s="1014">
        <f t="shared" si="54"/>
        <v>0</v>
      </c>
      <c r="BW12" s="1014">
        <f t="shared" si="55"/>
        <v>0</v>
      </c>
      <c r="BX12" s="1014">
        <f t="shared" si="56"/>
        <v>0</v>
      </c>
      <c r="BY12" s="1014">
        <f t="shared" si="57"/>
        <v>0</v>
      </c>
      <c r="BZ12" s="1014">
        <f t="shared" si="58"/>
        <v>0</v>
      </c>
      <c r="CA12" s="1014">
        <f t="shared" si="59"/>
        <v>0</v>
      </c>
      <c r="CB12" s="1014">
        <f t="shared" si="60"/>
        <v>0</v>
      </c>
      <c r="CC12" s="1014">
        <f t="shared" si="61"/>
        <v>206298</v>
      </c>
      <c r="CD12" s="1015">
        <f t="shared" si="62"/>
        <v>0</v>
      </c>
      <c r="CE12" s="1014">
        <f t="shared" si="63"/>
        <v>0</v>
      </c>
      <c r="CF12" s="1025">
        <f t="shared" si="64"/>
        <v>334392.66000000003</v>
      </c>
      <c r="CG12" s="1014">
        <f t="shared" si="65"/>
        <v>0</v>
      </c>
      <c r="CH12" s="1014">
        <f t="shared" si="66"/>
        <v>234605.6</v>
      </c>
      <c r="CI12" s="1014">
        <f t="shared" si="67"/>
        <v>0</v>
      </c>
      <c r="CJ12" s="1014">
        <f t="shared" si="68"/>
        <v>0</v>
      </c>
      <c r="CK12" s="1014">
        <f t="shared" si="69"/>
        <v>0</v>
      </c>
      <c r="CL12" s="1014">
        <f t="shared" si="70"/>
        <v>0</v>
      </c>
      <c r="CM12" s="1014">
        <f t="shared" si="71"/>
        <v>0</v>
      </c>
      <c r="CN12" s="1015">
        <f t="shared" si="72"/>
        <v>0</v>
      </c>
      <c r="CO12" s="1014">
        <f t="shared" si="73"/>
        <v>0</v>
      </c>
      <c r="CP12" s="1025">
        <f t="shared" si="74"/>
        <v>234605.6</v>
      </c>
      <c r="CQ12" s="1014">
        <f t="shared" si="75"/>
        <v>0</v>
      </c>
      <c r="CR12" s="1014">
        <f t="shared" si="76"/>
        <v>0</v>
      </c>
      <c r="CS12" s="1014">
        <f t="shared" si="77"/>
        <v>0</v>
      </c>
      <c r="CT12" s="1014">
        <f t="shared" si="78"/>
        <v>0</v>
      </c>
      <c r="CU12" s="1015">
        <f t="shared" si="79"/>
        <v>0</v>
      </c>
      <c r="CV12" s="1030">
        <f t="shared" si="80"/>
        <v>0</v>
      </c>
      <c r="CW12" s="1014">
        <f t="shared" si="81"/>
        <v>0</v>
      </c>
      <c r="CX12" s="1014">
        <f t="shared" si="82"/>
        <v>0</v>
      </c>
      <c r="CY12" s="1014">
        <f t="shared" si="83"/>
        <v>0</v>
      </c>
      <c r="CZ12" s="1014">
        <f t="shared" si="84"/>
        <v>0</v>
      </c>
      <c r="DA12" s="1014">
        <f t="shared" si="85"/>
        <v>0</v>
      </c>
      <c r="DB12" s="1014">
        <f t="shared" si="86"/>
        <v>0</v>
      </c>
      <c r="DC12" s="1014">
        <f t="shared" si="87"/>
        <v>0</v>
      </c>
      <c r="DD12" s="1014">
        <f t="shared" si="88"/>
        <v>0</v>
      </c>
      <c r="DE12" s="1015">
        <f t="shared" si="89"/>
        <v>0</v>
      </c>
      <c r="DF12" s="1014">
        <f t="shared" si="90"/>
        <v>0</v>
      </c>
      <c r="DG12" s="1014">
        <f t="shared" si="91"/>
        <v>0</v>
      </c>
      <c r="DH12" s="1012">
        <f t="shared" ref="DH12" si="198">SUM(CW12:DG12)</f>
        <v>0</v>
      </c>
      <c r="DI12" s="1014">
        <f t="shared" si="93"/>
        <v>0</v>
      </c>
      <c r="DJ12" s="1014">
        <f t="shared" si="94"/>
        <v>0</v>
      </c>
      <c r="DK12" s="1014">
        <f t="shared" si="95"/>
        <v>0</v>
      </c>
      <c r="DL12" s="1014">
        <f t="shared" si="96"/>
        <v>0</v>
      </c>
      <c r="DM12" s="1014">
        <f t="shared" si="97"/>
        <v>0</v>
      </c>
      <c r="DN12" s="1014">
        <f t="shared" si="98"/>
        <v>0</v>
      </c>
      <c r="DO12" s="1014">
        <f t="shared" si="99"/>
        <v>0</v>
      </c>
      <c r="DP12" s="1014">
        <f t="shared" si="100"/>
        <v>0</v>
      </c>
      <c r="DQ12" s="1020">
        <f t="shared" si="101"/>
        <v>0</v>
      </c>
      <c r="DR12" s="1014">
        <f t="shared" si="102"/>
        <v>0</v>
      </c>
      <c r="DS12" s="1014">
        <f t="shared" si="103"/>
        <v>0</v>
      </c>
      <c r="DT12" s="1025">
        <f t="shared" ref="DT12" si="199">SUM(DI12:DS12)</f>
        <v>0</v>
      </c>
    </row>
    <row r="13" spans="1:140" x14ac:dyDescent="0.2">
      <c r="A13" s="908" t="s">
        <v>51</v>
      </c>
      <c r="B13" s="908">
        <v>2014</v>
      </c>
      <c r="C13" s="910">
        <f t="shared" ref="C13" si="200">SUMPRODUCT((OP_FRAFU=A13)*(Bdgt_FRAFU))</f>
        <v>138200</v>
      </c>
      <c r="D13" s="910">
        <f t="shared" ref="D13" si="201">SUMPRODUCT((OP_Rehab=A13)*(Bdgt_Rehab))</f>
        <v>0</v>
      </c>
      <c r="E13" s="910">
        <f t="shared" ref="E13" si="202">SUMPRODUCT((OP_LBU=A13)*(Bdgt_LBU))</f>
        <v>177688</v>
      </c>
      <c r="F13" s="910">
        <f t="shared" si="3"/>
        <v>0</v>
      </c>
      <c r="G13" s="910">
        <f t="shared" ref="G13" si="203">SUMPRODUCT((OP_CAF=A13)*(Bdgt_CAF))</f>
        <v>0</v>
      </c>
      <c r="H13" s="910">
        <f t="shared" ref="H13" si="204">SUMPRODUCT((OP_Region=A13)*(Bdgt_Region))</f>
        <v>0</v>
      </c>
      <c r="I13" s="910">
        <f t="shared" ref="I13" si="205">SUMPRODUCT((OP_Rectorat=A13)*(Bdgt_Rectorat))</f>
        <v>0</v>
      </c>
      <c r="J13" s="910">
        <f t="shared" si="7"/>
        <v>0</v>
      </c>
      <c r="K13" s="910">
        <f t="shared" si="8"/>
        <v>0</v>
      </c>
      <c r="L13" s="910">
        <f t="shared" si="9"/>
        <v>0</v>
      </c>
      <c r="M13" s="910">
        <f t="shared" ref="M13" si="206">SUMPRODUCT((OP_ADEME=A13)*(Bdgt_ADEME))</f>
        <v>0</v>
      </c>
      <c r="N13" s="910">
        <f t="shared" ref="N13" si="207">SUMPRODUCT((OP_P_Ile=A13)*(Bdgt_P_Ile))</f>
        <v>0</v>
      </c>
      <c r="O13" s="910">
        <f t="shared" ref="O13" si="208">SUMPRODUCT((OP_EDF=A13)*(Bdgt_EDF))</f>
        <v>0</v>
      </c>
      <c r="P13" s="910">
        <f t="shared" si="13"/>
        <v>0</v>
      </c>
      <c r="Q13" s="910">
        <f t="shared" ref="Q13" si="209">SUMPRODUCT((OP_ETG_SALE=A13)*(Bdgt_ETG_SALE))</f>
        <v>0</v>
      </c>
      <c r="R13" s="910">
        <f t="shared" ref="R13" si="210">SUMPRODUCT((OP_ST_JO=A13)*(Bdgt_ST_JO))</f>
        <v>0</v>
      </c>
      <c r="S13" s="910">
        <f t="shared" ref="S13" si="211">SUM(C13:R13)</f>
        <v>315888</v>
      </c>
      <c r="T13" s="1037">
        <f t="shared" si="17"/>
        <v>15994.030000000028</v>
      </c>
      <c r="U13" s="1034">
        <f t="shared" si="117"/>
        <v>0</v>
      </c>
      <c r="V13" s="1034">
        <f t="shared" si="118"/>
        <v>0</v>
      </c>
      <c r="W13" s="1034">
        <f t="shared" si="119"/>
        <v>0</v>
      </c>
      <c r="X13" s="1034">
        <f t="shared" si="120"/>
        <v>0</v>
      </c>
      <c r="Y13" s="1034">
        <f t="shared" si="121"/>
        <v>0</v>
      </c>
      <c r="Z13" s="1034">
        <f t="shared" si="122"/>
        <v>0</v>
      </c>
      <c r="AA13" s="1034">
        <f t="shared" si="123"/>
        <v>53306.400000000001</v>
      </c>
      <c r="AB13" s="1034">
        <f t="shared" si="124"/>
        <v>252149.62999999998</v>
      </c>
      <c r="AC13" s="1034">
        <f t="shared" si="125"/>
        <v>252149.62999999998</v>
      </c>
      <c r="AD13" s="1034">
        <f t="shared" si="126"/>
        <v>299893.96999999997</v>
      </c>
      <c r="AE13" s="1034">
        <f t="shared" si="127"/>
        <v>299893.96999999997</v>
      </c>
      <c r="AF13" s="1034">
        <f t="shared" si="128"/>
        <v>299893.96999999997</v>
      </c>
      <c r="AG13" s="1034">
        <f t="shared" si="129"/>
        <v>299893.96999999997</v>
      </c>
      <c r="AH13" s="1041">
        <f t="shared" si="130"/>
        <v>0.94936803550625526</v>
      </c>
      <c r="AI13" s="1014">
        <f t="shared" si="18"/>
        <v>0</v>
      </c>
      <c r="AJ13" s="1025">
        <f t="shared" si="131"/>
        <v>0</v>
      </c>
      <c r="AK13" s="1014">
        <f t="shared" si="19"/>
        <v>0</v>
      </c>
      <c r="AL13" s="1025">
        <f t="shared" si="132"/>
        <v>0</v>
      </c>
      <c r="AM13" s="1014">
        <f t="shared" si="20"/>
        <v>0</v>
      </c>
      <c r="AN13" s="1025">
        <f t="shared" si="133"/>
        <v>0</v>
      </c>
      <c r="AO13" s="1014">
        <f t="shared" si="21"/>
        <v>0</v>
      </c>
      <c r="AP13" s="1014">
        <f t="shared" si="22"/>
        <v>0</v>
      </c>
      <c r="AQ13" s="1014">
        <f t="shared" si="23"/>
        <v>0</v>
      </c>
      <c r="AR13" s="1015">
        <f t="shared" si="24"/>
        <v>0</v>
      </c>
      <c r="AS13" s="1025">
        <f t="shared" si="25"/>
        <v>0</v>
      </c>
      <c r="AT13" s="1014">
        <f t="shared" si="26"/>
        <v>0</v>
      </c>
      <c r="AU13" s="1014">
        <f t="shared" si="27"/>
        <v>0</v>
      </c>
      <c r="AV13" s="1014">
        <f t="shared" si="28"/>
        <v>0</v>
      </c>
      <c r="AW13" s="1014">
        <f t="shared" si="29"/>
        <v>0</v>
      </c>
      <c r="AX13" s="1014">
        <f t="shared" si="30"/>
        <v>0</v>
      </c>
      <c r="AY13" s="1014">
        <f t="shared" si="31"/>
        <v>0</v>
      </c>
      <c r="AZ13" s="1025">
        <f t="shared" si="32"/>
        <v>0</v>
      </c>
      <c r="BA13" s="1014">
        <f t="shared" si="33"/>
        <v>0</v>
      </c>
      <c r="BB13" s="1014">
        <f t="shared" si="34"/>
        <v>0</v>
      </c>
      <c r="BC13" s="1014">
        <f t="shared" si="35"/>
        <v>0</v>
      </c>
      <c r="BD13" s="1014">
        <f t="shared" si="36"/>
        <v>0</v>
      </c>
      <c r="BE13" s="1014">
        <f t="shared" si="37"/>
        <v>0</v>
      </c>
      <c r="BF13" s="1014">
        <f t="shared" si="38"/>
        <v>0</v>
      </c>
      <c r="BG13" s="1025">
        <f t="shared" si="39"/>
        <v>0</v>
      </c>
      <c r="BH13" s="1014">
        <f t="shared" si="40"/>
        <v>0</v>
      </c>
      <c r="BI13" s="1014">
        <f t="shared" si="41"/>
        <v>53306.400000000001</v>
      </c>
      <c r="BJ13" s="1014">
        <f t="shared" si="42"/>
        <v>0</v>
      </c>
      <c r="BK13" s="1014">
        <f t="shared" si="43"/>
        <v>0</v>
      </c>
      <c r="BL13" s="1014">
        <f t="shared" si="44"/>
        <v>0</v>
      </c>
      <c r="BM13" s="1014">
        <f t="shared" si="45"/>
        <v>0</v>
      </c>
      <c r="BN13" s="1025">
        <f t="shared" si="46"/>
        <v>53306.400000000001</v>
      </c>
      <c r="BO13" s="1014">
        <f t="shared" si="47"/>
        <v>109999.23</v>
      </c>
      <c r="BP13" s="1014">
        <f t="shared" si="48"/>
        <v>88844</v>
      </c>
      <c r="BQ13" s="1014">
        <f t="shared" si="49"/>
        <v>0</v>
      </c>
      <c r="BR13" s="1014">
        <f t="shared" si="50"/>
        <v>0</v>
      </c>
      <c r="BS13" s="1014">
        <f t="shared" si="51"/>
        <v>0</v>
      </c>
      <c r="BT13" s="1025">
        <f t="shared" si="52"/>
        <v>198843.22999999998</v>
      </c>
      <c r="BU13" s="1014">
        <f t="shared" si="53"/>
        <v>0</v>
      </c>
      <c r="BV13" s="1014">
        <f t="shared" si="54"/>
        <v>0</v>
      </c>
      <c r="BW13" s="1014">
        <f t="shared" si="55"/>
        <v>0</v>
      </c>
      <c r="BX13" s="1014">
        <f t="shared" si="56"/>
        <v>0</v>
      </c>
      <c r="BY13" s="1014">
        <f t="shared" si="57"/>
        <v>0</v>
      </c>
      <c r="BZ13" s="1014">
        <f t="shared" si="58"/>
        <v>0</v>
      </c>
      <c r="CA13" s="1014">
        <f t="shared" si="59"/>
        <v>0</v>
      </c>
      <c r="CB13" s="1014">
        <f t="shared" si="60"/>
        <v>0</v>
      </c>
      <c r="CC13" s="1014">
        <f t="shared" si="61"/>
        <v>0</v>
      </c>
      <c r="CD13" s="1015">
        <f t="shared" si="62"/>
        <v>0</v>
      </c>
      <c r="CE13" s="1014">
        <f t="shared" si="63"/>
        <v>0</v>
      </c>
      <c r="CF13" s="1025">
        <f t="shared" si="64"/>
        <v>0</v>
      </c>
      <c r="CG13" s="1014">
        <f t="shared" si="65"/>
        <v>12206.74</v>
      </c>
      <c r="CH13" s="1014">
        <f t="shared" si="66"/>
        <v>35537.599999999999</v>
      </c>
      <c r="CI13" s="1014">
        <f t="shared" si="67"/>
        <v>0</v>
      </c>
      <c r="CJ13" s="1014">
        <f t="shared" si="68"/>
        <v>0</v>
      </c>
      <c r="CK13" s="1014">
        <f t="shared" si="69"/>
        <v>0</v>
      </c>
      <c r="CL13" s="1014">
        <f t="shared" si="70"/>
        <v>0</v>
      </c>
      <c r="CM13" s="1014">
        <f t="shared" si="71"/>
        <v>0</v>
      </c>
      <c r="CN13" s="1015">
        <f t="shared" si="72"/>
        <v>0</v>
      </c>
      <c r="CO13" s="1014">
        <f t="shared" si="73"/>
        <v>0</v>
      </c>
      <c r="CP13" s="1025">
        <f t="shared" si="74"/>
        <v>47744.34</v>
      </c>
      <c r="CQ13" s="1014">
        <f t="shared" si="75"/>
        <v>0</v>
      </c>
      <c r="CR13" s="1014">
        <f t="shared" si="76"/>
        <v>0</v>
      </c>
      <c r="CS13" s="1014">
        <f t="shared" si="77"/>
        <v>0</v>
      </c>
      <c r="CT13" s="1014">
        <f t="shared" si="78"/>
        <v>0</v>
      </c>
      <c r="CU13" s="1015">
        <f t="shared" si="79"/>
        <v>0</v>
      </c>
      <c r="CV13" s="1030">
        <f t="shared" si="80"/>
        <v>0</v>
      </c>
      <c r="CW13" s="1014">
        <f t="shared" si="81"/>
        <v>0</v>
      </c>
      <c r="CX13" s="1014">
        <f t="shared" si="82"/>
        <v>0</v>
      </c>
      <c r="CY13" s="1014">
        <f t="shared" si="83"/>
        <v>0</v>
      </c>
      <c r="CZ13" s="1014">
        <f t="shared" si="84"/>
        <v>0</v>
      </c>
      <c r="DA13" s="1014">
        <f t="shared" si="85"/>
        <v>0</v>
      </c>
      <c r="DB13" s="1014">
        <f t="shared" si="86"/>
        <v>0</v>
      </c>
      <c r="DC13" s="1014">
        <f t="shared" si="87"/>
        <v>0</v>
      </c>
      <c r="DD13" s="1014">
        <f t="shared" si="88"/>
        <v>0</v>
      </c>
      <c r="DE13" s="1015">
        <f t="shared" si="89"/>
        <v>0</v>
      </c>
      <c r="DF13" s="1014">
        <f t="shared" si="90"/>
        <v>0</v>
      </c>
      <c r="DG13" s="1014">
        <f t="shared" si="91"/>
        <v>0</v>
      </c>
      <c r="DH13" s="1012">
        <f t="shared" ref="DH13" si="212">SUM(CW13:DG13)</f>
        <v>0</v>
      </c>
      <c r="DI13" s="1014">
        <f t="shared" si="93"/>
        <v>0</v>
      </c>
      <c r="DJ13" s="1014">
        <f t="shared" si="94"/>
        <v>0</v>
      </c>
      <c r="DK13" s="1014">
        <f t="shared" si="95"/>
        <v>0</v>
      </c>
      <c r="DL13" s="1014">
        <f t="shared" si="96"/>
        <v>0</v>
      </c>
      <c r="DM13" s="1014">
        <f t="shared" si="97"/>
        <v>0</v>
      </c>
      <c r="DN13" s="1014">
        <f t="shared" si="98"/>
        <v>0</v>
      </c>
      <c r="DO13" s="1014">
        <f t="shared" si="99"/>
        <v>0</v>
      </c>
      <c r="DP13" s="1014">
        <f t="shared" si="100"/>
        <v>0</v>
      </c>
      <c r="DQ13" s="1020">
        <f t="shared" si="101"/>
        <v>0</v>
      </c>
      <c r="DR13" s="1014">
        <f t="shared" si="102"/>
        <v>0</v>
      </c>
      <c r="DS13" s="1014">
        <f t="shared" si="103"/>
        <v>0</v>
      </c>
      <c r="DT13" s="1025">
        <f t="shared" ref="DT13" si="213">SUM(DI13:DS13)</f>
        <v>0</v>
      </c>
    </row>
    <row r="14" spans="1:140" x14ac:dyDescent="0.2">
      <c r="A14" s="908" t="s">
        <v>38</v>
      </c>
      <c r="B14" s="908">
        <v>2014</v>
      </c>
      <c r="C14" s="910">
        <f t="shared" ref="C14" si="214">SUMPRODUCT((OP_FRAFU=A14)*(Bdgt_FRAFU))</f>
        <v>555000</v>
      </c>
      <c r="D14" s="910">
        <f t="shared" ref="D14" si="215">SUMPRODUCT((OP_Rehab=A14)*(Bdgt_Rehab))</f>
        <v>0</v>
      </c>
      <c r="E14" s="910">
        <f t="shared" ref="E14" si="216">SUMPRODUCT((OP_LBU=A14)*(Bdgt_LBU))</f>
        <v>1269605</v>
      </c>
      <c r="F14" s="910">
        <f t="shared" si="3"/>
        <v>0</v>
      </c>
      <c r="G14" s="910">
        <f t="shared" ref="G14" si="217">SUMPRODUCT((OP_CAF=A14)*(Bdgt_CAF))</f>
        <v>0</v>
      </c>
      <c r="H14" s="910">
        <f t="shared" ref="H14" si="218">SUMPRODUCT((OP_Region=A14)*(Bdgt_Region))</f>
        <v>0</v>
      </c>
      <c r="I14" s="910">
        <f t="shared" ref="I14" si="219">SUMPRODUCT((OP_Rectorat=A14)*(Bdgt_Rectorat))</f>
        <v>0</v>
      </c>
      <c r="J14" s="910">
        <f t="shared" si="7"/>
        <v>0</v>
      </c>
      <c r="K14" s="910">
        <f t="shared" si="8"/>
        <v>0</v>
      </c>
      <c r="L14" s="910">
        <f t="shared" si="9"/>
        <v>0</v>
      </c>
      <c r="M14" s="910">
        <f t="shared" ref="M14" si="220">SUMPRODUCT((OP_ADEME=A14)*(Bdgt_ADEME))</f>
        <v>0</v>
      </c>
      <c r="N14" s="910">
        <f t="shared" ref="N14" si="221">SUMPRODUCT((OP_P_Ile=A14)*(Bdgt_P_Ile))</f>
        <v>1125261.9838126299</v>
      </c>
      <c r="O14" s="910">
        <f t="shared" ref="O14" si="222">SUMPRODUCT((OP_EDF=A14)*(Bdgt_EDF))</f>
        <v>0</v>
      </c>
      <c r="P14" s="910">
        <f t="shared" si="13"/>
        <v>0</v>
      </c>
      <c r="Q14" s="910">
        <f t="shared" ref="Q14" si="223">SUMPRODUCT((OP_ETG_SALE=A14)*(Bdgt_ETG_SALE))</f>
        <v>0</v>
      </c>
      <c r="R14" s="910">
        <f t="shared" ref="R14" si="224">SUMPRODUCT((OP_ST_JO=A14)*(Bdgt_ST_JO))</f>
        <v>0</v>
      </c>
      <c r="S14" s="910">
        <f t="shared" ref="S14" si="225">SUM(C14:R14)</f>
        <v>2949866.9838126302</v>
      </c>
      <c r="T14" s="1037">
        <f t="shared" si="17"/>
        <v>1.9838126301765442</v>
      </c>
      <c r="U14" s="1034">
        <f t="shared" si="117"/>
        <v>0</v>
      </c>
      <c r="V14" s="1034">
        <f t="shared" si="118"/>
        <v>0</v>
      </c>
      <c r="W14" s="1034">
        <f t="shared" si="119"/>
        <v>0</v>
      </c>
      <c r="X14" s="1034">
        <f t="shared" si="120"/>
        <v>0</v>
      </c>
      <c r="Y14" s="1034">
        <f t="shared" si="121"/>
        <v>612850</v>
      </c>
      <c r="Z14" s="1034">
        <f t="shared" si="122"/>
        <v>1566094.42</v>
      </c>
      <c r="AA14" s="1034">
        <f t="shared" si="123"/>
        <v>2198007.91</v>
      </c>
      <c r="AB14" s="1034">
        <f t="shared" si="124"/>
        <v>2198007.91</v>
      </c>
      <c r="AC14" s="1034">
        <f t="shared" si="125"/>
        <v>2561650</v>
      </c>
      <c r="AD14" s="1034">
        <f t="shared" si="126"/>
        <v>2949865</v>
      </c>
      <c r="AE14" s="1034">
        <f t="shared" si="127"/>
        <v>2949865</v>
      </c>
      <c r="AF14" s="1034">
        <f t="shared" si="128"/>
        <v>2949865</v>
      </c>
      <c r="AG14" s="1034">
        <f t="shared" si="129"/>
        <v>2949865</v>
      </c>
      <c r="AH14" s="1041">
        <f t="shared" si="130"/>
        <v>0.99999932749081877</v>
      </c>
      <c r="AI14" s="1014">
        <f t="shared" si="18"/>
        <v>0</v>
      </c>
      <c r="AJ14" s="1025">
        <f t="shared" si="131"/>
        <v>0</v>
      </c>
      <c r="AK14" s="1014">
        <f t="shared" si="19"/>
        <v>0</v>
      </c>
      <c r="AL14" s="1025">
        <f t="shared" si="132"/>
        <v>0</v>
      </c>
      <c r="AM14" s="1014">
        <f t="shared" si="20"/>
        <v>0</v>
      </c>
      <c r="AN14" s="1025">
        <f t="shared" si="133"/>
        <v>0</v>
      </c>
      <c r="AO14" s="1014">
        <f t="shared" si="21"/>
        <v>0</v>
      </c>
      <c r="AP14" s="1014">
        <f t="shared" si="22"/>
        <v>0</v>
      </c>
      <c r="AQ14" s="1014">
        <f t="shared" si="23"/>
        <v>0</v>
      </c>
      <c r="AR14" s="1015">
        <f t="shared" si="24"/>
        <v>0</v>
      </c>
      <c r="AS14" s="1025">
        <f t="shared" si="25"/>
        <v>0</v>
      </c>
      <c r="AT14" s="1014">
        <f t="shared" si="26"/>
        <v>242850</v>
      </c>
      <c r="AU14" s="1014">
        <f t="shared" si="27"/>
        <v>0</v>
      </c>
      <c r="AV14" s="1014">
        <f t="shared" si="28"/>
        <v>0</v>
      </c>
      <c r="AW14" s="1014">
        <f t="shared" si="29"/>
        <v>0</v>
      </c>
      <c r="AX14" s="1014">
        <f t="shared" si="30"/>
        <v>0</v>
      </c>
      <c r="AY14" s="1014">
        <f t="shared" si="31"/>
        <v>370000</v>
      </c>
      <c r="AZ14" s="1025">
        <f t="shared" si="32"/>
        <v>612850</v>
      </c>
      <c r="BA14" s="1014">
        <f t="shared" si="33"/>
        <v>161643.51</v>
      </c>
      <c r="BB14" s="1014">
        <f t="shared" si="34"/>
        <v>424555.91</v>
      </c>
      <c r="BC14" s="1014">
        <f t="shared" si="35"/>
        <v>0</v>
      </c>
      <c r="BD14" s="1014">
        <f t="shared" si="36"/>
        <v>0</v>
      </c>
      <c r="BE14" s="1014">
        <f t="shared" si="37"/>
        <v>0</v>
      </c>
      <c r="BF14" s="1014">
        <f t="shared" si="38"/>
        <v>367045</v>
      </c>
      <c r="BG14" s="1025">
        <f t="shared" si="39"/>
        <v>953244.41999999993</v>
      </c>
      <c r="BH14" s="1014">
        <f t="shared" si="40"/>
        <v>40785.4</v>
      </c>
      <c r="BI14" s="1014">
        <f t="shared" si="41"/>
        <v>591128.09</v>
      </c>
      <c r="BJ14" s="1014">
        <f t="shared" si="42"/>
        <v>0</v>
      </c>
      <c r="BK14" s="1014">
        <f t="shared" si="43"/>
        <v>0</v>
      </c>
      <c r="BL14" s="1014">
        <f t="shared" si="44"/>
        <v>0</v>
      </c>
      <c r="BM14" s="1014">
        <f t="shared" si="45"/>
        <v>0</v>
      </c>
      <c r="BN14" s="1025">
        <f t="shared" si="46"/>
        <v>631913.49</v>
      </c>
      <c r="BO14" s="1014">
        <f t="shared" si="47"/>
        <v>0</v>
      </c>
      <c r="BP14" s="1014">
        <f t="shared" si="48"/>
        <v>0</v>
      </c>
      <c r="BQ14" s="1014">
        <f t="shared" si="49"/>
        <v>0</v>
      </c>
      <c r="BR14" s="1014">
        <f t="shared" si="50"/>
        <v>0</v>
      </c>
      <c r="BS14" s="1014">
        <f t="shared" si="51"/>
        <v>0</v>
      </c>
      <c r="BT14" s="1025">
        <f t="shared" si="52"/>
        <v>0</v>
      </c>
      <c r="BU14" s="1014">
        <f t="shared" si="53"/>
        <v>109721.09</v>
      </c>
      <c r="BV14" s="1014">
        <f t="shared" si="54"/>
        <v>253921</v>
      </c>
      <c r="BW14" s="1014">
        <f t="shared" si="55"/>
        <v>0</v>
      </c>
      <c r="BX14" s="1014">
        <f t="shared" si="56"/>
        <v>0</v>
      </c>
      <c r="BY14" s="1014">
        <f t="shared" si="57"/>
        <v>0</v>
      </c>
      <c r="BZ14" s="1014">
        <f t="shared" si="58"/>
        <v>0</v>
      </c>
      <c r="CA14" s="1014">
        <f t="shared" si="59"/>
        <v>0</v>
      </c>
      <c r="CB14" s="1014">
        <f t="shared" si="60"/>
        <v>0</v>
      </c>
      <c r="CC14" s="1014">
        <f t="shared" si="61"/>
        <v>0</v>
      </c>
      <c r="CD14" s="1015">
        <f t="shared" si="62"/>
        <v>0</v>
      </c>
      <c r="CE14" s="1014">
        <f t="shared" si="63"/>
        <v>0</v>
      </c>
      <c r="CF14" s="1025">
        <f t="shared" si="64"/>
        <v>363642.08999999997</v>
      </c>
      <c r="CG14" s="1014">
        <f t="shared" si="65"/>
        <v>0</v>
      </c>
      <c r="CH14" s="1014">
        <f t="shared" si="66"/>
        <v>0</v>
      </c>
      <c r="CI14" s="1014">
        <f t="shared" si="67"/>
        <v>0</v>
      </c>
      <c r="CJ14" s="1014">
        <f t="shared" si="68"/>
        <v>0</v>
      </c>
      <c r="CK14" s="1014">
        <f t="shared" si="69"/>
        <v>0</v>
      </c>
      <c r="CL14" s="1014">
        <f t="shared" si="70"/>
        <v>0</v>
      </c>
      <c r="CM14" s="1014">
        <f t="shared" si="71"/>
        <v>388215</v>
      </c>
      <c r="CN14" s="1015">
        <f t="shared" si="72"/>
        <v>0</v>
      </c>
      <c r="CO14" s="1014">
        <f t="shared" si="73"/>
        <v>0</v>
      </c>
      <c r="CP14" s="1025">
        <f t="shared" si="74"/>
        <v>388215</v>
      </c>
      <c r="CQ14" s="1014">
        <f t="shared" si="75"/>
        <v>0</v>
      </c>
      <c r="CR14" s="1014">
        <f t="shared" si="76"/>
        <v>0</v>
      </c>
      <c r="CS14" s="1014">
        <f t="shared" si="77"/>
        <v>0</v>
      </c>
      <c r="CT14" s="1014">
        <f t="shared" si="78"/>
        <v>0</v>
      </c>
      <c r="CU14" s="1015">
        <f t="shared" si="79"/>
        <v>0</v>
      </c>
      <c r="CV14" s="1030">
        <f t="shared" si="80"/>
        <v>0</v>
      </c>
      <c r="CW14" s="1014">
        <f t="shared" si="81"/>
        <v>0</v>
      </c>
      <c r="CX14" s="1014">
        <f t="shared" si="82"/>
        <v>0</v>
      </c>
      <c r="CY14" s="1014">
        <f t="shared" si="83"/>
        <v>0</v>
      </c>
      <c r="CZ14" s="1014">
        <f t="shared" si="84"/>
        <v>0</v>
      </c>
      <c r="DA14" s="1014">
        <f t="shared" si="85"/>
        <v>0</v>
      </c>
      <c r="DB14" s="1014">
        <f t="shared" si="86"/>
        <v>0</v>
      </c>
      <c r="DC14" s="1014">
        <f t="shared" si="87"/>
        <v>0</v>
      </c>
      <c r="DD14" s="1014">
        <f t="shared" si="88"/>
        <v>0</v>
      </c>
      <c r="DE14" s="1015">
        <f t="shared" si="89"/>
        <v>0</v>
      </c>
      <c r="DF14" s="1014">
        <f t="shared" si="90"/>
        <v>0</v>
      </c>
      <c r="DG14" s="1014">
        <f t="shared" si="91"/>
        <v>0</v>
      </c>
      <c r="DH14" s="1012">
        <f t="shared" ref="DH14" si="226">SUM(CW14:DG14)</f>
        <v>0</v>
      </c>
      <c r="DI14" s="1014">
        <f t="shared" si="93"/>
        <v>0</v>
      </c>
      <c r="DJ14" s="1014">
        <f t="shared" si="94"/>
        <v>0</v>
      </c>
      <c r="DK14" s="1014">
        <f t="shared" si="95"/>
        <v>0</v>
      </c>
      <c r="DL14" s="1014">
        <f t="shared" si="96"/>
        <v>0</v>
      </c>
      <c r="DM14" s="1014">
        <f t="shared" si="97"/>
        <v>0</v>
      </c>
      <c r="DN14" s="1014">
        <f t="shared" si="98"/>
        <v>0</v>
      </c>
      <c r="DO14" s="1014">
        <f t="shared" si="99"/>
        <v>0</v>
      </c>
      <c r="DP14" s="1014">
        <f t="shared" si="100"/>
        <v>0</v>
      </c>
      <c r="DQ14" s="1020">
        <f t="shared" si="101"/>
        <v>0</v>
      </c>
      <c r="DR14" s="1014">
        <f t="shared" si="102"/>
        <v>0</v>
      </c>
      <c r="DS14" s="1014">
        <f t="shared" si="103"/>
        <v>0</v>
      </c>
      <c r="DT14" s="1025">
        <f t="shared" ref="DT14" si="227">SUM(DI14:DS14)</f>
        <v>0</v>
      </c>
    </row>
    <row r="15" spans="1:140" x14ac:dyDescent="0.2">
      <c r="A15" s="908" t="s">
        <v>40</v>
      </c>
      <c r="B15" s="908">
        <v>2014</v>
      </c>
      <c r="C15" s="910">
        <f t="shared" ref="C15:C46" si="228">SUMPRODUCT((OP_FRAFU=A15)*(Bdgt_FRAFU))</f>
        <v>280000</v>
      </c>
      <c r="D15" s="910">
        <f t="shared" ref="D15:D46" si="229">SUMPRODUCT((OP_Rehab=A15)*(Bdgt_Rehab))</f>
        <v>0</v>
      </c>
      <c r="E15" s="910">
        <f t="shared" ref="E15:E46" si="230">SUMPRODUCT((OP_LBU=A15)*(Bdgt_LBU))</f>
        <v>620464</v>
      </c>
      <c r="F15" s="910">
        <f t="shared" si="3"/>
        <v>119894.04999999999</v>
      </c>
      <c r="G15" s="910">
        <f t="shared" ref="G15:G46" si="231">SUMPRODUCT((OP_CAF=A15)*(Bdgt_CAF))</f>
        <v>70000</v>
      </c>
      <c r="H15" s="910">
        <f t="shared" ref="H15:H46" si="232">SUMPRODUCT((OP_Region=A15)*(Bdgt_Region))</f>
        <v>0</v>
      </c>
      <c r="I15" s="910">
        <f t="shared" ref="I15:I46" si="233">SUMPRODUCT((OP_Rectorat=A15)*(Bdgt_Rectorat))</f>
        <v>0</v>
      </c>
      <c r="J15" s="910">
        <f t="shared" si="7"/>
        <v>0</v>
      </c>
      <c r="K15" s="910">
        <f t="shared" si="8"/>
        <v>140000</v>
      </c>
      <c r="L15" s="910">
        <f t="shared" si="9"/>
        <v>0</v>
      </c>
      <c r="M15" s="910">
        <f t="shared" ref="M15:M42" si="234">SUMPRODUCT((OP_ADEME=A15)*(Bdgt_ADEME))</f>
        <v>0</v>
      </c>
      <c r="N15" s="910">
        <f t="shared" ref="N15:N42" si="235">SUMPRODUCT((OP_P_Ile=A15)*(Bdgt_P_Ile))</f>
        <v>0</v>
      </c>
      <c r="O15" s="910">
        <f t="shared" ref="O15:O42" si="236">SUMPRODUCT((OP_EDF=A15)*(Bdgt_EDF))</f>
        <v>9449.1</v>
      </c>
      <c r="P15" s="910">
        <f t="shared" si="13"/>
        <v>0</v>
      </c>
      <c r="Q15" s="910">
        <f t="shared" ref="Q15:Q42" si="237">SUMPRODUCT((OP_ETG_SALE=A15)*(Bdgt_ETG_SALE))</f>
        <v>0</v>
      </c>
      <c r="R15" s="910">
        <f t="shared" ref="R15:R42" si="238">SUMPRODUCT((OP_ST_JO=A15)*(Bdgt_ST_JO))</f>
        <v>0</v>
      </c>
      <c r="S15" s="910">
        <f t="shared" ref="S15:S42" si="239">SUM(C15:R15)</f>
        <v>1239807.1500000001</v>
      </c>
      <c r="T15" s="1037">
        <f t="shared" si="17"/>
        <v>93978.780000000261</v>
      </c>
      <c r="U15" s="1034">
        <f t="shared" si="117"/>
        <v>0</v>
      </c>
      <c r="V15" s="1034">
        <f t="shared" si="118"/>
        <v>0</v>
      </c>
      <c r="W15" s="1034">
        <f t="shared" si="119"/>
        <v>0</v>
      </c>
      <c r="X15" s="1034">
        <f t="shared" si="120"/>
        <v>0</v>
      </c>
      <c r="Y15" s="1034">
        <f t="shared" si="121"/>
        <v>0</v>
      </c>
      <c r="Z15" s="1034">
        <f t="shared" si="122"/>
        <v>367562.01</v>
      </c>
      <c r="AA15" s="1034">
        <f t="shared" si="123"/>
        <v>810783.6</v>
      </c>
      <c r="AB15" s="1034">
        <f t="shared" si="124"/>
        <v>935286.44</v>
      </c>
      <c r="AC15" s="1034">
        <f t="shared" si="125"/>
        <v>1012286.44</v>
      </c>
      <c r="AD15" s="1034">
        <f t="shared" si="126"/>
        <v>1136379.24</v>
      </c>
      <c r="AE15" s="1034">
        <f t="shared" si="127"/>
        <v>1136379.24</v>
      </c>
      <c r="AF15" s="1034">
        <f t="shared" si="128"/>
        <v>1136379.24</v>
      </c>
      <c r="AG15" s="1034">
        <f t="shared" si="129"/>
        <v>1145828.3699999999</v>
      </c>
      <c r="AH15" s="1041">
        <f t="shared" si="130"/>
        <v>0.92419887238107934</v>
      </c>
      <c r="AI15" s="1014">
        <f t="shared" si="18"/>
        <v>0</v>
      </c>
      <c r="AJ15" s="1025">
        <f t="shared" si="131"/>
        <v>0</v>
      </c>
      <c r="AK15" s="1014">
        <f t="shared" si="19"/>
        <v>0</v>
      </c>
      <c r="AL15" s="1025">
        <f t="shared" si="132"/>
        <v>0</v>
      </c>
      <c r="AM15" s="1014">
        <f t="shared" si="20"/>
        <v>0</v>
      </c>
      <c r="AN15" s="1025">
        <f t="shared" si="133"/>
        <v>0</v>
      </c>
      <c r="AO15" s="1014">
        <f t="shared" si="21"/>
        <v>0</v>
      </c>
      <c r="AP15" s="1014">
        <f t="shared" si="22"/>
        <v>0</v>
      </c>
      <c r="AQ15" s="1014">
        <f t="shared" si="23"/>
        <v>0</v>
      </c>
      <c r="AR15" s="1015">
        <f t="shared" si="24"/>
        <v>0</v>
      </c>
      <c r="AS15" s="1025">
        <f t="shared" si="25"/>
        <v>0</v>
      </c>
      <c r="AT15" s="1014">
        <f t="shared" si="26"/>
        <v>0</v>
      </c>
      <c r="AU15" s="1014">
        <f t="shared" si="27"/>
        <v>0</v>
      </c>
      <c r="AV15" s="1014">
        <f t="shared" si="28"/>
        <v>0</v>
      </c>
      <c r="AW15" s="1014">
        <f t="shared" si="29"/>
        <v>0</v>
      </c>
      <c r="AX15" s="1014">
        <f t="shared" si="30"/>
        <v>0</v>
      </c>
      <c r="AY15" s="1014">
        <f t="shared" si="31"/>
        <v>0</v>
      </c>
      <c r="AZ15" s="1025">
        <f t="shared" si="32"/>
        <v>0</v>
      </c>
      <c r="BA15" s="1014">
        <f t="shared" si="33"/>
        <v>129444</v>
      </c>
      <c r="BB15" s="1014">
        <f t="shared" si="34"/>
        <v>186139.2</v>
      </c>
      <c r="BC15" s="1014">
        <f t="shared" si="35"/>
        <v>23978.81</v>
      </c>
      <c r="BD15" s="1014">
        <f t="shared" si="36"/>
        <v>28000</v>
      </c>
      <c r="BE15" s="1014">
        <f t="shared" si="37"/>
        <v>0</v>
      </c>
      <c r="BF15" s="1014">
        <f t="shared" si="38"/>
        <v>0</v>
      </c>
      <c r="BG15" s="1025">
        <f t="shared" si="39"/>
        <v>367562.01</v>
      </c>
      <c r="BH15" s="1014">
        <f t="shared" si="40"/>
        <v>41989.59</v>
      </c>
      <c r="BI15" s="1014">
        <f t="shared" si="41"/>
        <v>310232</v>
      </c>
      <c r="BJ15" s="1014">
        <f t="shared" si="42"/>
        <v>0</v>
      </c>
      <c r="BK15" s="1014">
        <f t="shared" si="43"/>
        <v>21000</v>
      </c>
      <c r="BL15" s="1014">
        <f t="shared" si="44"/>
        <v>0</v>
      </c>
      <c r="BM15" s="1014">
        <f t="shared" si="45"/>
        <v>70000</v>
      </c>
      <c r="BN15" s="1025">
        <f t="shared" si="46"/>
        <v>443221.58999999997</v>
      </c>
      <c r="BO15" s="1014">
        <f t="shared" si="47"/>
        <v>52566.41</v>
      </c>
      <c r="BP15" s="1014">
        <f t="shared" si="48"/>
        <v>0</v>
      </c>
      <c r="BQ15" s="1014">
        <f t="shared" si="49"/>
        <v>71936.430000000008</v>
      </c>
      <c r="BR15" s="1014">
        <f t="shared" si="50"/>
        <v>0</v>
      </c>
      <c r="BS15" s="1014">
        <f t="shared" si="51"/>
        <v>0</v>
      </c>
      <c r="BT15" s="1025">
        <f t="shared" si="52"/>
        <v>124502.84000000001</v>
      </c>
      <c r="BU15" s="1014">
        <f t="shared" si="53"/>
        <v>56000</v>
      </c>
      <c r="BV15" s="1014">
        <f t="shared" si="54"/>
        <v>0</v>
      </c>
      <c r="BW15" s="1014">
        <f t="shared" si="55"/>
        <v>0</v>
      </c>
      <c r="BX15" s="1014">
        <f t="shared" si="56"/>
        <v>21000</v>
      </c>
      <c r="BY15" s="1014">
        <f t="shared" si="57"/>
        <v>0</v>
      </c>
      <c r="BZ15" s="1014">
        <f t="shared" si="58"/>
        <v>0</v>
      </c>
      <c r="CA15" s="1014">
        <f t="shared" si="59"/>
        <v>0</v>
      </c>
      <c r="CB15" s="1014">
        <f t="shared" si="60"/>
        <v>0</v>
      </c>
      <c r="CC15" s="1014">
        <f t="shared" si="61"/>
        <v>0</v>
      </c>
      <c r="CD15" s="1015">
        <f t="shared" si="62"/>
        <v>0</v>
      </c>
      <c r="CE15" s="1014">
        <f t="shared" si="63"/>
        <v>0</v>
      </c>
      <c r="CF15" s="1025">
        <f t="shared" si="64"/>
        <v>77000</v>
      </c>
      <c r="CG15" s="1014">
        <f t="shared" si="65"/>
        <v>0</v>
      </c>
      <c r="CH15" s="1014">
        <f t="shared" si="66"/>
        <v>124092.8</v>
      </c>
      <c r="CI15" s="1014">
        <f t="shared" si="67"/>
        <v>0</v>
      </c>
      <c r="CJ15" s="1014">
        <f t="shared" si="68"/>
        <v>0</v>
      </c>
      <c r="CK15" s="1014">
        <f t="shared" si="69"/>
        <v>0</v>
      </c>
      <c r="CL15" s="1014">
        <f t="shared" si="70"/>
        <v>0</v>
      </c>
      <c r="CM15" s="1014">
        <f t="shared" si="71"/>
        <v>0</v>
      </c>
      <c r="CN15" s="1015">
        <f t="shared" si="72"/>
        <v>0</v>
      </c>
      <c r="CO15" s="1014">
        <f t="shared" si="73"/>
        <v>0</v>
      </c>
      <c r="CP15" s="1025">
        <f t="shared" si="74"/>
        <v>124092.8</v>
      </c>
      <c r="CQ15" s="1014">
        <f t="shared" si="75"/>
        <v>0</v>
      </c>
      <c r="CR15" s="1014">
        <f t="shared" si="76"/>
        <v>0</v>
      </c>
      <c r="CS15" s="1014">
        <f t="shared" si="77"/>
        <v>0</v>
      </c>
      <c r="CT15" s="1014">
        <f t="shared" si="78"/>
        <v>0</v>
      </c>
      <c r="CU15" s="1015">
        <f t="shared" si="79"/>
        <v>0</v>
      </c>
      <c r="CV15" s="1030">
        <f t="shared" si="80"/>
        <v>0</v>
      </c>
      <c r="CW15" s="1014">
        <f t="shared" si="81"/>
        <v>0</v>
      </c>
      <c r="CX15" s="1014">
        <f t="shared" si="82"/>
        <v>0</v>
      </c>
      <c r="CY15" s="1014">
        <f t="shared" si="83"/>
        <v>0</v>
      </c>
      <c r="CZ15" s="1014">
        <f t="shared" si="84"/>
        <v>0</v>
      </c>
      <c r="DA15" s="1014">
        <f t="shared" si="85"/>
        <v>0</v>
      </c>
      <c r="DB15" s="1014">
        <f t="shared" si="86"/>
        <v>0</v>
      </c>
      <c r="DC15" s="1014">
        <f t="shared" si="87"/>
        <v>0</v>
      </c>
      <c r="DD15" s="1014">
        <f t="shared" si="88"/>
        <v>0</v>
      </c>
      <c r="DE15" s="1015">
        <f t="shared" si="89"/>
        <v>0</v>
      </c>
      <c r="DF15" s="1014">
        <f t="shared" si="90"/>
        <v>0</v>
      </c>
      <c r="DG15" s="1014">
        <f t="shared" si="91"/>
        <v>0</v>
      </c>
      <c r="DH15" s="1012">
        <f t="shared" ref="DH15:DH46" si="240">SUM(CW15:DG15)</f>
        <v>0</v>
      </c>
      <c r="DI15" s="1014">
        <f t="shared" si="93"/>
        <v>0</v>
      </c>
      <c r="DJ15" s="1014">
        <f t="shared" si="94"/>
        <v>0</v>
      </c>
      <c r="DK15" s="1014">
        <f t="shared" si="95"/>
        <v>0</v>
      </c>
      <c r="DL15" s="1014">
        <f t="shared" si="96"/>
        <v>0</v>
      </c>
      <c r="DM15" s="1014">
        <f t="shared" si="97"/>
        <v>0</v>
      </c>
      <c r="DN15" s="1014">
        <f t="shared" si="98"/>
        <v>0</v>
      </c>
      <c r="DO15" s="1014">
        <f t="shared" si="99"/>
        <v>0</v>
      </c>
      <c r="DP15" s="1014">
        <f t="shared" si="100"/>
        <v>0</v>
      </c>
      <c r="DQ15" s="1020">
        <f t="shared" si="101"/>
        <v>9449.1299999999992</v>
      </c>
      <c r="DR15" s="1014">
        <f t="shared" si="102"/>
        <v>0</v>
      </c>
      <c r="DS15" s="1014">
        <f t="shared" si="103"/>
        <v>0</v>
      </c>
      <c r="DT15" s="1025">
        <f t="shared" ref="DT15:DT46" si="241">SUM(DI15:DS15)</f>
        <v>9449.1299999999992</v>
      </c>
    </row>
    <row r="16" spans="1:140" x14ac:dyDescent="0.2">
      <c r="A16" s="908" t="s">
        <v>37</v>
      </c>
      <c r="B16" s="908">
        <v>2014</v>
      </c>
      <c r="C16" s="910">
        <f t="shared" si="228"/>
        <v>400000</v>
      </c>
      <c r="D16" s="910">
        <f t="shared" si="229"/>
        <v>0</v>
      </c>
      <c r="E16" s="910">
        <f t="shared" si="230"/>
        <v>499398</v>
      </c>
      <c r="F16" s="910">
        <f t="shared" si="3"/>
        <v>341529.25</v>
      </c>
      <c r="G16" s="910">
        <f t="shared" si="231"/>
        <v>0</v>
      </c>
      <c r="H16" s="910">
        <f t="shared" si="232"/>
        <v>0</v>
      </c>
      <c r="I16" s="910">
        <f t="shared" si="233"/>
        <v>0</v>
      </c>
      <c r="J16" s="910">
        <f t="shared" si="7"/>
        <v>0</v>
      </c>
      <c r="K16" s="910">
        <f t="shared" si="8"/>
        <v>20808.98</v>
      </c>
      <c r="L16" s="910">
        <f t="shared" si="9"/>
        <v>0</v>
      </c>
      <c r="M16" s="910">
        <f t="shared" si="234"/>
        <v>25600</v>
      </c>
      <c r="N16" s="910">
        <f t="shared" si="235"/>
        <v>0</v>
      </c>
      <c r="O16" s="910">
        <f t="shared" si="236"/>
        <v>24360.32</v>
      </c>
      <c r="P16" s="910">
        <f t="shared" si="13"/>
        <v>0</v>
      </c>
      <c r="Q16" s="910">
        <f t="shared" si="237"/>
        <v>0</v>
      </c>
      <c r="R16" s="910">
        <f t="shared" si="238"/>
        <v>0</v>
      </c>
      <c r="S16" s="910">
        <f t="shared" si="239"/>
        <v>1311696.55</v>
      </c>
      <c r="T16" s="1037">
        <f t="shared" si="17"/>
        <v>89114.829999999842</v>
      </c>
      <c r="U16" s="1034">
        <f t="shared" si="117"/>
        <v>0</v>
      </c>
      <c r="V16" s="1034">
        <f t="shared" si="118"/>
        <v>0</v>
      </c>
      <c r="W16" s="1034">
        <f t="shared" si="119"/>
        <v>0</v>
      </c>
      <c r="X16" s="1034">
        <f t="shared" si="120"/>
        <v>0</v>
      </c>
      <c r="Y16" s="1034">
        <f t="shared" si="121"/>
        <v>107720</v>
      </c>
      <c r="Z16" s="1034">
        <f t="shared" si="122"/>
        <v>328588.40000000002</v>
      </c>
      <c r="AA16" s="1034">
        <f t="shared" si="123"/>
        <v>589245.30000000005</v>
      </c>
      <c r="AB16" s="1034">
        <f t="shared" si="124"/>
        <v>734720.04</v>
      </c>
      <c r="AC16" s="1034">
        <f t="shared" si="125"/>
        <v>1098341.8</v>
      </c>
      <c r="AD16" s="1034">
        <f t="shared" si="126"/>
        <v>1198221.4000000001</v>
      </c>
      <c r="AE16" s="1034">
        <f t="shared" si="127"/>
        <v>1198221.4000000001</v>
      </c>
      <c r="AF16" s="1034">
        <f t="shared" si="128"/>
        <v>1198221.4000000001</v>
      </c>
      <c r="AG16" s="1034">
        <f t="shared" si="129"/>
        <v>1222581.7200000002</v>
      </c>
      <c r="AH16" s="1041">
        <f t="shared" si="130"/>
        <v>0.93206139788962639</v>
      </c>
      <c r="AI16" s="1014">
        <f t="shared" si="18"/>
        <v>0</v>
      </c>
      <c r="AJ16" s="1025">
        <f t="shared" si="131"/>
        <v>0</v>
      </c>
      <c r="AK16" s="1014">
        <f t="shared" si="19"/>
        <v>0</v>
      </c>
      <c r="AL16" s="1025">
        <f t="shared" si="132"/>
        <v>0</v>
      </c>
      <c r="AM16" s="1014">
        <f t="shared" si="20"/>
        <v>0</v>
      </c>
      <c r="AN16" s="1025">
        <f t="shared" si="133"/>
        <v>0</v>
      </c>
      <c r="AO16" s="1014">
        <f t="shared" si="21"/>
        <v>0</v>
      </c>
      <c r="AP16" s="1014">
        <f t="shared" si="22"/>
        <v>0</v>
      </c>
      <c r="AQ16" s="1014">
        <f t="shared" si="23"/>
        <v>0</v>
      </c>
      <c r="AR16" s="1015">
        <f t="shared" si="24"/>
        <v>0</v>
      </c>
      <c r="AS16" s="1025">
        <f t="shared" si="25"/>
        <v>0</v>
      </c>
      <c r="AT16" s="1014">
        <f t="shared" si="26"/>
        <v>94920</v>
      </c>
      <c r="AU16" s="1014">
        <f t="shared" si="27"/>
        <v>0</v>
      </c>
      <c r="AV16" s="1014">
        <f t="shared" si="28"/>
        <v>0</v>
      </c>
      <c r="AW16" s="1014">
        <f t="shared" si="29"/>
        <v>0</v>
      </c>
      <c r="AX16" s="1014">
        <f t="shared" si="30"/>
        <v>12800</v>
      </c>
      <c r="AY16" s="1014">
        <f t="shared" si="31"/>
        <v>0</v>
      </c>
      <c r="AZ16" s="1025">
        <f t="shared" si="32"/>
        <v>107720</v>
      </c>
      <c r="BA16" s="1014">
        <f t="shared" si="33"/>
        <v>71049</v>
      </c>
      <c r="BB16" s="1014">
        <f t="shared" si="34"/>
        <v>149819.4</v>
      </c>
      <c r="BC16" s="1014">
        <f t="shared" si="35"/>
        <v>0</v>
      </c>
      <c r="BD16" s="1014">
        <f t="shared" si="36"/>
        <v>0</v>
      </c>
      <c r="BE16" s="1014">
        <f t="shared" si="37"/>
        <v>0</v>
      </c>
      <c r="BF16" s="1014">
        <f t="shared" si="38"/>
        <v>0</v>
      </c>
      <c r="BG16" s="1025">
        <f t="shared" si="39"/>
        <v>220868.4</v>
      </c>
      <c r="BH16" s="1014">
        <f t="shared" si="40"/>
        <v>45126.38</v>
      </c>
      <c r="BI16" s="1014">
        <f t="shared" si="41"/>
        <v>215530.52000000002</v>
      </c>
      <c r="BJ16" s="1014">
        <f t="shared" si="42"/>
        <v>0</v>
      </c>
      <c r="BK16" s="1014">
        <f t="shared" si="43"/>
        <v>0</v>
      </c>
      <c r="BL16" s="1014">
        <f t="shared" si="44"/>
        <v>0</v>
      </c>
      <c r="BM16" s="1014">
        <f t="shared" si="45"/>
        <v>0</v>
      </c>
      <c r="BN16" s="1025">
        <f t="shared" si="46"/>
        <v>260656.90000000002</v>
      </c>
      <c r="BO16" s="1014">
        <f t="shared" si="47"/>
        <v>103626.26</v>
      </c>
      <c r="BP16" s="1014">
        <f t="shared" si="48"/>
        <v>34168.479999999996</v>
      </c>
      <c r="BQ16" s="1014">
        <f t="shared" si="49"/>
        <v>0</v>
      </c>
      <c r="BR16" s="1014">
        <f t="shared" si="50"/>
        <v>0</v>
      </c>
      <c r="BS16" s="1014">
        <f t="shared" si="51"/>
        <v>7680</v>
      </c>
      <c r="BT16" s="1025">
        <f t="shared" si="52"/>
        <v>145474.74</v>
      </c>
      <c r="BU16" s="1014">
        <f t="shared" si="53"/>
        <v>85278.36</v>
      </c>
      <c r="BV16" s="1014">
        <f t="shared" si="54"/>
        <v>0</v>
      </c>
      <c r="BW16" s="1014">
        <f t="shared" si="55"/>
        <v>273223.40000000002</v>
      </c>
      <c r="BX16" s="1014">
        <f t="shared" si="56"/>
        <v>0</v>
      </c>
      <c r="BY16" s="1014">
        <f t="shared" si="57"/>
        <v>0</v>
      </c>
      <c r="BZ16" s="1014">
        <f t="shared" si="58"/>
        <v>0</v>
      </c>
      <c r="CA16" s="1014">
        <f t="shared" si="59"/>
        <v>0</v>
      </c>
      <c r="CB16" s="1014">
        <f t="shared" si="60"/>
        <v>5120</v>
      </c>
      <c r="CC16" s="1014">
        <f t="shared" si="61"/>
        <v>0</v>
      </c>
      <c r="CD16" s="1015">
        <f t="shared" si="62"/>
        <v>0</v>
      </c>
      <c r="CE16" s="1014">
        <f t="shared" si="63"/>
        <v>0</v>
      </c>
      <c r="CF16" s="1025">
        <f t="shared" si="64"/>
        <v>363621.76</v>
      </c>
      <c r="CG16" s="1014">
        <f t="shared" si="65"/>
        <v>0</v>
      </c>
      <c r="CH16" s="1014">
        <f t="shared" si="66"/>
        <v>99879.6</v>
      </c>
      <c r="CI16" s="1014">
        <f t="shared" si="67"/>
        <v>0</v>
      </c>
      <c r="CJ16" s="1014">
        <f t="shared" si="68"/>
        <v>0</v>
      </c>
      <c r="CK16" s="1014">
        <f t="shared" si="69"/>
        <v>0</v>
      </c>
      <c r="CL16" s="1014">
        <f t="shared" si="70"/>
        <v>0</v>
      </c>
      <c r="CM16" s="1014">
        <f t="shared" si="71"/>
        <v>0</v>
      </c>
      <c r="CN16" s="1015">
        <f t="shared" si="72"/>
        <v>0</v>
      </c>
      <c r="CO16" s="1014">
        <f t="shared" si="73"/>
        <v>0</v>
      </c>
      <c r="CP16" s="1025">
        <f t="shared" si="74"/>
        <v>99879.6</v>
      </c>
      <c r="CQ16" s="1014">
        <f t="shared" si="75"/>
        <v>0</v>
      </c>
      <c r="CR16" s="1014">
        <f t="shared" si="76"/>
        <v>0</v>
      </c>
      <c r="CS16" s="1014">
        <f t="shared" si="77"/>
        <v>0</v>
      </c>
      <c r="CT16" s="1014">
        <f t="shared" si="78"/>
        <v>0</v>
      </c>
      <c r="CU16" s="1015">
        <f t="shared" si="79"/>
        <v>0</v>
      </c>
      <c r="CV16" s="1030">
        <f t="shared" si="80"/>
        <v>0</v>
      </c>
      <c r="CW16" s="1014">
        <f t="shared" si="81"/>
        <v>0</v>
      </c>
      <c r="CX16" s="1014">
        <f t="shared" si="82"/>
        <v>0</v>
      </c>
      <c r="CY16" s="1014">
        <f t="shared" si="83"/>
        <v>0</v>
      </c>
      <c r="CZ16" s="1014">
        <f t="shared" si="84"/>
        <v>0</v>
      </c>
      <c r="DA16" s="1014">
        <f t="shared" si="85"/>
        <v>0</v>
      </c>
      <c r="DB16" s="1014">
        <f t="shared" si="86"/>
        <v>0</v>
      </c>
      <c r="DC16" s="1014">
        <f t="shared" si="87"/>
        <v>0</v>
      </c>
      <c r="DD16" s="1014">
        <f t="shared" si="88"/>
        <v>0</v>
      </c>
      <c r="DE16" s="1015">
        <f t="shared" si="89"/>
        <v>0</v>
      </c>
      <c r="DF16" s="1014">
        <f t="shared" si="90"/>
        <v>0</v>
      </c>
      <c r="DG16" s="1014">
        <f t="shared" si="91"/>
        <v>0</v>
      </c>
      <c r="DH16" s="1012">
        <f t="shared" si="240"/>
        <v>0</v>
      </c>
      <c r="DI16" s="1014">
        <f t="shared" si="93"/>
        <v>0</v>
      </c>
      <c r="DJ16" s="1014">
        <f t="shared" si="94"/>
        <v>0</v>
      </c>
      <c r="DK16" s="1014">
        <f t="shared" si="95"/>
        <v>0</v>
      </c>
      <c r="DL16" s="1014">
        <f t="shared" si="96"/>
        <v>0</v>
      </c>
      <c r="DM16" s="1014">
        <f t="shared" si="97"/>
        <v>0</v>
      </c>
      <c r="DN16" s="1014">
        <f t="shared" si="98"/>
        <v>0</v>
      </c>
      <c r="DO16" s="1014">
        <f t="shared" si="99"/>
        <v>0</v>
      </c>
      <c r="DP16" s="1014">
        <f t="shared" si="100"/>
        <v>0</v>
      </c>
      <c r="DQ16" s="1020">
        <f t="shared" si="101"/>
        <v>24360.32</v>
      </c>
      <c r="DR16" s="1014">
        <f t="shared" si="102"/>
        <v>0</v>
      </c>
      <c r="DS16" s="1014">
        <f t="shared" si="103"/>
        <v>0</v>
      </c>
      <c r="DT16" s="1025">
        <f t="shared" si="241"/>
        <v>24360.32</v>
      </c>
    </row>
    <row r="17" spans="1:124" x14ac:dyDescent="0.2">
      <c r="A17" s="908" t="s">
        <v>66</v>
      </c>
      <c r="B17" s="908">
        <v>2014</v>
      </c>
      <c r="C17" s="910">
        <f t="shared" si="228"/>
        <v>0</v>
      </c>
      <c r="D17" s="910">
        <f t="shared" si="229"/>
        <v>0</v>
      </c>
      <c r="E17" s="910">
        <f t="shared" si="230"/>
        <v>1</v>
      </c>
      <c r="F17" s="910">
        <f t="shared" si="3"/>
        <v>0</v>
      </c>
      <c r="G17" s="910">
        <f t="shared" si="231"/>
        <v>0</v>
      </c>
      <c r="H17" s="910">
        <f t="shared" si="232"/>
        <v>0</v>
      </c>
      <c r="I17" s="910">
        <f t="shared" si="233"/>
        <v>0</v>
      </c>
      <c r="J17" s="910">
        <f t="shared" si="7"/>
        <v>0</v>
      </c>
      <c r="K17" s="910">
        <f t="shared" si="8"/>
        <v>0</v>
      </c>
      <c r="L17" s="910">
        <f t="shared" si="9"/>
        <v>0</v>
      </c>
      <c r="M17" s="910">
        <f t="shared" si="234"/>
        <v>0</v>
      </c>
      <c r="N17" s="910">
        <f t="shared" si="235"/>
        <v>0</v>
      </c>
      <c r="O17" s="910">
        <f t="shared" si="236"/>
        <v>0</v>
      </c>
      <c r="P17" s="910">
        <f t="shared" si="13"/>
        <v>0</v>
      </c>
      <c r="Q17" s="910">
        <f t="shared" si="237"/>
        <v>0</v>
      </c>
      <c r="R17" s="910">
        <f t="shared" si="238"/>
        <v>0</v>
      </c>
      <c r="S17" s="910">
        <f t="shared" si="239"/>
        <v>1</v>
      </c>
      <c r="T17" s="1037">
        <f t="shared" si="17"/>
        <v>1</v>
      </c>
      <c r="U17" s="1034">
        <f t="shared" si="117"/>
        <v>0</v>
      </c>
      <c r="V17" s="1034">
        <f t="shared" si="118"/>
        <v>0</v>
      </c>
      <c r="W17" s="1034">
        <f t="shared" si="119"/>
        <v>0</v>
      </c>
      <c r="X17" s="1034">
        <f t="shared" si="120"/>
        <v>0</v>
      </c>
      <c r="Y17" s="1034">
        <f t="shared" si="121"/>
        <v>0</v>
      </c>
      <c r="Z17" s="1034">
        <f t="shared" si="122"/>
        <v>0</v>
      </c>
      <c r="AA17" s="1034">
        <f t="shared" si="123"/>
        <v>0</v>
      </c>
      <c r="AB17" s="1034">
        <f t="shared" si="124"/>
        <v>0</v>
      </c>
      <c r="AC17" s="1034">
        <f t="shared" si="125"/>
        <v>0</v>
      </c>
      <c r="AD17" s="1034">
        <f t="shared" si="126"/>
        <v>0</v>
      </c>
      <c r="AE17" s="1034">
        <f t="shared" si="127"/>
        <v>0</v>
      </c>
      <c r="AF17" s="1034">
        <f t="shared" si="128"/>
        <v>0</v>
      </c>
      <c r="AG17" s="1034">
        <f t="shared" si="129"/>
        <v>0</v>
      </c>
      <c r="AH17" s="1041" t="str">
        <f t="shared" si="130"/>
        <v>-</v>
      </c>
      <c r="AI17" s="1014">
        <f t="shared" si="18"/>
        <v>0</v>
      </c>
      <c r="AJ17" s="1025">
        <f t="shared" si="131"/>
        <v>0</v>
      </c>
      <c r="AK17" s="1014">
        <f t="shared" si="19"/>
        <v>0</v>
      </c>
      <c r="AL17" s="1025">
        <f t="shared" si="132"/>
        <v>0</v>
      </c>
      <c r="AM17" s="1014">
        <f t="shared" si="20"/>
        <v>0</v>
      </c>
      <c r="AN17" s="1025">
        <f t="shared" si="133"/>
        <v>0</v>
      </c>
      <c r="AO17" s="1014">
        <f t="shared" si="21"/>
        <v>0</v>
      </c>
      <c r="AP17" s="1014">
        <f t="shared" si="22"/>
        <v>0</v>
      </c>
      <c r="AQ17" s="1014">
        <f t="shared" si="23"/>
        <v>0</v>
      </c>
      <c r="AR17" s="1015">
        <f t="shared" si="24"/>
        <v>0</v>
      </c>
      <c r="AS17" s="1025">
        <f t="shared" si="25"/>
        <v>0</v>
      </c>
      <c r="AT17" s="1014">
        <f t="shared" si="26"/>
        <v>0</v>
      </c>
      <c r="AU17" s="1014">
        <f t="shared" si="27"/>
        <v>0</v>
      </c>
      <c r="AV17" s="1014">
        <f t="shared" si="28"/>
        <v>0</v>
      </c>
      <c r="AW17" s="1014">
        <f t="shared" si="29"/>
        <v>0</v>
      </c>
      <c r="AX17" s="1014">
        <f t="shared" si="30"/>
        <v>0</v>
      </c>
      <c r="AY17" s="1014">
        <f t="shared" si="31"/>
        <v>0</v>
      </c>
      <c r="AZ17" s="1025">
        <f t="shared" si="32"/>
        <v>0</v>
      </c>
      <c r="BA17" s="1014">
        <f t="shared" si="33"/>
        <v>0</v>
      </c>
      <c r="BB17" s="1014">
        <f t="shared" si="34"/>
        <v>0</v>
      </c>
      <c r="BC17" s="1014">
        <f t="shared" si="35"/>
        <v>0</v>
      </c>
      <c r="BD17" s="1014">
        <f t="shared" si="36"/>
        <v>0</v>
      </c>
      <c r="BE17" s="1014">
        <f t="shared" si="37"/>
        <v>0</v>
      </c>
      <c r="BF17" s="1014">
        <f t="shared" si="38"/>
        <v>0</v>
      </c>
      <c r="BG17" s="1025">
        <f t="shared" si="39"/>
        <v>0</v>
      </c>
      <c r="BH17" s="1014">
        <f t="shared" si="40"/>
        <v>0</v>
      </c>
      <c r="BI17" s="1014">
        <f t="shared" si="41"/>
        <v>0</v>
      </c>
      <c r="BJ17" s="1014">
        <f t="shared" si="42"/>
        <v>0</v>
      </c>
      <c r="BK17" s="1014">
        <f t="shared" si="43"/>
        <v>0</v>
      </c>
      <c r="BL17" s="1014">
        <f t="shared" si="44"/>
        <v>0</v>
      </c>
      <c r="BM17" s="1014">
        <f t="shared" si="45"/>
        <v>0</v>
      </c>
      <c r="BN17" s="1025">
        <f t="shared" si="46"/>
        <v>0</v>
      </c>
      <c r="BO17" s="1014">
        <f t="shared" si="47"/>
        <v>0</v>
      </c>
      <c r="BP17" s="1014">
        <f t="shared" si="48"/>
        <v>0</v>
      </c>
      <c r="BQ17" s="1014">
        <f t="shared" si="49"/>
        <v>0</v>
      </c>
      <c r="BR17" s="1014">
        <f t="shared" si="50"/>
        <v>0</v>
      </c>
      <c r="BS17" s="1014">
        <f t="shared" si="51"/>
        <v>0</v>
      </c>
      <c r="BT17" s="1025">
        <f t="shared" si="52"/>
        <v>0</v>
      </c>
      <c r="BU17" s="1014">
        <f t="shared" si="53"/>
        <v>0</v>
      </c>
      <c r="BV17" s="1014">
        <f t="shared" si="54"/>
        <v>0</v>
      </c>
      <c r="BW17" s="1014">
        <f t="shared" si="55"/>
        <v>0</v>
      </c>
      <c r="BX17" s="1014">
        <f t="shared" si="56"/>
        <v>0</v>
      </c>
      <c r="BY17" s="1014">
        <f t="shared" si="57"/>
        <v>0</v>
      </c>
      <c r="BZ17" s="1014">
        <f t="shared" si="58"/>
        <v>0</v>
      </c>
      <c r="CA17" s="1014">
        <f t="shared" si="59"/>
        <v>0</v>
      </c>
      <c r="CB17" s="1014">
        <f t="shared" si="60"/>
        <v>0</v>
      </c>
      <c r="CC17" s="1014">
        <f t="shared" si="61"/>
        <v>0</v>
      </c>
      <c r="CD17" s="1015">
        <f t="shared" si="62"/>
        <v>0</v>
      </c>
      <c r="CE17" s="1014">
        <f t="shared" si="63"/>
        <v>0</v>
      </c>
      <c r="CF17" s="1025">
        <f t="shared" si="64"/>
        <v>0</v>
      </c>
      <c r="CG17" s="1014">
        <f t="shared" si="65"/>
        <v>0</v>
      </c>
      <c r="CH17" s="1014">
        <f t="shared" si="66"/>
        <v>0</v>
      </c>
      <c r="CI17" s="1014">
        <f t="shared" si="67"/>
        <v>0</v>
      </c>
      <c r="CJ17" s="1014">
        <f t="shared" si="68"/>
        <v>0</v>
      </c>
      <c r="CK17" s="1014">
        <f t="shared" si="69"/>
        <v>0</v>
      </c>
      <c r="CL17" s="1014">
        <f t="shared" si="70"/>
        <v>0</v>
      </c>
      <c r="CM17" s="1014">
        <f t="shared" si="71"/>
        <v>0</v>
      </c>
      <c r="CN17" s="1015">
        <f t="shared" si="72"/>
        <v>0</v>
      </c>
      <c r="CO17" s="1014">
        <f t="shared" si="73"/>
        <v>0</v>
      </c>
      <c r="CP17" s="1025">
        <f t="shared" si="74"/>
        <v>0</v>
      </c>
      <c r="CQ17" s="1014">
        <f t="shared" si="75"/>
        <v>0</v>
      </c>
      <c r="CR17" s="1014">
        <f t="shared" si="76"/>
        <v>0</v>
      </c>
      <c r="CS17" s="1014">
        <f t="shared" si="77"/>
        <v>0</v>
      </c>
      <c r="CT17" s="1014">
        <f t="shared" si="78"/>
        <v>0</v>
      </c>
      <c r="CU17" s="1015">
        <f t="shared" si="79"/>
        <v>0</v>
      </c>
      <c r="CV17" s="1030">
        <f t="shared" si="80"/>
        <v>0</v>
      </c>
      <c r="CW17" s="1014">
        <f t="shared" si="81"/>
        <v>0</v>
      </c>
      <c r="CX17" s="1014">
        <f t="shared" si="82"/>
        <v>0</v>
      </c>
      <c r="CY17" s="1014">
        <f t="shared" si="83"/>
        <v>0</v>
      </c>
      <c r="CZ17" s="1014">
        <f t="shared" si="84"/>
        <v>0</v>
      </c>
      <c r="DA17" s="1014">
        <f t="shared" si="85"/>
        <v>0</v>
      </c>
      <c r="DB17" s="1014">
        <f t="shared" si="86"/>
        <v>0</v>
      </c>
      <c r="DC17" s="1014">
        <f t="shared" si="87"/>
        <v>0</v>
      </c>
      <c r="DD17" s="1014">
        <f t="shared" si="88"/>
        <v>0</v>
      </c>
      <c r="DE17" s="1015">
        <f t="shared" si="89"/>
        <v>0</v>
      </c>
      <c r="DF17" s="1014">
        <f t="shared" si="90"/>
        <v>0</v>
      </c>
      <c r="DG17" s="1014">
        <f t="shared" si="91"/>
        <v>0</v>
      </c>
      <c r="DH17" s="1012">
        <f t="shared" si="240"/>
        <v>0</v>
      </c>
      <c r="DI17" s="1014">
        <f t="shared" si="93"/>
        <v>0</v>
      </c>
      <c r="DJ17" s="1014">
        <f t="shared" si="94"/>
        <v>0</v>
      </c>
      <c r="DK17" s="1014">
        <f t="shared" si="95"/>
        <v>0</v>
      </c>
      <c r="DL17" s="1014">
        <f t="shared" si="96"/>
        <v>0</v>
      </c>
      <c r="DM17" s="1014">
        <f t="shared" si="97"/>
        <v>0</v>
      </c>
      <c r="DN17" s="1014">
        <f t="shared" si="98"/>
        <v>0</v>
      </c>
      <c r="DO17" s="1014">
        <f t="shared" si="99"/>
        <v>0</v>
      </c>
      <c r="DP17" s="1014">
        <f t="shared" si="100"/>
        <v>0</v>
      </c>
      <c r="DQ17" s="1020">
        <f t="shared" si="101"/>
        <v>0</v>
      </c>
      <c r="DR17" s="1014">
        <f t="shared" si="102"/>
        <v>0</v>
      </c>
      <c r="DS17" s="1014">
        <f t="shared" si="103"/>
        <v>0</v>
      </c>
      <c r="DT17" s="1025">
        <f t="shared" si="241"/>
        <v>0</v>
      </c>
    </row>
    <row r="18" spans="1:124" x14ac:dyDescent="0.2">
      <c r="A18" s="908" t="s">
        <v>43</v>
      </c>
      <c r="B18" s="908">
        <v>2015</v>
      </c>
      <c r="C18" s="910">
        <f t="shared" si="228"/>
        <v>0</v>
      </c>
      <c r="D18" s="910">
        <f t="shared" si="229"/>
        <v>0</v>
      </c>
      <c r="E18" s="910">
        <f t="shared" si="230"/>
        <v>995000</v>
      </c>
      <c r="F18" s="910">
        <f t="shared" si="3"/>
        <v>0</v>
      </c>
      <c r="G18" s="910">
        <f t="shared" si="231"/>
        <v>0</v>
      </c>
      <c r="H18" s="910">
        <f t="shared" si="232"/>
        <v>0</v>
      </c>
      <c r="I18" s="910">
        <f t="shared" si="233"/>
        <v>0</v>
      </c>
      <c r="J18" s="910">
        <f t="shared" si="7"/>
        <v>0</v>
      </c>
      <c r="K18" s="910">
        <f t="shared" si="8"/>
        <v>0</v>
      </c>
      <c r="L18" s="910">
        <f t="shared" si="9"/>
        <v>0</v>
      </c>
      <c r="M18" s="910">
        <f t="shared" si="234"/>
        <v>0</v>
      </c>
      <c r="N18" s="910">
        <f t="shared" si="235"/>
        <v>0</v>
      </c>
      <c r="O18" s="910">
        <f t="shared" si="236"/>
        <v>51875.6</v>
      </c>
      <c r="P18" s="910">
        <f t="shared" si="13"/>
        <v>0</v>
      </c>
      <c r="Q18" s="910">
        <f t="shared" si="237"/>
        <v>0</v>
      </c>
      <c r="R18" s="910">
        <f t="shared" si="238"/>
        <v>0</v>
      </c>
      <c r="S18" s="910">
        <f t="shared" si="239"/>
        <v>1046875.6</v>
      </c>
      <c r="T18" s="1037">
        <f t="shared" si="17"/>
        <v>0</v>
      </c>
      <c r="U18" s="1034">
        <f t="shared" si="117"/>
        <v>0</v>
      </c>
      <c r="V18" s="1034">
        <f t="shared" si="118"/>
        <v>0</v>
      </c>
      <c r="W18" s="1034">
        <f t="shared" si="119"/>
        <v>0</v>
      </c>
      <c r="X18" s="1034">
        <f t="shared" si="120"/>
        <v>0</v>
      </c>
      <c r="Y18" s="1034">
        <f t="shared" si="121"/>
        <v>0</v>
      </c>
      <c r="Z18" s="1034">
        <f t="shared" si="122"/>
        <v>0</v>
      </c>
      <c r="AA18" s="1034">
        <f t="shared" si="123"/>
        <v>298500</v>
      </c>
      <c r="AB18" s="1034">
        <f t="shared" si="124"/>
        <v>591627</v>
      </c>
      <c r="AC18" s="1034">
        <f t="shared" si="125"/>
        <v>796000</v>
      </c>
      <c r="AD18" s="1034">
        <f t="shared" si="126"/>
        <v>847875.6</v>
      </c>
      <c r="AE18" s="1034">
        <f t="shared" si="127"/>
        <v>1046875.6</v>
      </c>
      <c r="AF18" s="1034">
        <f t="shared" si="128"/>
        <v>1046875.6</v>
      </c>
      <c r="AG18" s="1034">
        <f t="shared" si="129"/>
        <v>1046875.6</v>
      </c>
      <c r="AH18" s="1041">
        <f t="shared" si="130"/>
        <v>1</v>
      </c>
      <c r="AI18" s="1014">
        <f t="shared" si="18"/>
        <v>0</v>
      </c>
      <c r="AJ18" s="1025">
        <f t="shared" si="131"/>
        <v>0</v>
      </c>
      <c r="AK18" s="1014">
        <f t="shared" si="19"/>
        <v>0</v>
      </c>
      <c r="AL18" s="1025">
        <f t="shared" si="132"/>
        <v>0</v>
      </c>
      <c r="AM18" s="1014">
        <f t="shared" si="20"/>
        <v>0</v>
      </c>
      <c r="AN18" s="1025">
        <f t="shared" si="133"/>
        <v>0</v>
      </c>
      <c r="AO18" s="1014">
        <f t="shared" si="21"/>
        <v>0</v>
      </c>
      <c r="AP18" s="1014">
        <f t="shared" si="22"/>
        <v>0</v>
      </c>
      <c r="AQ18" s="1014">
        <f t="shared" si="23"/>
        <v>0</v>
      </c>
      <c r="AR18" s="1015">
        <f t="shared" si="24"/>
        <v>0</v>
      </c>
      <c r="AS18" s="1025">
        <f t="shared" si="25"/>
        <v>0</v>
      </c>
      <c r="AT18" s="1014">
        <f t="shared" si="26"/>
        <v>0</v>
      </c>
      <c r="AU18" s="1014">
        <f t="shared" si="27"/>
        <v>0</v>
      </c>
      <c r="AV18" s="1014">
        <f t="shared" si="28"/>
        <v>0</v>
      </c>
      <c r="AW18" s="1014">
        <f t="shared" si="29"/>
        <v>0</v>
      </c>
      <c r="AX18" s="1014">
        <f t="shared" si="30"/>
        <v>0</v>
      </c>
      <c r="AY18" s="1014">
        <f t="shared" si="31"/>
        <v>0</v>
      </c>
      <c r="AZ18" s="1025">
        <f t="shared" si="32"/>
        <v>0</v>
      </c>
      <c r="BA18" s="1014">
        <f t="shared" si="33"/>
        <v>0</v>
      </c>
      <c r="BB18" s="1014">
        <f t="shared" si="34"/>
        <v>0</v>
      </c>
      <c r="BC18" s="1014">
        <f t="shared" si="35"/>
        <v>0</v>
      </c>
      <c r="BD18" s="1014">
        <f t="shared" si="36"/>
        <v>0</v>
      </c>
      <c r="BE18" s="1014">
        <f t="shared" si="37"/>
        <v>0</v>
      </c>
      <c r="BF18" s="1014">
        <f t="shared" si="38"/>
        <v>0</v>
      </c>
      <c r="BG18" s="1025">
        <f t="shared" si="39"/>
        <v>0</v>
      </c>
      <c r="BH18" s="1014">
        <f t="shared" si="40"/>
        <v>0</v>
      </c>
      <c r="BI18" s="1014">
        <f t="shared" si="41"/>
        <v>298500</v>
      </c>
      <c r="BJ18" s="1014">
        <f t="shared" si="42"/>
        <v>0</v>
      </c>
      <c r="BK18" s="1014">
        <f t="shared" si="43"/>
        <v>0</v>
      </c>
      <c r="BL18" s="1014">
        <f t="shared" si="44"/>
        <v>0</v>
      </c>
      <c r="BM18" s="1014">
        <f t="shared" si="45"/>
        <v>0</v>
      </c>
      <c r="BN18" s="1025">
        <f t="shared" si="46"/>
        <v>298500</v>
      </c>
      <c r="BO18" s="1014">
        <f t="shared" si="47"/>
        <v>0</v>
      </c>
      <c r="BP18" s="1014">
        <f t="shared" si="48"/>
        <v>293127</v>
      </c>
      <c r="BQ18" s="1014">
        <f t="shared" si="49"/>
        <v>0</v>
      </c>
      <c r="BR18" s="1014">
        <f t="shared" si="50"/>
        <v>0</v>
      </c>
      <c r="BS18" s="1014">
        <f t="shared" si="51"/>
        <v>0</v>
      </c>
      <c r="BT18" s="1025">
        <f t="shared" si="52"/>
        <v>293127</v>
      </c>
      <c r="BU18" s="1014">
        <f t="shared" si="53"/>
        <v>0</v>
      </c>
      <c r="BV18" s="1014">
        <f t="shared" si="54"/>
        <v>204373</v>
      </c>
      <c r="BW18" s="1014">
        <f t="shared" si="55"/>
        <v>0</v>
      </c>
      <c r="BX18" s="1014">
        <f t="shared" si="56"/>
        <v>0</v>
      </c>
      <c r="BY18" s="1014">
        <f t="shared" si="57"/>
        <v>0</v>
      </c>
      <c r="BZ18" s="1014">
        <f t="shared" si="58"/>
        <v>0</v>
      </c>
      <c r="CA18" s="1014">
        <f t="shared" si="59"/>
        <v>0</v>
      </c>
      <c r="CB18" s="1014">
        <f t="shared" si="60"/>
        <v>0</v>
      </c>
      <c r="CC18" s="1014">
        <f t="shared" si="61"/>
        <v>0</v>
      </c>
      <c r="CD18" s="1015">
        <f t="shared" si="62"/>
        <v>0</v>
      </c>
      <c r="CE18" s="1014">
        <f t="shared" si="63"/>
        <v>0</v>
      </c>
      <c r="CF18" s="1025">
        <f t="shared" si="64"/>
        <v>204373</v>
      </c>
      <c r="CG18" s="1014">
        <f t="shared" si="65"/>
        <v>0</v>
      </c>
      <c r="CH18" s="1014">
        <f t="shared" si="66"/>
        <v>0</v>
      </c>
      <c r="CI18" s="1014">
        <f t="shared" si="67"/>
        <v>0</v>
      </c>
      <c r="CJ18" s="1014">
        <f t="shared" si="68"/>
        <v>0</v>
      </c>
      <c r="CK18" s="1014">
        <f t="shared" si="69"/>
        <v>0</v>
      </c>
      <c r="CL18" s="1014">
        <f t="shared" si="70"/>
        <v>0</v>
      </c>
      <c r="CM18" s="1014">
        <f t="shared" si="71"/>
        <v>0</v>
      </c>
      <c r="CN18" s="1015">
        <f t="shared" si="72"/>
        <v>51875.6</v>
      </c>
      <c r="CO18" s="1014">
        <f t="shared" si="73"/>
        <v>0</v>
      </c>
      <c r="CP18" s="1025">
        <f t="shared" si="74"/>
        <v>51875.6</v>
      </c>
      <c r="CQ18" s="1014">
        <f t="shared" si="75"/>
        <v>0</v>
      </c>
      <c r="CR18" s="1014">
        <f t="shared" si="76"/>
        <v>199000</v>
      </c>
      <c r="CS18" s="1014">
        <f t="shared" si="77"/>
        <v>0</v>
      </c>
      <c r="CT18" s="1014">
        <f t="shared" si="78"/>
        <v>0</v>
      </c>
      <c r="CU18" s="1015">
        <f t="shared" si="79"/>
        <v>0</v>
      </c>
      <c r="CV18" s="1030">
        <f t="shared" si="80"/>
        <v>199000</v>
      </c>
      <c r="CW18" s="1014">
        <f t="shared" si="81"/>
        <v>0</v>
      </c>
      <c r="CX18" s="1014">
        <f t="shared" si="82"/>
        <v>0</v>
      </c>
      <c r="CY18" s="1014">
        <f t="shared" si="83"/>
        <v>0</v>
      </c>
      <c r="CZ18" s="1014">
        <f t="shared" si="84"/>
        <v>0</v>
      </c>
      <c r="DA18" s="1014">
        <f t="shared" si="85"/>
        <v>0</v>
      </c>
      <c r="DB18" s="1014">
        <f t="shared" si="86"/>
        <v>0</v>
      </c>
      <c r="DC18" s="1014">
        <f t="shared" si="87"/>
        <v>0</v>
      </c>
      <c r="DD18" s="1014">
        <f t="shared" si="88"/>
        <v>0</v>
      </c>
      <c r="DE18" s="1015">
        <f t="shared" si="89"/>
        <v>0</v>
      </c>
      <c r="DF18" s="1014">
        <f t="shared" si="90"/>
        <v>0</v>
      </c>
      <c r="DG18" s="1014">
        <f t="shared" si="91"/>
        <v>0</v>
      </c>
      <c r="DH18" s="1012">
        <f t="shared" si="240"/>
        <v>0</v>
      </c>
      <c r="DI18" s="1014">
        <f t="shared" si="93"/>
        <v>0</v>
      </c>
      <c r="DJ18" s="1014">
        <f t="shared" si="94"/>
        <v>0</v>
      </c>
      <c r="DK18" s="1014">
        <f t="shared" si="95"/>
        <v>0</v>
      </c>
      <c r="DL18" s="1014">
        <f t="shared" si="96"/>
        <v>0</v>
      </c>
      <c r="DM18" s="1014">
        <f t="shared" si="97"/>
        <v>0</v>
      </c>
      <c r="DN18" s="1014">
        <f t="shared" si="98"/>
        <v>0</v>
      </c>
      <c r="DO18" s="1014">
        <f t="shared" si="99"/>
        <v>0</v>
      </c>
      <c r="DP18" s="1014">
        <f t="shared" si="100"/>
        <v>0</v>
      </c>
      <c r="DQ18" s="1015">
        <f t="shared" si="101"/>
        <v>0</v>
      </c>
      <c r="DR18" s="1014">
        <f t="shared" si="102"/>
        <v>0</v>
      </c>
      <c r="DS18" s="1014">
        <f t="shared" si="103"/>
        <v>0</v>
      </c>
      <c r="DT18" s="1025">
        <f t="shared" si="241"/>
        <v>0</v>
      </c>
    </row>
    <row r="19" spans="1:124" x14ac:dyDescent="0.2">
      <c r="A19" s="908" t="s">
        <v>89</v>
      </c>
      <c r="B19" s="908">
        <v>2015</v>
      </c>
      <c r="C19" s="910">
        <f t="shared" si="228"/>
        <v>0</v>
      </c>
      <c r="D19" s="910">
        <f t="shared" si="229"/>
        <v>0</v>
      </c>
      <c r="E19" s="910">
        <f t="shared" si="230"/>
        <v>165000</v>
      </c>
      <c r="F19" s="910">
        <f t="shared" si="3"/>
        <v>206916.91</v>
      </c>
      <c r="G19" s="910">
        <f t="shared" si="231"/>
        <v>0</v>
      </c>
      <c r="H19" s="910">
        <f t="shared" si="232"/>
        <v>200000</v>
      </c>
      <c r="I19" s="910">
        <f t="shared" si="233"/>
        <v>0</v>
      </c>
      <c r="J19" s="910">
        <f t="shared" si="7"/>
        <v>0</v>
      </c>
      <c r="K19" s="910">
        <f t="shared" si="8"/>
        <v>0</v>
      </c>
      <c r="L19" s="910">
        <f t="shared" si="9"/>
        <v>0</v>
      </c>
      <c r="M19" s="910">
        <f t="shared" si="234"/>
        <v>0</v>
      </c>
      <c r="N19" s="910">
        <f t="shared" si="235"/>
        <v>0</v>
      </c>
      <c r="O19" s="910">
        <f t="shared" si="236"/>
        <v>0</v>
      </c>
      <c r="P19" s="910">
        <f t="shared" si="13"/>
        <v>0</v>
      </c>
      <c r="Q19" s="910">
        <f t="shared" si="237"/>
        <v>0</v>
      </c>
      <c r="R19" s="910">
        <f t="shared" si="238"/>
        <v>0</v>
      </c>
      <c r="S19" s="910">
        <f t="shared" si="239"/>
        <v>571916.91</v>
      </c>
      <c r="T19" s="1037">
        <f t="shared" si="17"/>
        <v>206916.91000000003</v>
      </c>
      <c r="U19" s="1034">
        <f t="shared" si="117"/>
        <v>0</v>
      </c>
      <c r="V19" s="1034">
        <f t="shared" si="118"/>
        <v>0</v>
      </c>
      <c r="W19" s="1034">
        <f t="shared" si="119"/>
        <v>0</v>
      </c>
      <c r="X19" s="1034">
        <f t="shared" si="120"/>
        <v>0</v>
      </c>
      <c r="Y19" s="1034">
        <f t="shared" si="121"/>
        <v>0</v>
      </c>
      <c r="Z19" s="1034">
        <f t="shared" si="122"/>
        <v>0</v>
      </c>
      <c r="AA19" s="1034">
        <f t="shared" si="123"/>
        <v>149500</v>
      </c>
      <c r="AB19" s="1034">
        <f t="shared" si="124"/>
        <v>189545.5</v>
      </c>
      <c r="AC19" s="1034">
        <f t="shared" si="125"/>
        <v>228436</v>
      </c>
      <c r="AD19" s="1034">
        <f t="shared" si="126"/>
        <v>228436</v>
      </c>
      <c r="AE19" s="1034">
        <f t="shared" si="127"/>
        <v>365000</v>
      </c>
      <c r="AF19" s="1034">
        <f t="shared" si="128"/>
        <v>365000</v>
      </c>
      <c r="AG19" s="1034">
        <f t="shared" si="129"/>
        <v>365000</v>
      </c>
      <c r="AH19" s="1041">
        <f t="shared" si="130"/>
        <v>0.63820459513952821</v>
      </c>
      <c r="AI19" s="1014">
        <f t="shared" si="18"/>
        <v>0</v>
      </c>
      <c r="AJ19" s="1025">
        <f t="shared" si="131"/>
        <v>0</v>
      </c>
      <c r="AK19" s="1014">
        <f t="shared" si="19"/>
        <v>0</v>
      </c>
      <c r="AL19" s="1025">
        <f t="shared" si="132"/>
        <v>0</v>
      </c>
      <c r="AM19" s="1014">
        <f t="shared" si="20"/>
        <v>0</v>
      </c>
      <c r="AN19" s="1025">
        <f t="shared" si="133"/>
        <v>0</v>
      </c>
      <c r="AO19" s="1014">
        <f t="shared" si="21"/>
        <v>0</v>
      </c>
      <c r="AP19" s="1014">
        <f t="shared" si="22"/>
        <v>0</v>
      </c>
      <c r="AQ19" s="1014">
        <f t="shared" si="23"/>
        <v>0</v>
      </c>
      <c r="AR19" s="1015">
        <f t="shared" si="24"/>
        <v>0</v>
      </c>
      <c r="AS19" s="1025">
        <f t="shared" si="25"/>
        <v>0</v>
      </c>
      <c r="AT19" s="1014">
        <f t="shared" si="26"/>
        <v>0</v>
      </c>
      <c r="AU19" s="1014">
        <f t="shared" si="27"/>
        <v>0</v>
      </c>
      <c r="AV19" s="1014">
        <f t="shared" si="28"/>
        <v>0</v>
      </c>
      <c r="AW19" s="1014">
        <f t="shared" si="29"/>
        <v>0</v>
      </c>
      <c r="AX19" s="1014">
        <f t="shared" si="30"/>
        <v>0</v>
      </c>
      <c r="AY19" s="1014">
        <f t="shared" si="31"/>
        <v>0</v>
      </c>
      <c r="AZ19" s="1025">
        <f t="shared" si="32"/>
        <v>0</v>
      </c>
      <c r="BA19" s="1014">
        <f t="shared" si="33"/>
        <v>0</v>
      </c>
      <c r="BB19" s="1014">
        <f t="shared" si="34"/>
        <v>0</v>
      </c>
      <c r="BC19" s="1014">
        <f t="shared" si="35"/>
        <v>0</v>
      </c>
      <c r="BD19" s="1014">
        <f t="shared" si="36"/>
        <v>0</v>
      </c>
      <c r="BE19" s="1014">
        <f t="shared" si="37"/>
        <v>0</v>
      </c>
      <c r="BF19" s="1014">
        <f t="shared" si="38"/>
        <v>0</v>
      </c>
      <c r="BG19" s="1025">
        <f t="shared" si="39"/>
        <v>0</v>
      </c>
      <c r="BH19" s="1014">
        <f t="shared" si="40"/>
        <v>0</v>
      </c>
      <c r="BI19" s="1014">
        <f t="shared" si="41"/>
        <v>49500</v>
      </c>
      <c r="BJ19" s="1014">
        <f t="shared" si="42"/>
        <v>0</v>
      </c>
      <c r="BK19" s="1014">
        <f t="shared" si="43"/>
        <v>0</v>
      </c>
      <c r="BL19" s="1014">
        <f t="shared" si="44"/>
        <v>100000</v>
      </c>
      <c r="BM19" s="1014">
        <f t="shared" si="45"/>
        <v>0</v>
      </c>
      <c r="BN19" s="1025">
        <f t="shared" si="46"/>
        <v>149500</v>
      </c>
      <c r="BO19" s="1014">
        <f t="shared" si="47"/>
        <v>0</v>
      </c>
      <c r="BP19" s="1014">
        <f t="shared" si="48"/>
        <v>40045.5</v>
      </c>
      <c r="BQ19" s="1014">
        <f t="shared" si="49"/>
        <v>0</v>
      </c>
      <c r="BR19" s="1014">
        <f t="shared" si="50"/>
        <v>0</v>
      </c>
      <c r="BS19" s="1014">
        <f t="shared" si="51"/>
        <v>0</v>
      </c>
      <c r="BT19" s="1025">
        <f t="shared" si="52"/>
        <v>40045.5</v>
      </c>
      <c r="BU19" s="1014">
        <f t="shared" si="53"/>
        <v>0</v>
      </c>
      <c r="BV19" s="1014">
        <f t="shared" si="54"/>
        <v>38890.5</v>
      </c>
      <c r="BW19" s="1014">
        <f t="shared" si="55"/>
        <v>0</v>
      </c>
      <c r="BX19" s="1014">
        <f t="shared" si="56"/>
        <v>0</v>
      </c>
      <c r="BY19" s="1014">
        <f t="shared" si="57"/>
        <v>0</v>
      </c>
      <c r="BZ19" s="1014">
        <f t="shared" si="58"/>
        <v>0</v>
      </c>
      <c r="CA19" s="1014">
        <f t="shared" si="59"/>
        <v>0</v>
      </c>
      <c r="CB19" s="1014">
        <f t="shared" si="60"/>
        <v>0</v>
      </c>
      <c r="CC19" s="1014">
        <f t="shared" si="61"/>
        <v>0</v>
      </c>
      <c r="CD19" s="1015">
        <f t="shared" si="62"/>
        <v>0</v>
      </c>
      <c r="CE19" s="1014">
        <f t="shared" si="63"/>
        <v>0</v>
      </c>
      <c r="CF19" s="1025">
        <f t="shared" si="64"/>
        <v>38890.5</v>
      </c>
      <c r="CG19" s="1014">
        <f t="shared" si="65"/>
        <v>0</v>
      </c>
      <c r="CH19" s="1014">
        <f t="shared" si="66"/>
        <v>0</v>
      </c>
      <c r="CI19" s="1014">
        <f t="shared" si="67"/>
        <v>0</v>
      </c>
      <c r="CJ19" s="1014">
        <f t="shared" si="68"/>
        <v>0</v>
      </c>
      <c r="CK19" s="1014">
        <f t="shared" si="69"/>
        <v>0</v>
      </c>
      <c r="CL19" s="1014">
        <f t="shared" si="70"/>
        <v>0</v>
      </c>
      <c r="CM19" s="1014">
        <f t="shared" si="71"/>
        <v>0</v>
      </c>
      <c r="CN19" s="1015">
        <f t="shared" si="72"/>
        <v>0</v>
      </c>
      <c r="CO19" s="1014">
        <f t="shared" si="73"/>
        <v>0</v>
      </c>
      <c r="CP19" s="1025">
        <f t="shared" si="74"/>
        <v>0</v>
      </c>
      <c r="CQ19" s="1014">
        <f t="shared" si="75"/>
        <v>0</v>
      </c>
      <c r="CR19" s="1014">
        <f t="shared" si="76"/>
        <v>36564</v>
      </c>
      <c r="CS19" s="1014">
        <f t="shared" si="77"/>
        <v>0</v>
      </c>
      <c r="CT19" s="1014">
        <f t="shared" si="78"/>
        <v>100000</v>
      </c>
      <c r="CU19" s="1015">
        <f t="shared" si="79"/>
        <v>0</v>
      </c>
      <c r="CV19" s="1030">
        <f t="shared" si="80"/>
        <v>136564</v>
      </c>
      <c r="CW19" s="1014">
        <f t="shared" si="81"/>
        <v>0</v>
      </c>
      <c r="CX19" s="1014">
        <f t="shared" si="82"/>
        <v>0</v>
      </c>
      <c r="CY19" s="1014">
        <f t="shared" si="83"/>
        <v>0</v>
      </c>
      <c r="CZ19" s="1014">
        <f t="shared" si="84"/>
        <v>0</v>
      </c>
      <c r="DA19" s="1014">
        <f t="shared" si="85"/>
        <v>0</v>
      </c>
      <c r="DB19" s="1014">
        <f t="shared" si="86"/>
        <v>0</v>
      </c>
      <c r="DC19" s="1014">
        <f t="shared" si="87"/>
        <v>0</v>
      </c>
      <c r="DD19" s="1014">
        <f t="shared" si="88"/>
        <v>0</v>
      </c>
      <c r="DE19" s="1015">
        <f t="shared" si="89"/>
        <v>0</v>
      </c>
      <c r="DF19" s="1014">
        <f t="shared" si="90"/>
        <v>0</v>
      </c>
      <c r="DG19" s="1014">
        <f t="shared" si="91"/>
        <v>0</v>
      </c>
      <c r="DH19" s="1012">
        <f t="shared" si="240"/>
        <v>0</v>
      </c>
      <c r="DI19" s="1014">
        <f t="shared" si="93"/>
        <v>0</v>
      </c>
      <c r="DJ19" s="1014">
        <f t="shared" si="94"/>
        <v>0</v>
      </c>
      <c r="DK19" s="1014">
        <f t="shared" si="95"/>
        <v>0</v>
      </c>
      <c r="DL19" s="1014">
        <f t="shared" si="96"/>
        <v>0</v>
      </c>
      <c r="DM19" s="1014">
        <f t="shared" si="97"/>
        <v>0</v>
      </c>
      <c r="DN19" s="1014">
        <f t="shared" si="98"/>
        <v>0</v>
      </c>
      <c r="DO19" s="1014">
        <f t="shared" si="99"/>
        <v>0</v>
      </c>
      <c r="DP19" s="1014">
        <f t="shared" si="100"/>
        <v>0</v>
      </c>
      <c r="DQ19" s="1020">
        <f t="shared" si="101"/>
        <v>0</v>
      </c>
      <c r="DR19" s="1014">
        <f t="shared" si="102"/>
        <v>0</v>
      </c>
      <c r="DS19" s="1014">
        <f t="shared" si="103"/>
        <v>0</v>
      </c>
      <c r="DT19" s="1025">
        <f t="shared" si="241"/>
        <v>0</v>
      </c>
    </row>
    <row r="20" spans="1:124" x14ac:dyDescent="0.2">
      <c r="A20" s="908" t="s">
        <v>46</v>
      </c>
      <c r="B20" s="908">
        <v>2015</v>
      </c>
      <c r="C20" s="910">
        <f t="shared" si="228"/>
        <v>800000</v>
      </c>
      <c r="D20" s="910">
        <f t="shared" si="229"/>
        <v>0</v>
      </c>
      <c r="E20" s="910">
        <f t="shared" si="230"/>
        <v>663000</v>
      </c>
      <c r="F20" s="910">
        <f t="shared" si="3"/>
        <v>0</v>
      </c>
      <c r="G20" s="910">
        <f t="shared" si="231"/>
        <v>0</v>
      </c>
      <c r="H20" s="910">
        <f t="shared" si="232"/>
        <v>0</v>
      </c>
      <c r="I20" s="910">
        <f t="shared" si="233"/>
        <v>0</v>
      </c>
      <c r="J20" s="910">
        <f t="shared" si="7"/>
        <v>0</v>
      </c>
      <c r="K20" s="910">
        <f t="shared" si="8"/>
        <v>0</v>
      </c>
      <c r="L20" s="910">
        <f t="shared" si="9"/>
        <v>0</v>
      </c>
      <c r="M20" s="910">
        <f t="shared" si="234"/>
        <v>0</v>
      </c>
      <c r="N20" s="910">
        <f t="shared" si="235"/>
        <v>0</v>
      </c>
      <c r="O20" s="910">
        <f t="shared" si="236"/>
        <v>0</v>
      </c>
      <c r="P20" s="910">
        <f t="shared" si="13"/>
        <v>0</v>
      </c>
      <c r="Q20" s="910">
        <f t="shared" si="237"/>
        <v>0</v>
      </c>
      <c r="R20" s="910">
        <f t="shared" si="238"/>
        <v>0</v>
      </c>
      <c r="S20" s="910">
        <f t="shared" si="239"/>
        <v>1463000</v>
      </c>
      <c r="T20" s="1037">
        <f t="shared" si="17"/>
        <v>0</v>
      </c>
      <c r="U20" s="1034">
        <f t="shared" si="117"/>
        <v>0</v>
      </c>
      <c r="V20" s="1034">
        <f t="shared" si="118"/>
        <v>0</v>
      </c>
      <c r="W20" s="1034">
        <f t="shared" si="119"/>
        <v>0</v>
      </c>
      <c r="X20" s="1034">
        <f t="shared" si="120"/>
        <v>0</v>
      </c>
      <c r="Y20" s="1034">
        <f t="shared" si="121"/>
        <v>0</v>
      </c>
      <c r="Z20" s="1034">
        <f t="shared" si="122"/>
        <v>0</v>
      </c>
      <c r="AA20" s="1034">
        <f t="shared" si="123"/>
        <v>293377.5</v>
      </c>
      <c r="AB20" s="1034">
        <f t="shared" si="124"/>
        <v>690157.51</v>
      </c>
      <c r="AC20" s="1034">
        <f t="shared" si="125"/>
        <v>853094.14</v>
      </c>
      <c r="AD20" s="1034">
        <f t="shared" si="126"/>
        <v>853094.14</v>
      </c>
      <c r="AE20" s="1034">
        <f t="shared" si="127"/>
        <v>1463000</v>
      </c>
      <c r="AF20" s="1034">
        <f t="shared" si="128"/>
        <v>1463000</v>
      </c>
      <c r="AG20" s="1034">
        <f t="shared" si="129"/>
        <v>1463000</v>
      </c>
      <c r="AH20" s="1041">
        <f t="shared" si="130"/>
        <v>1</v>
      </c>
      <c r="AI20" s="1014">
        <f t="shared" si="18"/>
        <v>0</v>
      </c>
      <c r="AJ20" s="1025">
        <f t="shared" si="131"/>
        <v>0</v>
      </c>
      <c r="AK20" s="1014">
        <f t="shared" si="19"/>
        <v>0</v>
      </c>
      <c r="AL20" s="1025">
        <f t="shared" si="132"/>
        <v>0</v>
      </c>
      <c r="AM20" s="1014">
        <f t="shared" si="20"/>
        <v>0</v>
      </c>
      <c r="AN20" s="1025">
        <f t="shared" si="133"/>
        <v>0</v>
      </c>
      <c r="AO20" s="1014">
        <f t="shared" si="21"/>
        <v>0</v>
      </c>
      <c r="AP20" s="1014">
        <f t="shared" si="22"/>
        <v>0</v>
      </c>
      <c r="AQ20" s="1014">
        <f t="shared" si="23"/>
        <v>0</v>
      </c>
      <c r="AR20" s="1015">
        <f t="shared" si="24"/>
        <v>0</v>
      </c>
      <c r="AS20" s="1025">
        <f t="shared" si="25"/>
        <v>0</v>
      </c>
      <c r="AT20" s="1014">
        <f t="shared" si="26"/>
        <v>0</v>
      </c>
      <c r="AU20" s="1014">
        <f t="shared" si="27"/>
        <v>0</v>
      </c>
      <c r="AV20" s="1014">
        <f t="shared" si="28"/>
        <v>0</v>
      </c>
      <c r="AW20" s="1014">
        <f t="shared" si="29"/>
        <v>0</v>
      </c>
      <c r="AX20" s="1014">
        <f t="shared" si="30"/>
        <v>0</v>
      </c>
      <c r="AY20" s="1014">
        <f t="shared" si="31"/>
        <v>0</v>
      </c>
      <c r="AZ20" s="1025">
        <f t="shared" si="32"/>
        <v>0</v>
      </c>
      <c r="BA20" s="1014">
        <f t="shared" si="33"/>
        <v>0</v>
      </c>
      <c r="BB20" s="1014">
        <f t="shared" si="34"/>
        <v>0</v>
      </c>
      <c r="BC20" s="1014">
        <f t="shared" si="35"/>
        <v>0</v>
      </c>
      <c r="BD20" s="1014">
        <f t="shared" si="36"/>
        <v>0</v>
      </c>
      <c r="BE20" s="1014">
        <f t="shared" si="37"/>
        <v>0</v>
      </c>
      <c r="BF20" s="1014">
        <f t="shared" si="38"/>
        <v>0</v>
      </c>
      <c r="BG20" s="1025">
        <f t="shared" si="39"/>
        <v>0</v>
      </c>
      <c r="BH20" s="1014">
        <f t="shared" si="40"/>
        <v>0</v>
      </c>
      <c r="BI20" s="1014">
        <f t="shared" si="41"/>
        <v>293377.5</v>
      </c>
      <c r="BJ20" s="1014">
        <f t="shared" si="42"/>
        <v>0</v>
      </c>
      <c r="BK20" s="1014">
        <f t="shared" si="43"/>
        <v>0</v>
      </c>
      <c r="BL20" s="1014">
        <f t="shared" si="44"/>
        <v>0</v>
      </c>
      <c r="BM20" s="1014">
        <f t="shared" si="45"/>
        <v>0</v>
      </c>
      <c r="BN20" s="1025">
        <f t="shared" si="46"/>
        <v>293377.5</v>
      </c>
      <c r="BO20" s="1014">
        <f t="shared" si="47"/>
        <v>159757.51</v>
      </c>
      <c r="BP20" s="1014">
        <f t="shared" si="48"/>
        <v>237022.5</v>
      </c>
      <c r="BQ20" s="1014">
        <f t="shared" si="49"/>
        <v>0</v>
      </c>
      <c r="BR20" s="1014">
        <f t="shared" si="50"/>
        <v>0</v>
      </c>
      <c r="BS20" s="1014">
        <f t="shared" si="51"/>
        <v>0</v>
      </c>
      <c r="BT20" s="1025">
        <f t="shared" si="52"/>
        <v>396780.01</v>
      </c>
      <c r="BU20" s="1014">
        <f t="shared" si="53"/>
        <v>162936.63</v>
      </c>
      <c r="BV20" s="1014">
        <f t="shared" si="54"/>
        <v>0</v>
      </c>
      <c r="BW20" s="1014">
        <f t="shared" si="55"/>
        <v>0</v>
      </c>
      <c r="BX20" s="1014">
        <f t="shared" si="56"/>
        <v>0</v>
      </c>
      <c r="BY20" s="1014">
        <f t="shared" si="57"/>
        <v>0</v>
      </c>
      <c r="BZ20" s="1014">
        <f t="shared" si="58"/>
        <v>0</v>
      </c>
      <c r="CA20" s="1014">
        <f t="shared" si="59"/>
        <v>0</v>
      </c>
      <c r="CB20" s="1014">
        <f t="shared" si="60"/>
        <v>0</v>
      </c>
      <c r="CC20" s="1014">
        <f t="shared" si="61"/>
        <v>0</v>
      </c>
      <c r="CD20" s="1015">
        <f t="shared" si="62"/>
        <v>0</v>
      </c>
      <c r="CE20" s="1014">
        <f t="shared" si="63"/>
        <v>0</v>
      </c>
      <c r="CF20" s="1025">
        <f t="shared" si="64"/>
        <v>162936.63</v>
      </c>
      <c r="CG20" s="1014">
        <f t="shared" si="65"/>
        <v>0</v>
      </c>
      <c r="CH20" s="1014">
        <f t="shared" si="66"/>
        <v>0</v>
      </c>
      <c r="CI20" s="1014">
        <f t="shared" si="67"/>
        <v>0</v>
      </c>
      <c r="CJ20" s="1014">
        <f t="shared" si="68"/>
        <v>0</v>
      </c>
      <c r="CK20" s="1014">
        <f t="shared" si="69"/>
        <v>0</v>
      </c>
      <c r="CL20" s="1014">
        <f t="shared" si="70"/>
        <v>0</v>
      </c>
      <c r="CM20" s="1014">
        <f t="shared" si="71"/>
        <v>0</v>
      </c>
      <c r="CN20" s="1015">
        <f t="shared" si="72"/>
        <v>0</v>
      </c>
      <c r="CO20" s="1014">
        <f t="shared" si="73"/>
        <v>0</v>
      </c>
      <c r="CP20" s="1025">
        <f t="shared" si="74"/>
        <v>0</v>
      </c>
      <c r="CQ20" s="1014">
        <f t="shared" si="75"/>
        <v>477305.86</v>
      </c>
      <c r="CR20" s="1014">
        <f t="shared" si="76"/>
        <v>132600</v>
      </c>
      <c r="CS20" s="1014">
        <f t="shared" si="77"/>
        <v>0</v>
      </c>
      <c r="CT20" s="1014">
        <f t="shared" si="78"/>
        <v>0</v>
      </c>
      <c r="CU20" s="1015">
        <f t="shared" si="79"/>
        <v>0</v>
      </c>
      <c r="CV20" s="1030">
        <f t="shared" si="80"/>
        <v>609905.86</v>
      </c>
      <c r="CW20" s="1014">
        <f t="shared" si="81"/>
        <v>0</v>
      </c>
      <c r="CX20" s="1014">
        <f t="shared" si="82"/>
        <v>0</v>
      </c>
      <c r="CY20" s="1014">
        <f t="shared" si="83"/>
        <v>0</v>
      </c>
      <c r="CZ20" s="1014">
        <f t="shared" si="84"/>
        <v>0</v>
      </c>
      <c r="DA20" s="1014">
        <f t="shared" si="85"/>
        <v>0</v>
      </c>
      <c r="DB20" s="1014">
        <f t="shared" si="86"/>
        <v>0</v>
      </c>
      <c r="DC20" s="1014">
        <f t="shared" si="87"/>
        <v>0</v>
      </c>
      <c r="DD20" s="1014">
        <f t="shared" si="88"/>
        <v>0</v>
      </c>
      <c r="DE20" s="1015">
        <f t="shared" si="89"/>
        <v>0</v>
      </c>
      <c r="DF20" s="1014">
        <f t="shared" si="90"/>
        <v>0</v>
      </c>
      <c r="DG20" s="1014">
        <f t="shared" si="91"/>
        <v>0</v>
      </c>
      <c r="DH20" s="1012">
        <f t="shared" si="240"/>
        <v>0</v>
      </c>
      <c r="DI20" s="1014">
        <f t="shared" si="93"/>
        <v>0</v>
      </c>
      <c r="DJ20" s="1014">
        <f t="shared" si="94"/>
        <v>0</v>
      </c>
      <c r="DK20" s="1014">
        <f t="shared" si="95"/>
        <v>0</v>
      </c>
      <c r="DL20" s="1014">
        <f t="shared" si="96"/>
        <v>0</v>
      </c>
      <c r="DM20" s="1014">
        <f t="shared" si="97"/>
        <v>0</v>
      </c>
      <c r="DN20" s="1014">
        <f t="shared" si="98"/>
        <v>0</v>
      </c>
      <c r="DO20" s="1014">
        <f t="shared" si="99"/>
        <v>0</v>
      </c>
      <c r="DP20" s="1014">
        <f t="shared" si="100"/>
        <v>0</v>
      </c>
      <c r="DQ20" s="1020">
        <f t="shared" si="101"/>
        <v>0</v>
      </c>
      <c r="DR20" s="1014">
        <f t="shared" si="102"/>
        <v>0</v>
      </c>
      <c r="DS20" s="1014">
        <f t="shared" si="103"/>
        <v>0</v>
      </c>
      <c r="DT20" s="1025">
        <f t="shared" si="241"/>
        <v>0</v>
      </c>
    </row>
    <row r="21" spans="1:124" x14ac:dyDescent="0.2">
      <c r="A21" s="908" t="s">
        <v>35</v>
      </c>
      <c r="B21" s="908">
        <v>2015</v>
      </c>
      <c r="C21" s="910">
        <f t="shared" si="228"/>
        <v>0</v>
      </c>
      <c r="D21" s="910">
        <f t="shared" si="229"/>
        <v>0</v>
      </c>
      <c r="E21" s="910">
        <f t="shared" si="230"/>
        <v>60001</v>
      </c>
      <c r="F21" s="910">
        <f t="shared" si="3"/>
        <v>0</v>
      </c>
      <c r="G21" s="910">
        <f t="shared" si="231"/>
        <v>0</v>
      </c>
      <c r="H21" s="910">
        <f t="shared" si="232"/>
        <v>0</v>
      </c>
      <c r="I21" s="910">
        <f t="shared" si="233"/>
        <v>0</v>
      </c>
      <c r="J21" s="910">
        <f t="shared" si="7"/>
        <v>0</v>
      </c>
      <c r="K21" s="910">
        <f t="shared" si="8"/>
        <v>0</v>
      </c>
      <c r="L21" s="910">
        <f t="shared" si="9"/>
        <v>0</v>
      </c>
      <c r="M21" s="910">
        <f t="shared" si="234"/>
        <v>0</v>
      </c>
      <c r="N21" s="910">
        <f t="shared" si="235"/>
        <v>0</v>
      </c>
      <c r="O21" s="910">
        <f t="shared" si="236"/>
        <v>37827.35</v>
      </c>
      <c r="P21" s="910">
        <f t="shared" si="13"/>
        <v>0</v>
      </c>
      <c r="Q21" s="910">
        <f t="shared" si="237"/>
        <v>0</v>
      </c>
      <c r="R21" s="910">
        <f t="shared" si="238"/>
        <v>0</v>
      </c>
      <c r="S21" s="910">
        <f t="shared" si="239"/>
        <v>97828.35</v>
      </c>
      <c r="T21" s="1037">
        <f t="shared" si="17"/>
        <v>3</v>
      </c>
      <c r="U21" s="1034">
        <f t="shared" si="117"/>
        <v>0</v>
      </c>
      <c r="V21" s="1034">
        <f t="shared" si="118"/>
        <v>0</v>
      </c>
      <c r="W21" s="1034">
        <f t="shared" si="119"/>
        <v>0</v>
      </c>
      <c r="X21" s="1034">
        <f t="shared" si="120"/>
        <v>0</v>
      </c>
      <c r="Y21" s="1034">
        <f t="shared" si="121"/>
        <v>0</v>
      </c>
      <c r="Z21" s="1034">
        <f t="shared" si="122"/>
        <v>0</v>
      </c>
      <c r="AA21" s="1034">
        <f t="shared" si="123"/>
        <v>18000</v>
      </c>
      <c r="AB21" s="1034">
        <f t="shared" si="124"/>
        <v>18000</v>
      </c>
      <c r="AC21" s="1034">
        <f t="shared" si="125"/>
        <v>18000</v>
      </c>
      <c r="AD21" s="1034">
        <f t="shared" si="126"/>
        <v>18000</v>
      </c>
      <c r="AE21" s="1034">
        <f t="shared" si="127"/>
        <v>85825.35</v>
      </c>
      <c r="AF21" s="1034">
        <f t="shared" si="128"/>
        <v>97825.35</v>
      </c>
      <c r="AG21" s="1034">
        <f t="shared" si="129"/>
        <v>97825.35</v>
      </c>
      <c r="AH21" s="1041">
        <f t="shared" si="130"/>
        <v>0.99996933404273913</v>
      </c>
      <c r="AI21" s="1014">
        <f t="shared" si="18"/>
        <v>0</v>
      </c>
      <c r="AJ21" s="1025">
        <f t="shared" si="131"/>
        <v>0</v>
      </c>
      <c r="AK21" s="1014">
        <f t="shared" si="19"/>
        <v>0</v>
      </c>
      <c r="AL21" s="1025">
        <f t="shared" si="132"/>
        <v>0</v>
      </c>
      <c r="AM21" s="1014">
        <f t="shared" si="20"/>
        <v>0</v>
      </c>
      <c r="AN21" s="1025">
        <f t="shared" si="133"/>
        <v>0</v>
      </c>
      <c r="AO21" s="1014">
        <f t="shared" si="21"/>
        <v>0</v>
      </c>
      <c r="AP21" s="1014">
        <f t="shared" si="22"/>
        <v>0</v>
      </c>
      <c r="AQ21" s="1014">
        <f t="shared" si="23"/>
        <v>0</v>
      </c>
      <c r="AR21" s="1015">
        <f t="shared" si="24"/>
        <v>0</v>
      </c>
      <c r="AS21" s="1025">
        <f t="shared" si="25"/>
        <v>0</v>
      </c>
      <c r="AT21" s="1014">
        <f t="shared" si="26"/>
        <v>0</v>
      </c>
      <c r="AU21" s="1014">
        <f t="shared" si="27"/>
        <v>0</v>
      </c>
      <c r="AV21" s="1014">
        <f t="shared" si="28"/>
        <v>0</v>
      </c>
      <c r="AW21" s="1014">
        <f t="shared" si="29"/>
        <v>0</v>
      </c>
      <c r="AX21" s="1014">
        <f t="shared" si="30"/>
        <v>0</v>
      </c>
      <c r="AY21" s="1014">
        <f t="shared" si="31"/>
        <v>0</v>
      </c>
      <c r="AZ21" s="1025">
        <f t="shared" si="32"/>
        <v>0</v>
      </c>
      <c r="BA21" s="1014">
        <f t="shared" si="33"/>
        <v>0</v>
      </c>
      <c r="BB21" s="1014">
        <f t="shared" si="34"/>
        <v>0</v>
      </c>
      <c r="BC21" s="1014">
        <f t="shared" si="35"/>
        <v>0</v>
      </c>
      <c r="BD21" s="1014">
        <f t="shared" si="36"/>
        <v>0</v>
      </c>
      <c r="BE21" s="1014">
        <f t="shared" si="37"/>
        <v>0</v>
      </c>
      <c r="BF21" s="1014">
        <f t="shared" si="38"/>
        <v>0</v>
      </c>
      <c r="BG21" s="1025">
        <f t="shared" si="39"/>
        <v>0</v>
      </c>
      <c r="BH21" s="1014">
        <f t="shared" si="40"/>
        <v>0</v>
      </c>
      <c r="BI21" s="1014">
        <f t="shared" si="41"/>
        <v>18000</v>
      </c>
      <c r="BJ21" s="1014">
        <f t="shared" si="42"/>
        <v>0</v>
      </c>
      <c r="BK21" s="1014">
        <f t="shared" si="43"/>
        <v>0</v>
      </c>
      <c r="BL21" s="1014">
        <f t="shared" si="44"/>
        <v>0</v>
      </c>
      <c r="BM21" s="1014">
        <f t="shared" si="45"/>
        <v>0</v>
      </c>
      <c r="BN21" s="1025">
        <f t="shared" si="46"/>
        <v>18000</v>
      </c>
      <c r="BO21" s="1014">
        <f t="shared" si="47"/>
        <v>0</v>
      </c>
      <c r="BP21" s="1014">
        <f t="shared" si="48"/>
        <v>0</v>
      </c>
      <c r="BQ21" s="1014">
        <f t="shared" si="49"/>
        <v>0</v>
      </c>
      <c r="BR21" s="1014">
        <f t="shared" si="50"/>
        <v>0</v>
      </c>
      <c r="BS21" s="1014">
        <f t="shared" si="51"/>
        <v>0</v>
      </c>
      <c r="BT21" s="1025">
        <f t="shared" si="52"/>
        <v>0</v>
      </c>
      <c r="BU21" s="1014">
        <f t="shared" si="53"/>
        <v>0</v>
      </c>
      <c r="BV21" s="1014">
        <f t="shared" si="54"/>
        <v>0</v>
      </c>
      <c r="BW21" s="1014">
        <f t="shared" si="55"/>
        <v>0</v>
      </c>
      <c r="BX21" s="1014">
        <f t="shared" si="56"/>
        <v>0</v>
      </c>
      <c r="BY21" s="1014">
        <f t="shared" si="57"/>
        <v>0</v>
      </c>
      <c r="BZ21" s="1014">
        <f t="shared" si="58"/>
        <v>0</v>
      </c>
      <c r="CA21" s="1014">
        <f t="shared" si="59"/>
        <v>0</v>
      </c>
      <c r="CB21" s="1014">
        <f t="shared" si="60"/>
        <v>0</v>
      </c>
      <c r="CC21" s="1014">
        <f t="shared" si="61"/>
        <v>0</v>
      </c>
      <c r="CD21" s="1015">
        <f t="shared" si="62"/>
        <v>0</v>
      </c>
      <c r="CE21" s="1014">
        <f t="shared" si="63"/>
        <v>0</v>
      </c>
      <c r="CF21" s="1025">
        <f t="shared" si="64"/>
        <v>0</v>
      </c>
      <c r="CG21" s="1014">
        <f t="shared" si="65"/>
        <v>0</v>
      </c>
      <c r="CH21" s="1014">
        <f t="shared" si="66"/>
        <v>0</v>
      </c>
      <c r="CI21" s="1014">
        <f t="shared" si="67"/>
        <v>0</v>
      </c>
      <c r="CJ21" s="1014">
        <f t="shared" si="68"/>
        <v>0</v>
      </c>
      <c r="CK21" s="1014">
        <f t="shared" si="69"/>
        <v>0</v>
      </c>
      <c r="CL21" s="1014">
        <f t="shared" si="70"/>
        <v>0</v>
      </c>
      <c r="CM21" s="1014">
        <f t="shared" si="71"/>
        <v>0</v>
      </c>
      <c r="CN21" s="1015">
        <f t="shared" si="72"/>
        <v>0</v>
      </c>
      <c r="CO21" s="1014">
        <f t="shared" si="73"/>
        <v>0</v>
      </c>
      <c r="CP21" s="1025">
        <f t="shared" si="74"/>
        <v>0</v>
      </c>
      <c r="CQ21" s="1014">
        <f t="shared" si="75"/>
        <v>0</v>
      </c>
      <c r="CR21" s="1014">
        <f t="shared" si="76"/>
        <v>30000</v>
      </c>
      <c r="CS21" s="1014">
        <f t="shared" si="77"/>
        <v>0</v>
      </c>
      <c r="CT21" s="1014">
        <f t="shared" si="78"/>
        <v>0</v>
      </c>
      <c r="CU21" s="1015">
        <f t="shared" si="79"/>
        <v>37825.35</v>
      </c>
      <c r="CV21" s="1030">
        <f t="shared" si="80"/>
        <v>67825.350000000006</v>
      </c>
      <c r="CW21" s="1014">
        <f t="shared" si="81"/>
        <v>0</v>
      </c>
      <c r="CX21" s="1014">
        <f t="shared" si="82"/>
        <v>0</v>
      </c>
      <c r="CY21" s="1014">
        <f t="shared" si="83"/>
        <v>12000</v>
      </c>
      <c r="CZ21" s="1014">
        <f t="shared" si="84"/>
        <v>0</v>
      </c>
      <c r="DA21" s="1014">
        <f t="shared" si="85"/>
        <v>0</v>
      </c>
      <c r="DB21" s="1014">
        <f t="shared" si="86"/>
        <v>0</v>
      </c>
      <c r="DC21" s="1014">
        <f t="shared" si="87"/>
        <v>0</v>
      </c>
      <c r="DD21" s="1014">
        <f t="shared" si="88"/>
        <v>0</v>
      </c>
      <c r="DE21" s="1015">
        <f t="shared" si="89"/>
        <v>0</v>
      </c>
      <c r="DF21" s="1014">
        <f t="shared" si="90"/>
        <v>0</v>
      </c>
      <c r="DG21" s="1014">
        <f t="shared" si="91"/>
        <v>0</v>
      </c>
      <c r="DH21" s="1012">
        <f t="shared" si="240"/>
        <v>12000</v>
      </c>
      <c r="DI21" s="1014">
        <f t="shared" si="93"/>
        <v>0</v>
      </c>
      <c r="DJ21" s="1014">
        <f t="shared" si="94"/>
        <v>0</v>
      </c>
      <c r="DK21" s="1014">
        <f t="shared" si="95"/>
        <v>0</v>
      </c>
      <c r="DL21" s="1014">
        <f t="shared" si="96"/>
        <v>0</v>
      </c>
      <c r="DM21" s="1014">
        <f t="shared" si="97"/>
        <v>0</v>
      </c>
      <c r="DN21" s="1014">
        <f t="shared" si="98"/>
        <v>0</v>
      </c>
      <c r="DO21" s="1014">
        <f t="shared" si="99"/>
        <v>0</v>
      </c>
      <c r="DP21" s="1014">
        <f t="shared" si="100"/>
        <v>0</v>
      </c>
      <c r="DQ21" s="1020">
        <f t="shared" si="101"/>
        <v>0</v>
      </c>
      <c r="DR21" s="1014">
        <f t="shared" si="102"/>
        <v>0</v>
      </c>
      <c r="DS21" s="1014">
        <f t="shared" si="103"/>
        <v>0</v>
      </c>
      <c r="DT21" s="1025">
        <f t="shared" si="241"/>
        <v>0</v>
      </c>
    </row>
    <row r="22" spans="1:124" x14ac:dyDescent="0.2">
      <c r="A22" s="908" t="s">
        <v>36</v>
      </c>
      <c r="B22" s="908">
        <v>2015</v>
      </c>
      <c r="C22" s="910">
        <f t="shared" si="228"/>
        <v>238500</v>
      </c>
      <c r="D22" s="910">
        <f t="shared" si="229"/>
        <v>0</v>
      </c>
      <c r="E22" s="910">
        <f t="shared" si="230"/>
        <v>500000</v>
      </c>
      <c r="F22" s="910">
        <f t="shared" si="3"/>
        <v>0</v>
      </c>
      <c r="G22" s="910">
        <f t="shared" si="231"/>
        <v>0</v>
      </c>
      <c r="H22" s="910">
        <f t="shared" si="232"/>
        <v>0</v>
      </c>
      <c r="I22" s="910">
        <f t="shared" si="233"/>
        <v>0</v>
      </c>
      <c r="J22" s="910">
        <f t="shared" si="7"/>
        <v>0</v>
      </c>
      <c r="K22" s="910">
        <f t="shared" si="8"/>
        <v>0</v>
      </c>
      <c r="L22" s="910">
        <f t="shared" si="9"/>
        <v>0</v>
      </c>
      <c r="M22" s="910">
        <f t="shared" si="234"/>
        <v>0</v>
      </c>
      <c r="N22" s="910">
        <f t="shared" si="235"/>
        <v>0</v>
      </c>
      <c r="O22" s="910">
        <f t="shared" si="236"/>
        <v>0</v>
      </c>
      <c r="P22" s="910">
        <f t="shared" si="13"/>
        <v>0</v>
      </c>
      <c r="Q22" s="910">
        <f t="shared" si="237"/>
        <v>0</v>
      </c>
      <c r="R22" s="910">
        <f t="shared" si="238"/>
        <v>0</v>
      </c>
      <c r="S22" s="910">
        <f t="shared" si="239"/>
        <v>738500</v>
      </c>
      <c r="T22" s="1037">
        <f t="shared" si="17"/>
        <v>0</v>
      </c>
      <c r="U22" s="1034">
        <f t="shared" si="117"/>
        <v>0</v>
      </c>
      <c r="V22" s="1034">
        <f t="shared" si="118"/>
        <v>0</v>
      </c>
      <c r="W22" s="1034">
        <f t="shared" si="119"/>
        <v>0</v>
      </c>
      <c r="X22" s="1034">
        <f t="shared" si="120"/>
        <v>0</v>
      </c>
      <c r="Y22" s="1034">
        <f t="shared" si="121"/>
        <v>0</v>
      </c>
      <c r="Z22" s="1034">
        <f t="shared" si="122"/>
        <v>0</v>
      </c>
      <c r="AA22" s="1034">
        <f t="shared" si="123"/>
        <v>0</v>
      </c>
      <c r="AB22" s="1034">
        <f t="shared" si="124"/>
        <v>275027.36</v>
      </c>
      <c r="AC22" s="1034">
        <f t="shared" si="125"/>
        <v>563250</v>
      </c>
      <c r="AD22" s="1034">
        <f t="shared" si="126"/>
        <v>563250</v>
      </c>
      <c r="AE22" s="1034">
        <f t="shared" si="127"/>
        <v>738500</v>
      </c>
      <c r="AF22" s="1034">
        <f t="shared" si="128"/>
        <v>738500</v>
      </c>
      <c r="AG22" s="1034">
        <f t="shared" si="129"/>
        <v>738500</v>
      </c>
      <c r="AH22" s="1041">
        <f t="shared" si="130"/>
        <v>1</v>
      </c>
      <c r="AI22" s="1014">
        <f t="shared" si="18"/>
        <v>0</v>
      </c>
      <c r="AJ22" s="1025">
        <f t="shared" si="131"/>
        <v>0</v>
      </c>
      <c r="AK22" s="1014">
        <f t="shared" si="19"/>
        <v>0</v>
      </c>
      <c r="AL22" s="1025">
        <f t="shared" si="132"/>
        <v>0</v>
      </c>
      <c r="AM22" s="1014">
        <f t="shared" si="20"/>
        <v>0</v>
      </c>
      <c r="AN22" s="1025">
        <f t="shared" si="133"/>
        <v>0</v>
      </c>
      <c r="AO22" s="1014">
        <f t="shared" si="21"/>
        <v>0</v>
      </c>
      <c r="AP22" s="1014">
        <f t="shared" si="22"/>
        <v>0</v>
      </c>
      <c r="AQ22" s="1014">
        <f t="shared" si="23"/>
        <v>0</v>
      </c>
      <c r="AR22" s="1015">
        <f t="shared" si="24"/>
        <v>0</v>
      </c>
      <c r="AS22" s="1025">
        <f t="shared" si="25"/>
        <v>0</v>
      </c>
      <c r="AT22" s="1014">
        <f t="shared" si="26"/>
        <v>0</v>
      </c>
      <c r="AU22" s="1014">
        <f t="shared" si="27"/>
        <v>0</v>
      </c>
      <c r="AV22" s="1014">
        <f t="shared" si="28"/>
        <v>0</v>
      </c>
      <c r="AW22" s="1014">
        <f t="shared" si="29"/>
        <v>0</v>
      </c>
      <c r="AX22" s="1014">
        <f t="shared" si="30"/>
        <v>0</v>
      </c>
      <c r="AY22" s="1014">
        <f t="shared" si="31"/>
        <v>0</v>
      </c>
      <c r="AZ22" s="1025">
        <f t="shared" si="32"/>
        <v>0</v>
      </c>
      <c r="BA22" s="1014">
        <f t="shared" si="33"/>
        <v>0</v>
      </c>
      <c r="BB22" s="1014">
        <f t="shared" si="34"/>
        <v>0</v>
      </c>
      <c r="BC22" s="1014">
        <f t="shared" si="35"/>
        <v>0</v>
      </c>
      <c r="BD22" s="1014">
        <f t="shared" si="36"/>
        <v>0</v>
      </c>
      <c r="BE22" s="1014">
        <f t="shared" si="37"/>
        <v>0</v>
      </c>
      <c r="BF22" s="1014">
        <f t="shared" si="38"/>
        <v>0</v>
      </c>
      <c r="BG22" s="1025">
        <f t="shared" si="39"/>
        <v>0</v>
      </c>
      <c r="BH22" s="1014">
        <f t="shared" si="40"/>
        <v>0</v>
      </c>
      <c r="BI22" s="1014">
        <f t="shared" si="41"/>
        <v>0</v>
      </c>
      <c r="BJ22" s="1014">
        <f t="shared" si="42"/>
        <v>0</v>
      </c>
      <c r="BK22" s="1014">
        <f t="shared" si="43"/>
        <v>0</v>
      </c>
      <c r="BL22" s="1014">
        <f t="shared" si="44"/>
        <v>0</v>
      </c>
      <c r="BM22" s="1014">
        <f t="shared" si="45"/>
        <v>0</v>
      </c>
      <c r="BN22" s="1025">
        <f t="shared" si="46"/>
        <v>0</v>
      </c>
      <c r="BO22" s="1014">
        <f t="shared" si="47"/>
        <v>125027.36</v>
      </c>
      <c r="BP22" s="1014">
        <f t="shared" si="48"/>
        <v>150000</v>
      </c>
      <c r="BQ22" s="1014">
        <f t="shared" si="49"/>
        <v>0</v>
      </c>
      <c r="BR22" s="1014">
        <f t="shared" si="50"/>
        <v>0</v>
      </c>
      <c r="BS22" s="1014">
        <f t="shared" si="51"/>
        <v>0</v>
      </c>
      <c r="BT22" s="1025">
        <f t="shared" si="52"/>
        <v>275027.36</v>
      </c>
      <c r="BU22" s="1014">
        <f t="shared" si="53"/>
        <v>65772.639999999999</v>
      </c>
      <c r="BV22" s="1014">
        <f t="shared" si="54"/>
        <v>222450</v>
      </c>
      <c r="BW22" s="1014">
        <f t="shared" si="55"/>
        <v>0</v>
      </c>
      <c r="BX22" s="1014">
        <f t="shared" si="56"/>
        <v>0</v>
      </c>
      <c r="BY22" s="1014">
        <f t="shared" si="57"/>
        <v>0</v>
      </c>
      <c r="BZ22" s="1014">
        <f t="shared" si="58"/>
        <v>0</v>
      </c>
      <c r="CA22" s="1014">
        <f t="shared" si="59"/>
        <v>0</v>
      </c>
      <c r="CB22" s="1014">
        <f t="shared" si="60"/>
        <v>0</v>
      </c>
      <c r="CC22" s="1014">
        <f t="shared" si="61"/>
        <v>0</v>
      </c>
      <c r="CD22" s="1015">
        <f t="shared" si="62"/>
        <v>0</v>
      </c>
      <c r="CE22" s="1014">
        <f t="shared" si="63"/>
        <v>0</v>
      </c>
      <c r="CF22" s="1025">
        <f t="shared" si="64"/>
        <v>288222.64</v>
      </c>
      <c r="CG22" s="1014">
        <f t="shared" si="65"/>
        <v>0</v>
      </c>
      <c r="CH22" s="1014">
        <f t="shared" si="66"/>
        <v>0</v>
      </c>
      <c r="CI22" s="1014">
        <f t="shared" si="67"/>
        <v>0</v>
      </c>
      <c r="CJ22" s="1014">
        <f t="shared" si="68"/>
        <v>0</v>
      </c>
      <c r="CK22" s="1014">
        <f t="shared" si="69"/>
        <v>0</v>
      </c>
      <c r="CL22" s="1014">
        <f t="shared" si="70"/>
        <v>0</v>
      </c>
      <c r="CM22" s="1014">
        <f t="shared" si="71"/>
        <v>0</v>
      </c>
      <c r="CN22" s="1015">
        <f t="shared" si="72"/>
        <v>0</v>
      </c>
      <c r="CO22" s="1014">
        <f t="shared" si="73"/>
        <v>0</v>
      </c>
      <c r="CP22" s="1025">
        <f t="shared" si="74"/>
        <v>0</v>
      </c>
      <c r="CQ22" s="1014">
        <f t="shared" si="75"/>
        <v>47700</v>
      </c>
      <c r="CR22" s="1014">
        <f t="shared" si="76"/>
        <v>127550</v>
      </c>
      <c r="CS22" s="1014">
        <f t="shared" si="77"/>
        <v>0</v>
      </c>
      <c r="CT22" s="1014">
        <f t="shared" si="78"/>
        <v>0</v>
      </c>
      <c r="CU22" s="1015">
        <f t="shared" si="79"/>
        <v>0</v>
      </c>
      <c r="CV22" s="1030">
        <f t="shared" si="80"/>
        <v>175250</v>
      </c>
      <c r="CW22" s="1014">
        <f t="shared" si="81"/>
        <v>0</v>
      </c>
      <c r="CX22" s="1014">
        <f t="shared" si="82"/>
        <v>0</v>
      </c>
      <c r="CY22" s="1014">
        <f t="shared" si="83"/>
        <v>0</v>
      </c>
      <c r="CZ22" s="1014">
        <f t="shared" si="84"/>
        <v>0</v>
      </c>
      <c r="DA22" s="1014">
        <f t="shared" si="85"/>
        <v>0</v>
      </c>
      <c r="DB22" s="1014">
        <f t="shared" si="86"/>
        <v>0</v>
      </c>
      <c r="DC22" s="1014">
        <f t="shared" si="87"/>
        <v>0</v>
      </c>
      <c r="DD22" s="1014">
        <f t="shared" si="88"/>
        <v>0</v>
      </c>
      <c r="DE22" s="1015">
        <f t="shared" si="89"/>
        <v>0</v>
      </c>
      <c r="DF22" s="1014">
        <f t="shared" si="90"/>
        <v>0</v>
      </c>
      <c r="DG22" s="1014">
        <f t="shared" si="91"/>
        <v>0</v>
      </c>
      <c r="DH22" s="1012">
        <f t="shared" si="240"/>
        <v>0</v>
      </c>
      <c r="DI22" s="1014">
        <f t="shared" si="93"/>
        <v>0</v>
      </c>
      <c r="DJ22" s="1014">
        <f t="shared" si="94"/>
        <v>0</v>
      </c>
      <c r="DK22" s="1014">
        <f t="shared" si="95"/>
        <v>0</v>
      </c>
      <c r="DL22" s="1014">
        <f t="shared" si="96"/>
        <v>0</v>
      </c>
      <c r="DM22" s="1014">
        <f t="shared" si="97"/>
        <v>0</v>
      </c>
      <c r="DN22" s="1014">
        <f t="shared" si="98"/>
        <v>0</v>
      </c>
      <c r="DO22" s="1014">
        <f t="shared" si="99"/>
        <v>0</v>
      </c>
      <c r="DP22" s="1014">
        <f t="shared" si="100"/>
        <v>0</v>
      </c>
      <c r="DQ22" s="1020">
        <f t="shared" si="101"/>
        <v>0</v>
      </c>
      <c r="DR22" s="1014">
        <f t="shared" si="102"/>
        <v>0</v>
      </c>
      <c r="DS22" s="1014">
        <f t="shared" si="103"/>
        <v>0</v>
      </c>
      <c r="DT22" s="1025">
        <f t="shared" si="241"/>
        <v>0</v>
      </c>
    </row>
    <row r="23" spans="1:124" x14ac:dyDescent="0.2">
      <c r="A23" s="908" t="s">
        <v>44</v>
      </c>
      <c r="B23" s="908">
        <v>2016</v>
      </c>
      <c r="C23" s="910">
        <f t="shared" si="228"/>
        <v>180000</v>
      </c>
      <c r="D23" s="910">
        <f t="shared" si="229"/>
        <v>0</v>
      </c>
      <c r="E23" s="910">
        <f t="shared" si="230"/>
        <v>225000</v>
      </c>
      <c r="F23" s="910">
        <f t="shared" si="3"/>
        <v>0</v>
      </c>
      <c r="G23" s="910">
        <f t="shared" si="231"/>
        <v>0</v>
      </c>
      <c r="H23" s="910">
        <f t="shared" si="232"/>
        <v>0</v>
      </c>
      <c r="I23" s="910">
        <f t="shared" si="233"/>
        <v>0</v>
      </c>
      <c r="J23" s="910">
        <f t="shared" si="7"/>
        <v>0</v>
      </c>
      <c r="K23" s="910">
        <f t="shared" si="8"/>
        <v>0</v>
      </c>
      <c r="L23" s="910">
        <f t="shared" si="9"/>
        <v>0</v>
      </c>
      <c r="M23" s="910">
        <f t="shared" si="234"/>
        <v>0</v>
      </c>
      <c r="N23" s="910">
        <f t="shared" si="235"/>
        <v>0</v>
      </c>
      <c r="O23" s="910">
        <f t="shared" si="236"/>
        <v>28319.18</v>
      </c>
      <c r="P23" s="910">
        <f t="shared" si="13"/>
        <v>0</v>
      </c>
      <c r="Q23" s="910">
        <f t="shared" si="237"/>
        <v>0</v>
      </c>
      <c r="R23" s="910">
        <f t="shared" si="238"/>
        <v>0</v>
      </c>
      <c r="S23" s="910">
        <f t="shared" si="239"/>
        <v>433319.18</v>
      </c>
      <c r="T23" s="1037">
        <f t="shared" si="17"/>
        <v>0</v>
      </c>
      <c r="U23" s="1034">
        <f t="shared" si="117"/>
        <v>0</v>
      </c>
      <c r="V23" s="1034">
        <f t="shared" si="118"/>
        <v>0</v>
      </c>
      <c r="W23" s="1034">
        <f t="shared" si="119"/>
        <v>0</v>
      </c>
      <c r="X23" s="1034">
        <f t="shared" si="120"/>
        <v>0</v>
      </c>
      <c r="Y23" s="1034">
        <f t="shared" si="121"/>
        <v>0</v>
      </c>
      <c r="Z23" s="1034">
        <f t="shared" si="122"/>
        <v>0</v>
      </c>
      <c r="AA23" s="1034">
        <f t="shared" si="123"/>
        <v>0</v>
      </c>
      <c r="AB23" s="1034">
        <f t="shared" si="124"/>
        <v>67500</v>
      </c>
      <c r="AC23" s="1034">
        <f t="shared" si="125"/>
        <v>90832.5</v>
      </c>
      <c r="AD23" s="1034">
        <f t="shared" si="126"/>
        <v>282356.52</v>
      </c>
      <c r="AE23" s="1034">
        <f t="shared" si="127"/>
        <v>433319.18000000005</v>
      </c>
      <c r="AF23" s="1034">
        <f t="shared" si="128"/>
        <v>433319.18000000005</v>
      </c>
      <c r="AG23" s="1034">
        <f t="shared" si="129"/>
        <v>433319.18000000005</v>
      </c>
      <c r="AH23" s="1041">
        <f t="shared" si="130"/>
        <v>1.0000000000000002</v>
      </c>
      <c r="AI23" s="1014">
        <f t="shared" si="18"/>
        <v>0</v>
      </c>
      <c r="AJ23" s="1025">
        <f t="shared" si="131"/>
        <v>0</v>
      </c>
      <c r="AK23" s="1014">
        <f t="shared" si="19"/>
        <v>0</v>
      </c>
      <c r="AL23" s="1025">
        <f t="shared" si="132"/>
        <v>0</v>
      </c>
      <c r="AM23" s="1014">
        <f t="shared" si="20"/>
        <v>0</v>
      </c>
      <c r="AN23" s="1025">
        <f t="shared" si="133"/>
        <v>0</v>
      </c>
      <c r="AO23" s="1014">
        <f t="shared" si="21"/>
        <v>0</v>
      </c>
      <c r="AP23" s="1014">
        <f t="shared" si="22"/>
        <v>0</v>
      </c>
      <c r="AQ23" s="1014">
        <f t="shared" si="23"/>
        <v>0</v>
      </c>
      <c r="AR23" s="1015">
        <f t="shared" si="24"/>
        <v>0</v>
      </c>
      <c r="AS23" s="1025">
        <f t="shared" si="25"/>
        <v>0</v>
      </c>
      <c r="AT23" s="1014">
        <f t="shared" si="26"/>
        <v>0</v>
      </c>
      <c r="AU23" s="1014">
        <f t="shared" si="27"/>
        <v>0</v>
      </c>
      <c r="AV23" s="1014">
        <f t="shared" si="28"/>
        <v>0</v>
      </c>
      <c r="AW23" s="1014">
        <f t="shared" si="29"/>
        <v>0</v>
      </c>
      <c r="AX23" s="1014">
        <f t="shared" si="30"/>
        <v>0</v>
      </c>
      <c r="AY23" s="1014">
        <f t="shared" si="31"/>
        <v>0</v>
      </c>
      <c r="AZ23" s="1025">
        <f t="shared" si="32"/>
        <v>0</v>
      </c>
      <c r="BA23" s="1014">
        <f t="shared" si="33"/>
        <v>0</v>
      </c>
      <c r="BB23" s="1014">
        <f t="shared" si="34"/>
        <v>0</v>
      </c>
      <c r="BC23" s="1014">
        <f t="shared" si="35"/>
        <v>0</v>
      </c>
      <c r="BD23" s="1014">
        <f t="shared" si="36"/>
        <v>0</v>
      </c>
      <c r="BE23" s="1014">
        <f t="shared" si="37"/>
        <v>0</v>
      </c>
      <c r="BF23" s="1014">
        <f t="shared" si="38"/>
        <v>0</v>
      </c>
      <c r="BG23" s="1025">
        <f t="shared" si="39"/>
        <v>0</v>
      </c>
      <c r="BH23" s="1014">
        <f t="shared" si="40"/>
        <v>0</v>
      </c>
      <c r="BI23" s="1014">
        <f t="shared" si="41"/>
        <v>0</v>
      </c>
      <c r="BJ23" s="1014">
        <f t="shared" si="42"/>
        <v>0</v>
      </c>
      <c r="BK23" s="1014">
        <f t="shared" si="43"/>
        <v>0</v>
      </c>
      <c r="BL23" s="1014">
        <f t="shared" si="44"/>
        <v>0</v>
      </c>
      <c r="BM23" s="1014">
        <f t="shared" si="45"/>
        <v>0</v>
      </c>
      <c r="BN23" s="1025">
        <f t="shared" si="46"/>
        <v>0</v>
      </c>
      <c r="BO23" s="1014">
        <f t="shared" si="47"/>
        <v>0</v>
      </c>
      <c r="BP23" s="1014">
        <f t="shared" si="48"/>
        <v>67500</v>
      </c>
      <c r="BQ23" s="1014">
        <f t="shared" si="49"/>
        <v>0</v>
      </c>
      <c r="BR23" s="1014">
        <f t="shared" si="50"/>
        <v>0</v>
      </c>
      <c r="BS23" s="1014">
        <f t="shared" si="51"/>
        <v>0</v>
      </c>
      <c r="BT23" s="1025">
        <f t="shared" si="52"/>
        <v>67500</v>
      </c>
      <c r="BU23" s="1014">
        <f t="shared" si="53"/>
        <v>0</v>
      </c>
      <c r="BV23" s="1014">
        <f t="shared" si="54"/>
        <v>23332.5</v>
      </c>
      <c r="BW23" s="1014">
        <f t="shared" si="55"/>
        <v>0</v>
      </c>
      <c r="BX23" s="1014">
        <f t="shared" si="56"/>
        <v>0</v>
      </c>
      <c r="BY23" s="1014">
        <f t="shared" si="57"/>
        <v>0</v>
      </c>
      <c r="BZ23" s="1014">
        <f t="shared" si="58"/>
        <v>0</v>
      </c>
      <c r="CA23" s="1014">
        <f t="shared" si="59"/>
        <v>0</v>
      </c>
      <c r="CB23" s="1014">
        <f t="shared" si="60"/>
        <v>0</v>
      </c>
      <c r="CC23" s="1014">
        <f t="shared" si="61"/>
        <v>0</v>
      </c>
      <c r="CD23" s="1015">
        <f t="shared" si="62"/>
        <v>0</v>
      </c>
      <c r="CE23" s="1014">
        <f t="shared" si="63"/>
        <v>0</v>
      </c>
      <c r="CF23" s="1025">
        <f t="shared" si="64"/>
        <v>23332.5</v>
      </c>
      <c r="CG23" s="1014">
        <f t="shared" si="65"/>
        <v>102491.51999999999</v>
      </c>
      <c r="CH23" s="1014">
        <f t="shared" si="66"/>
        <v>89032.5</v>
      </c>
      <c r="CI23" s="1014">
        <f t="shared" si="67"/>
        <v>0</v>
      </c>
      <c r="CJ23" s="1014">
        <f t="shared" si="68"/>
        <v>0</v>
      </c>
      <c r="CK23" s="1014">
        <f t="shared" si="69"/>
        <v>0</v>
      </c>
      <c r="CL23" s="1014">
        <f t="shared" si="70"/>
        <v>0</v>
      </c>
      <c r="CM23" s="1014">
        <f t="shared" si="71"/>
        <v>0</v>
      </c>
      <c r="CN23" s="1015">
        <f t="shared" si="72"/>
        <v>0</v>
      </c>
      <c r="CO23" s="1014">
        <f t="shared" si="73"/>
        <v>0</v>
      </c>
      <c r="CP23" s="1025">
        <f t="shared" si="74"/>
        <v>191524.02</v>
      </c>
      <c r="CQ23" s="1014">
        <f t="shared" si="75"/>
        <v>77508.479999999996</v>
      </c>
      <c r="CR23" s="1014">
        <f t="shared" si="76"/>
        <v>45135</v>
      </c>
      <c r="CS23" s="1014">
        <f t="shared" si="77"/>
        <v>0</v>
      </c>
      <c r="CT23" s="1014">
        <f t="shared" si="78"/>
        <v>0</v>
      </c>
      <c r="CU23" s="1015">
        <f t="shared" si="79"/>
        <v>28319.18</v>
      </c>
      <c r="CV23" s="1030">
        <f t="shared" si="80"/>
        <v>150962.66</v>
      </c>
      <c r="CW23" s="1014">
        <f t="shared" si="81"/>
        <v>0</v>
      </c>
      <c r="CX23" s="1014">
        <f t="shared" si="82"/>
        <v>0</v>
      </c>
      <c r="CY23" s="1014">
        <f t="shared" si="83"/>
        <v>0</v>
      </c>
      <c r="CZ23" s="1014">
        <f t="shared" si="84"/>
        <v>0</v>
      </c>
      <c r="DA23" s="1014">
        <f t="shared" si="85"/>
        <v>0</v>
      </c>
      <c r="DB23" s="1014">
        <f t="shared" si="86"/>
        <v>0</v>
      </c>
      <c r="DC23" s="1014">
        <f t="shared" si="87"/>
        <v>0</v>
      </c>
      <c r="DD23" s="1014">
        <f t="shared" si="88"/>
        <v>0</v>
      </c>
      <c r="DE23" s="1015">
        <f t="shared" si="89"/>
        <v>0</v>
      </c>
      <c r="DF23" s="1014">
        <f t="shared" si="90"/>
        <v>0</v>
      </c>
      <c r="DG23" s="1014">
        <f t="shared" si="91"/>
        <v>0</v>
      </c>
      <c r="DH23" s="1012">
        <f t="shared" si="240"/>
        <v>0</v>
      </c>
      <c r="DI23" s="1014">
        <f t="shared" si="93"/>
        <v>0</v>
      </c>
      <c r="DJ23" s="1014">
        <f t="shared" si="94"/>
        <v>0</v>
      </c>
      <c r="DK23" s="1014">
        <f t="shared" si="95"/>
        <v>0</v>
      </c>
      <c r="DL23" s="1014">
        <f t="shared" si="96"/>
        <v>0</v>
      </c>
      <c r="DM23" s="1014">
        <f t="shared" si="97"/>
        <v>0</v>
      </c>
      <c r="DN23" s="1014">
        <f t="shared" si="98"/>
        <v>0</v>
      </c>
      <c r="DO23" s="1014">
        <f t="shared" si="99"/>
        <v>0</v>
      </c>
      <c r="DP23" s="1014">
        <f t="shared" si="100"/>
        <v>0</v>
      </c>
      <c r="DQ23" s="1015">
        <f t="shared" si="101"/>
        <v>0</v>
      </c>
      <c r="DR23" s="1014">
        <f t="shared" si="102"/>
        <v>0</v>
      </c>
      <c r="DS23" s="1014">
        <f t="shared" si="103"/>
        <v>0</v>
      </c>
      <c r="DT23" s="1025">
        <f t="shared" si="241"/>
        <v>0</v>
      </c>
    </row>
    <row r="24" spans="1:124" x14ac:dyDescent="0.2">
      <c r="A24" s="908" t="s">
        <v>41</v>
      </c>
      <c r="B24" s="908">
        <v>2016</v>
      </c>
      <c r="C24" s="910">
        <f t="shared" si="228"/>
        <v>340000</v>
      </c>
      <c r="D24" s="910">
        <f t="shared" si="229"/>
        <v>0</v>
      </c>
      <c r="E24" s="910">
        <f t="shared" si="230"/>
        <v>254997</v>
      </c>
      <c r="F24" s="910">
        <f t="shared" si="3"/>
        <v>0</v>
      </c>
      <c r="G24" s="910">
        <f t="shared" si="231"/>
        <v>85000</v>
      </c>
      <c r="H24" s="910">
        <f t="shared" si="232"/>
        <v>0</v>
      </c>
      <c r="I24" s="910">
        <f t="shared" si="233"/>
        <v>0</v>
      </c>
      <c r="J24" s="910">
        <f t="shared" si="7"/>
        <v>0</v>
      </c>
      <c r="K24" s="910">
        <f t="shared" si="8"/>
        <v>0</v>
      </c>
      <c r="L24" s="910">
        <f t="shared" si="9"/>
        <v>0</v>
      </c>
      <c r="M24" s="910">
        <f t="shared" si="234"/>
        <v>0</v>
      </c>
      <c r="N24" s="910">
        <f t="shared" si="235"/>
        <v>0</v>
      </c>
      <c r="O24" s="910">
        <f t="shared" si="236"/>
        <v>17009.03</v>
      </c>
      <c r="P24" s="910">
        <f t="shared" si="13"/>
        <v>0</v>
      </c>
      <c r="Q24" s="910">
        <f t="shared" si="237"/>
        <v>0</v>
      </c>
      <c r="R24" s="910">
        <f t="shared" si="238"/>
        <v>0</v>
      </c>
      <c r="S24" s="910">
        <f t="shared" si="239"/>
        <v>697006.03</v>
      </c>
      <c r="T24" s="1037">
        <f t="shared" si="17"/>
        <v>4824.2199999999721</v>
      </c>
      <c r="U24" s="1034">
        <f t="shared" si="117"/>
        <v>0</v>
      </c>
      <c r="V24" s="1034">
        <f t="shared" si="118"/>
        <v>0</v>
      </c>
      <c r="W24" s="1034">
        <f t="shared" si="119"/>
        <v>0</v>
      </c>
      <c r="X24" s="1034">
        <f t="shared" si="120"/>
        <v>0</v>
      </c>
      <c r="Y24" s="1034">
        <f t="shared" si="121"/>
        <v>0</v>
      </c>
      <c r="Z24" s="1034">
        <f t="shared" si="122"/>
        <v>148954</v>
      </c>
      <c r="AA24" s="1034">
        <f t="shared" si="123"/>
        <v>259453.1</v>
      </c>
      <c r="AB24" s="1034">
        <f t="shared" si="124"/>
        <v>349144.57</v>
      </c>
      <c r="AC24" s="1034">
        <f t="shared" si="125"/>
        <v>424241.48</v>
      </c>
      <c r="AD24" s="1034">
        <f t="shared" si="126"/>
        <v>489283.48</v>
      </c>
      <c r="AE24" s="1034">
        <f t="shared" si="127"/>
        <v>615508.03</v>
      </c>
      <c r="AF24" s="1034">
        <f t="shared" si="128"/>
        <v>692181.81</v>
      </c>
      <c r="AG24" s="1034">
        <f t="shared" si="129"/>
        <v>692181.81</v>
      </c>
      <c r="AH24" s="1041">
        <f t="shared" si="130"/>
        <v>0.99307865385325289</v>
      </c>
      <c r="AI24" s="1014">
        <f t="shared" si="18"/>
        <v>0</v>
      </c>
      <c r="AJ24" s="1025">
        <f t="shared" si="131"/>
        <v>0</v>
      </c>
      <c r="AK24" s="1014">
        <f t="shared" si="19"/>
        <v>0</v>
      </c>
      <c r="AL24" s="1025">
        <f t="shared" si="132"/>
        <v>0</v>
      </c>
      <c r="AM24" s="1014">
        <f t="shared" si="20"/>
        <v>0</v>
      </c>
      <c r="AN24" s="1025">
        <f t="shared" si="133"/>
        <v>0</v>
      </c>
      <c r="AO24" s="1014">
        <f t="shared" si="21"/>
        <v>0</v>
      </c>
      <c r="AP24" s="1014">
        <f t="shared" si="22"/>
        <v>0</v>
      </c>
      <c r="AQ24" s="1014">
        <f t="shared" si="23"/>
        <v>0</v>
      </c>
      <c r="AR24" s="1015">
        <f t="shared" si="24"/>
        <v>0</v>
      </c>
      <c r="AS24" s="1025">
        <f t="shared" si="25"/>
        <v>0</v>
      </c>
      <c r="AT24" s="1014">
        <f t="shared" si="26"/>
        <v>0</v>
      </c>
      <c r="AU24" s="1014">
        <f t="shared" si="27"/>
        <v>0</v>
      </c>
      <c r="AV24" s="1014">
        <f t="shared" si="28"/>
        <v>0</v>
      </c>
      <c r="AW24" s="1014">
        <f t="shared" si="29"/>
        <v>0</v>
      </c>
      <c r="AX24" s="1014">
        <f t="shared" si="30"/>
        <v>0</v>
      </c>
      <c r="AY24" s="1014">
        <f t="shared" si="31"/>
        <v>0</v>
      </c>
      <c r="AZ24" s="1025">
        <f t="shared" si="32"/>
        <v>0</v>
      </c>
      <c r="BA24" s="1014">
        <f t="shared" si="33"/>
        <v>148954</v>
      </c>
      <c r="BB24" s="1014">
        <f t="shared" si="34"/>
        <v>0</v>
      </c>
      <c r="BC24" s="1014">
        <f t="shared" si="35"/>
        <v>0</v>
      </c>
      <c r="BD24" s="1014">
        <f t="shared" si="36"/>
        <v>0</v>
      </c>
      <c r="BE24" s="1014">
        <f t="shared" si="37"/>
        <v>0</v>
      </c>
      <c r="BF24" s="1014">
        <f t="shared" si="38"/>
        <v>0</v>
      </c>
      <c r="BG24" s="1025">
        <f t="shared" si="39"/>
        <v>148954</v>
      </c>
      <c r="BH24" s="1014">
        <f t="shared" si="40"/>
        <v>0</v>
      </c>
      <c r="BI24" s="1014">
        <f t="shared" si="41"/>
        <v>76499.100000000006</v>
      </c>
      <c r="BJ24" s="1014">
        <f t="shared" si="42"/>
        <v>0</v>
      </c>
      <c r="BK24" s="1014">
        <f t="shared" si="43"/>
        <v>34000</v>
      </c>
      <c r="BL24" s="1014">
        <f t="shared" si="44"/>
        <v>0</v>
      </c>
      <c r="BM24" s="1014">
        <f t="shared" si="45"/>
        <v>0</v>
      </c>
      <c r="BN24" s="1025">
        <f t="shared" si="46"/>
        <v>110499.1</v>
      </c>
      <c r="BO24" s="1014">
        <f t="shared" si="47"/>
        <v>44506</v>
      </c>
      <c r="BP24" s="1014">
        <f t="shared" si="48"/>
        <v>45185.47</v>
      </c>
      <c r="BQ24" s="1014">
        <f t="shared" si="49"/>
        <v>0</v>
      </c>
      <c r="BR24" s="1014">
        <f t="shared" si="50"/>
        <v>0</v>
      </c>
      <c r="BS24" s="1014">
        <f t="shared" si="51"/>
        <v>0</v>
      </c>
      <c r="BT24" s="1025">
        <f t="shared" si="52"/>
        <v>89691.47</v>
      </c>
      <c r="BU24" s="1014">
        <f t="shared" si="53"/>
        <v>0</v>
      </c>
      <c r="BV24" s="1014">
        <f t="shared" si="54"/>
        <v>49596.91</v>
      </c>
      <c r="BW24" s="1014">
        <f t="shared" si="55"/>
        <v>0</v>
      </c>
      <c r="BX24" s="1014">
        <f t="shared" si="56"/>
        <v>25500</v>
      </c>
      <c r="BY24" s="1014">
        <f t="shared" si="57"/>
        <v>0</v>
      </c>
      <c r="BZ24" s="1014">
        <f t="shared" si="58"/>
        <v>0</v>
      </c>
      <c r="CA24" s="1014">
        <f t="shared" si="59"/>
        <v>0</v>
      </c>
      <c r="CB24" s="1014">
        <f t="shared" si="60"/>
        <v>0</v>
      </c>
      <c r="CC24" s="1014">
        <f t="shared" si="61"/>
        <v>0</v>
      </c>
      <c r="CD24" s="1015">
        <f t="shared" si="62"/>
        <v>0</v>
      </c>
      <c r="CE24" s="1014">
        <f t="shared" si="63"/>
        <v>0</v>
      </c>
      <c r="CF24" s="1025">
        <f t="shared" si="64"/>
        <v>75096.91</v>
      </c>
      <c r="CG24" s="1014">
        <f t="shared" si="65"/>
        <v>65042</v>
      </c>
      <c r="CH24" s="1014">
        <f t="shared" si="66"/>
        <v>0</v>
      </c>
      <c r="CI24" s="1014">
        <f t="shared" si="67"/>
        <v>0</v>
      </c>
      <c r="CJ24" s="1014">
        <f t="shared" si="68"/>
        <v>0</v>
      </c>
      <c r="CK24" s="1014">
        <f t="shared" si="69"/>
        <v>0</v>
      </c>
      <c r="CL24" s="1014">
        <f t="shared" si="70"/>
        <v>0</v>
      </c>
      <c r="CM24" s="1014">
        <f t="shared" si="71"/>
        <v>0</v>
      </c>
      <c r="CN24" s="1015">
        <f t="shared" si="72"/>
        <v>0</v>
      </c>
      <c r="CO24" s="1014">
        <f t="shared" si="73"/>
        <v>0</v>
      </c>
      <c r="CP24" s="1025">
        <f t="shared" si="74"/>
        <v>65042</v>
      </c>
      <c r="CQ24" s="1014">
        <f t="shared" si="75"/>
        <v>0</v>
      </c>
      <c r="CR24" s="1014">
        <f t="shared" si="76"/>
        <v>83715.520000000004</v>
      </c>
      <c r="CS24" s="1014">
        <f t="shared" si="77"/>
        <v>25500</v>
      </c>
      <c r="CT24" s="1014">
        <f t="shared" si="78"/>
        <v>0</v>
      </c>
      <c r="CU24" s="1015">
        <f t="shared" si="79"/>
        <v>17009.03</v>
      </c>
      <c r="CV24" s="1030">
        <f t="shared" si="80"/>
        <v>126224.55</v>
      </c>
      <c r="CW24" s="1014">
        <f t="shared" si="81"/>
        <v>76673.78</v>
      </c>
      <c r="CX24" s="1014">
        <f t="shared" si="82"/>
        <v>0</v>
      </c>
      <c r="CY24" s="1014">
        <f t="shared" si="83"/>
        <v>0</v>
      </c>
      <c r="CZ24" s="1014">
        <f t="shared" si="84"/>
        <v>0</v>
      </c>
      <c r="DA24" s="1014">
        <f t="shared" si="85"/>
        <v>0</v>
      </c>
      <c r="DB24" s="1014">
        <f t="shared" si="86"/>
        <v>0</v>
      </c>
      <c r="DC24" s="1014">
        <f t="shared" si="87"/>
        <v>0</v>
      </c>
      <c r="DD24" s="1014">
        <f t="shared" si="88"/>
        <v>0</v>
      </c>
      <c r="DE24" s="1015">
        <f t="shared" si="89"/>
        <v>0</v>
      </c>
      <c r="DF24" s="1014">
        <f t="shared" si="90"/>
        <v>0</v>
      </c>
      <c r="DG24" s="1014">
        <f t="shared" si="91"/>
        <v>0</v>
      </c>
      <c r="DH24" s="1012">
        <f t="shared" si="240"/>
        <v>76673.78</v>
      </c>
      <c r="DI24" s="1014">
        <f t="shared" si="93"/>
        <v>0</v>
      </c>
      <c r="DJ24" s="1014">
        <f t="shared" si="94"/>
        <v>0</v>
      </c>
      <c r="DK24" s="1014">
        <f t="shared" si="95"/>
        <v>0</v>
      </c>
      <c r="DL24" s="1014">
        <f t="shared" si="96"/>
        <v>0</v>
      </c>
      <c r="DM24" s="1014">
        <f t="shared" si="97"/>
        <v>0</v>
      </c>
      <c r="DN24" s="1014">
        <f t="shared" si="98"/>
        <v>0</v>
      </c>
      <c r="DO24" s="1014">
        <f t="shared" si="99"/>
        <v>0</v>
      </c>
      <c r="DP24" s="1014">
        <f t="shared" si="100"/>
        <v>0</v>
      </c>
      <c r="DQ24" s="1020">
        <f t="shared" si="101"/>
        <v>0</v>
      </c>
      <c r="DR24" s="1014">
        <f t="shared" si="102"/>
        <v>0</v>
      </c>
      <c r="DS24" s="1014">
        <f t="shared" si="103"/>
        <v>0</v>
      </c>
      <c r="DT24" s="1025">
        <f t="shared" si="241"/>
        <v>0</v>
      </c>
    </row>
    <row r="25" spans="1:124" x14ac:dyDescent="0.2">
      <c r="A25" s="908" t="s">
        <v>7</v>
      </c>
      <c r="B25" s="908">
        <v>2016</v>
      </c>
      <c r="C25" s="910">
        <f t="shared" si="228"/>
        <v>440000</v>
      </c>
      <c r="D25" s="910">
        <f t="shared" si="229"/>
        <v>0</v>
      </c>
      <c r="E25" s="910">
        <f t="shared" si="230"/>
        <v>558000</v>
      </c>
      <c r="F25" s="910">
        <f t="shared" si="3"/>
        <v>264277.39</v>
      </c>
      <c r="G25" s="910">
        <f t="shared" si="231"/>
        <v>110000</v>
      </c>
      <c r="H25" s="910">
        <f t="shared" si="232"/>
        <v>0</v>
      </c>
      <c r="I25" s="910">
        <f t="shared" si="233"/>
        <v>0</v>
      </c>
      <c r="J25" s="910">
        <f t="shared" si="7"/>
        <v>0</v>
      </c>
      <c r="K25" s="910">
        <f t="shared" si="8"/>
        <v>0</v>
      </c>
      <c r="L25" s="910">
        <f t="shared" si="9"/>
        <v>0</v>
      </c>
      <c r="M25" s="910">
        <f t="shared" si="234"/>
        <v>0</v>
      </c>
      <c r="N25" s="910">
        <f t="shared" si="235"/>
        <v>0</v>
      </c>
      <c r="O25" s="910">
        <f t="shared" si="236"/>
        <v>46495.98</v>
      </c>
      <c r="P25" s="910">
        <f t="shared" si="13"/>
        <v>0</v>
      </c>
      <c r="Q25" s="910">
        <f t="shared" si="237"/>
        <v>0</v>
      </c>
      <c r="R25" s="910">
        <f t="shared" si="238"/>
        <v>0</v>
      </c>
      <c r="S25" s="910">
        <f t="shared" si="239"/>
        <v>1418773.37</v>
      </c>
      <c r="T25" s="1037">
        <f t="shared" si="17"/>
        <v>30015.969999999972</v>
      </c>
      <c r="U25" s="1034">
        <f t="shared" si="117"/>
        <v>0</v>
      </c>
      <c r="V25" s="1034">
        <f t="shared" si="118"/>
        <v>0</v>
      </c>
      <c r="W25" s="1034">
        <f t="shared" si="119"/>
        <v>0</v>
      </c>
      <c r="X25" s="1034">
        <f t="shared" si="120"/>
        <v>0</v>
      </c>
      <c r="Y25" s="1034">
        <f t="shared" si="121"/>
        <v>0</v>
      </c>
      <c r="Z25" s="1034">
        <f t="shared" si="122"/>
        <v>0</v>
      </c>
      <c r="AA25" s="1034">
        <f t="shared" si="123"/>
        <v>211400</v>
      </c>
      <c r="AB25" s="1034">
        <f t="shared" si="124"/>
        <v>538277.63</v>
      </c>
      <c r="AC25" s="1034">
        <f t="shared" si="125"/>
        <v>1069463.7200000002</v>
      </c>
      <c r="AD25" s="1034">
        <f t="shared" si="126"/>
        <v>1135463.7200000002</v>
      </c>
      <c r="AE25" s="1034">
        <f t="shared" si="127"/>
        <v>1342261.9200000002</v>
      </c>
      <c r="AF25" s="1034">
        <f t="shared" si="128"/>
        <v>1342261.9200000002</v>
      </c>
      <c r="AG25" s="1034">
        <f t="shared" si="129"/>
        <v>1388757.4000000001</v>
      </c>
      <c r="AH25" s="1041">
        <f t="shared" si="130"/>
        <v>0.97884371765449762</v>
      </c>
      <c r="AI25" s="1014">
        <f t="shared" si="18"/>
        <v>0</v>
      </c>
      <c r="AJ25" s="1025">
        <f t="shared" si="131"/>
        <v>0</v>
      </c>
      <c r="AK25" s="1014">
        <f t="shared" si="19"/>
        <v>0</v>
      </c>
      <c r="AL25" s="1025">
        <f t="shared" si="132"/>
        <v>0</v>
      </c>
      <c r="AM25" s="1014">
        <f t="shared" si="20"/>
        <v>0</v>
      </c>
      <c r="AN25" s="1025">
        <f t="shared" si="133"/>
        <v>0</v>
      </c>
      <c r="AO25" s="1014">
        <f t="shared" si="21"/>
        <v>0</v>
      </c>
      <c r="AP25" s="1014">
        <f t="shared" si="22"/>
        <v>0</v>
      </c>
      <c r="AQ25" s="1014">
        <f t="shared" si="23"/>
        <v>0</v>
      </c>
      <c r="AR25" s="1015">
        <f t="shared" si="24"/>
        <v>0</v>
      </c>
      <c r="AS25" s="1025">
        <f t="shared" si="25"/>
        <v>0</v>
      </c>
      <c r="AT25" s="1014">
        <f t="shared" si="26"/>
        <v>0</v>
      </c>
      <c r="AU25" s="1014">
        <f t="shared" si="27"/>
        <v>0</v>
      </c>
      <c r="AV25" s="1014">
        <f t="shared" si="28"/>
        <v>0</v>
      </c>
      <c r="AW25" s="1014">
        <f t="shared" si="29"/>
        <v>0</v>
      </c>
      <c r="AX25" s="1014">
        <f t="shared" si="30"/>
        <v>0</v>
      </c>
      <c r="AY25" s="1014">
        <f t="shared" si="31"/>
        <v>0</v>
      </c>
      <c r="AZ25" s="1025">
        <f t="shared" si="32"/>
        <v>0</v>
      </c>
      <c r="BA25" s="1014">
        <f t="shared" si="33"/>
        <v>0</v>
      </c>
      <c r="BB25" s="1014">
        <f t="shared" si="34"/>
        <v>0</v>
      </c>
      <c r="BC25" s="1014">
        <f t="shared" si="35"/>
        <v>0</v>
      </c>
      <c r="BD25" s="1014">
        <f t="shared" si="36"/>
        <v>0</v>
      </c>
      <c r="BE25" s="1014">
        <f t="shared" si="37"/>
        <v>0</v>
      </c>
      <c r="BF25" s="1014">
        <f t="shared" si="38"/>
        <v>0</v>
      </c>
      <c r="BG25" s="1025">
        <f t="shared" si="39"/>
        <v>0</v>
      </c>
      <c r="BH25" s="1014">
        <f t="shared" si="40"/>
        <v>0</v>
      </c>
      <c r="BI25" s="1014">
        <f t="shared" si="41"/>
        <v>167400</v>
      </c>
      <c r="BJ25" s="1014">
        <f t="shared" si="42"/>
        <v>0</v>
      </c>
      <c r="BK25" s="1014">
        <f t="shared" si="43"/>
        <v>44000</v>
      </c>
      <c r="BL25" s="1014">
        <f t="shared" si="44"/>
        <v>0</v>
      </c>
      <c r="BM25" s="1014">
        <f t="shared" si="45"/>
        <v>0</v>
      </c>
      <c r="BN25" s="1025">
        <f t="shared" si="46"/>
        <v>211400</v>
      </c>
      <c r="BO25" s="1014">
        <f t="shared" si="47"/>
        <v>175715.43</v>
      </c>
      <c r="BP25" s="1014">
        <f t="shared" si="48"/>
        <v>151162.20000000001</v>
      </c>
      <c r="BQ25" s="1014">
        <f t="shared" si="49"/>
        <v>0</v>
      </c>
      <c r="BR25" s="1014">
        <f t="shared" si="50"/>
        <v>0</v>
      </c>
      <c r="BS25" s="1014">
        <f t="shared" si="51"/>
        <v>0</v>
      </c>
      <c r="BT25" s="1025">
        <f t="shared" si="52"/>
        <v>326877.63</v>
      </c>
      <c r="BU25" s="1014">
        <f t="shared" si="53"/>
        <v>176284.57</v>
      </c>
      <c r="BV25" s="1014">
        <f t="shared" si="54"/>
        <v>120639.6</v>
      </c>
      <c r="BW25" s="1014">
        <f t="shared" si="55"/>
        <v>234261.91999999998</v>
      </c>
      <c r="BX25" s="1014">
        <f t="shared" si="56"/>
        <v>0</v>
      </c>
      <c r="BY25" s="1014">
        <f t="shared" si="57"/>
        <v>0</v>
      </c>
      <c r="BZ25" s="1014">
        <f t="shared" si="58"/>
        <v>0</v>
      </c>
      <c r="CA25" s="1014">
        <f t="shared" si="59"/>
        <v>0</v>
      </c>
      <c r="CB25" s="1014">
        <f t="shared" si="60"/>
        <v>0</v>
      </c>
      <c r="CC25" s="1014">
        <f t="shared" si="61"/>
        <v>0</v>
      </c>
      <c r="CD25" s="1015">
        <f t="shared" si="62"/>
        <v>0</v>
      </c>
      <c r="CE25" s="1014">
        <f t="shared" si="63"/>
        <v>0</v>
      </c>
      <c r="CF25" s="1025">
        <f t="shared" si="64"/>
        <v>531186.09000000008</v>
      </c>
      <c r="CG25" s="1014">
        <f t="shared" si="65"/>
        <v>0</v>
      </c>
      <c r="CH25" s="1014">
        <f t="shared" si="66"/>
        <v>0</v>
      </c>
      <c r="CI25" s="1014">
        <f t="shared" si="67"/>
        <v>0</v>
      </c>
      <c r="CJ25" s="1014">
        <f t="shared" si="68"/>
        <v>66000</v>
      </c>
      <c r="CK25" s="1014">
        <f t="shared" si="69"/>
        <v>0</v>
      </c>
      <c r="CL25" s="1014">
        <f t="shared" si="70"/>
        <v>0</v>
      </c>
      <c r="CM25" s="1014">
        <f t="shared" si="71"/>
        <v>0</v>
      </c>
      <c r="CN25" s="1015">
        <f t="shared" si="72"/>
        <v>0</v>
      </c>
      <c r="CO25" s="1014">
        <f t="shared" si="73"/>
        <v>0</v>
      </c>
      <c r="CP25" s="1025">
        <f t="shared" si="74"/>
        <v>66000</v>
      </c>
      <c r="CQ25" s="1014">
        <f t="shared" si="75"/>
        <v>88000</v>
      </c>
      <c r="CR25" s="1014">
        <f t="shared" si="76"/>
        <v>118798.2</v>
      </c>
      <c r="CS25" s="1014">
        <f t="shared" si="77"/>
        <v>0</v>
      </c>
      <c r="CT25" s="1014">
        <f t="shared" si="78"/>
        <v>0</v>
      </c>
      <c r="CU25" s="1015">
        <f t="shared" si="79"/>
        <v>0</v>
      </c>
      <c r="CV25" s="1030">
        <f t="shared" si="80"/>
        <v>206798.2</v>
      </c>
      <c r="CW25" s="1014">
        <f t="shared" si="81"/>
        <v>0</v>
      </c>
      <c r="CX25" s="1014">
        <f t="shared" si="82"/>
        <v>0</v>
      </c>
      <c r="CY25" s="1014">
        <f t="shared" si="83"/>
        <v>0</v>
      </c>
      <c r="CZ25" s="1014">
        <f t="shared" si="84"/>
        <v>0</v>
      </c>
      <c r="DA25" s="1014">
        <f t="shared" si="85"/>
        <v>0</v>
      </c>
      <c r="DB25" s="1014">
        <f t="shared" si="86"/>
        <v>0</v>
      </c>
      <c r="DC25" s="1014">
        <f t="shared" si="87"/>
        <v>0</v>
      </c>
      <c r="DD25" s="1014">
        <f t="shared" si="88"/>
        <v>0</v>
      </c>
      <c r="DE25" s="1015">
        <f t="shared" si="89"/>
        <v>0</v>
      </c>
      <c r="DF25" s="1014">
        <f t="shared" si="90"/>
        <v>0</v>
      </c>
      <c r="DG25" s="1014">
        <f t="shared" si="91"/>
        <v>0</v>
      </c>
      <c r="DH25" s="1012">
        <f t="shared" si="240"/>
        <v>0</v>
      </c>
      <c r="DI25" s="1014">
        <f t="shared" si="93"/>
        <v>0</v>
      </c>
      <c r="DJ25" s="1014">
        <f t="shared" si="94"/>
        <v>0</v>
      </c>
      <c r="DK25" s="1014">
        <f t="shared" si="95"/>
        <v>0</v>
      </c>
      <c r="DL25" s="1014">
        <f t="shared" si="96"/>
        <v>0</v>
      </c>
      <c r="DM25" s="1014">
        <f t="shared" si="97"/>
        <v>0</v>
      </c>
      <c r="DN25" s="1014">
        <f t="shared" si="98"/>
        <v>0</v>
      </c>
      <c r="DO25" s="1014">
        <f t="shared" si="99"/>
        <v>0</v>
      </c>
      <c r="DP25" s="1014">
        <f t="shared" si="100"/>
        <v>0</v>
      </c>
      <c r="DQ25" s="1020">
        <f t="shared" si="101"/>
        <v>46495.48</v>
      </c>
      <c r="DR25" s="1014">
        <f t="shared" si="102"/>
        <v>0</v>
      </c>
      <c r="DS25" s="1014">
        <f t="shared" si="103"/>
        <v>0</v>
      </c>
      <c r="DT25" s="1025">
        <f t="shared" si="241"/>
        <v>46495.48</v>
      </c>
    </row>
    <row r="26" spans="1:124" x14ac:dyDescent="0.2">
      <c r="A26" s="908" t="s">
        <v>8</v>
      </c>
      <c r="B26" s="908">
        <v>2016</v>
      </c>
      <c r="C26" s="910">
        <f t="shared" si="228"/>
        <v>480000</v>
      </c>
      <c r="D26" s="910">
        <f t="shared" si="229"/>
        <v>0</v>
      </c>
      <c r="E26" s="910">
        <f t="shared" si="230"/>
        <v>264000</v>
      </c>
      <c r="F26" s="910">
        <f t="shared" si="3"/>
        <v>184958.15</v>
      </c>
      <c r="G26" s="910">
        <f t="shared" si="231"/>
        <v>120000</v>
      </c>
      <c r="H26" s="910">
        <f t="shared" si="232"/>
        <v>0</v>
      </c>
      <c r="I26" s="910">
        <f t="shared" si="233"/>
        <v>0</v>
      </c>
      <c r="J26" s="910">
        <f t="shared" si="7"/>
        <v>0</v>
      </c>
      <c r="K26" s="910">
        <f t="shared" si="8"/>
        <v>0</v>
      </c>
      <c r="L26" s="910">
        <f t="shared" si="9"/>
        <v>0</v>
      </c>
      <c r="M26" s="910">
        <f t="shared" si="234"/>
        <v>0</v>
      </c>
      <c r="N26" s="910">
        <f t="shared" si="235"/>
        <v>0</v>
      </c>
      <c r="O26" s="910">
        <f t="shared" si="236"/>
        <v>42015.88</v>
      </c>
      <c r="P26" s="910">
        <f t="shared" si="13"/>
        <v>0</v>
      </c>
      <c r="Q26" s="910">
        <f t="shared" si="237"/>
        <v>0</v>
      </c>
      <c r="R26" s="910">
        <f t="shared" si="238"/>
        <v>0</v>
      </c>
      <c r="S26" s="910">
        <f t="shared" si="239"/>
        <v>1090974.0299999998</v>
      </c>
      <c r="T26" s="1037">
        <f t="shared" si="17"/>
        <v>184958.14999999979</v>
      </c>
      <c r="U26" s="1034">
        <f t="shared" si="117"/>
        <v>0</v>
      </c>
      <c r="V26" s="1034">
        <f t="shared" si="118"/>
        <v>0</v>
      </c>
      <c r="W26" s="1034">
        <f t="shared" si="119"/>
        <v>0</v>
      </c>
      <c r="X26" s="1034">
        <f t="shared" si="120"/>
        <v>0</v>
      </c>
      <c r="Y26" s="1034">
        <f t="shared" si="121"/>
        <v>0</v>
      </c>
      <c r="Z26" s="1034">
        <f t="shared" si="122"/>
        <v>0</v>
      </c>
      <c r="AA26" s="1034">
        <f t="shared" si="123"/>
        <v>127200</v>
      </c>
      <c r="AB26" s="1034">
        <f t="shared" si="124"/>
        <v>393143.86</v>
      </c>
      <c r="AC26" s="1034">
        <f t="shared" si="125"/>
        <v>511115.86</v>
      </c>
      <c r="AD26" s="1034">
        <f t="shared" si="126"/>
        <v>638879.27</v>
      </c>
      <c r="AE26" s="1034">
        <f t="shared" si="127"/>
        <v>844926.28</v>
      </c>
      <c r="AF26" s="1034">
        <f t="shared" si="128"/>
        <v>906015.88</v>
      </c>
      <c r="AG26" s="1034">
        <f t="shared" si="129"/>
        <v>906015.88</v>
      </c>
      <c r="AH26" s="1041">
        <f t="shared" si="130"/>
        <v>0.83046512115416737</v>
      </c>
      <c r="AI26" s="1014">
        <f t="shared" si="18"/>
        <v>0</v>
      </c>
      <c r="AJ26" s="1025">
        <f t="shared" si="131"/>
        <v>0</v>
      </c>
      <c r="AK26" s="1014">
        <f t="shared" si="19"/>
        <v>0</v>
      </c>
      <c r="AL26" s="1025">
        <f t="shared" si="132"/>
        <v>0</v>
      </c>
      <c r="AM26" s="1014">
        <f t="shared" si="20"/>
        <v>0</v>
      </c>
      <c r="AN26" s="1025">
        <f t="shared" si="133"/>
        <v>0</v>
      </c>
      <c r="AO26" s="1014">
        <f t="shared" si="21"/>
        <v>0</v>
      </c>
      <c r="AP26" s="1014">
        <f t="shared" si="22"/>
        <v>0</v>
      </c>
      <c r="AQ26" s="1014">
        <f t="shared" si="23"/>
        <v>0</v>
      </c>
      <c r="AR26" s="1015">
        <f t="shared" si="24"/>
        <v>0</v>
      </c>
      <c r="AS26" s="1025">
        <f t="shared" si="25"/>
        <v>0</v>
      </c>
      <c r="AT26" s="1014">
        <f t="shared" si="26"/>
        <v>0</v>
      </c>
      <c r="AU26" s="1014">
        <f t="shared" si="27"/>
        <v>0</v>
      </c>
      <c r="AV26" s="1014">
        <f t="shared" si="28"/>
        <v>0</v>
      </c>
      <c r="AW26" s="1014">
        <f t="shared" si="29"/>
        <v>0</v>
      </c>
      <c r="AX26" s="1014">
        <f t="shared" si="30"/>
        <v>0</v>
      </c>
      <c r="AY26" s="1014">
        <f t="shared" si="31"/>
        <v>0</v>
      </c>
      <c r="AZ26" s="1025">
        <f t="shared" si="32"/>
        <v>0</v>
      </c>
      <c r="BA26" s="1014">
        <f t="shared" si="33"/>
        <v>0</v>
      </c>
      <c r="BB26" s="1014">
        <f t="shared" si="34"/>
        <v>0</v>
      </c>
      <c r="BC26" s="1014">
        <f t="shared" si="35"/>
        <v>0</v>
      </c>
      <c r="BD26" s="1014">
        <f t="shared" si="36"/>
        <v>0</v>
      </c>
      <c r="BE26" s="1014">
        <f t="shared" si="37"/>
        <v>0</v>
      </c>
      <c r="BF26" s="1014">
        <f t="shared" si="38"/>
        <v>0</v>
      </c>
      <c r="BG26" s="1025">
        <f t="shared" si="39"/>
        <v>0</v>
      </c>
      <c r="BH26" s="1014">
        <f t="shared" si="40"/>
        <v>0</v>
      </c>
      <c r="BI26" s="1014">
        <f t="shared" si="41"/>
        <v>79200</v>
      </c>
      <c r="BJ26" s="1014">
        <f t="shared" si="42"/>
        <v>0</v>
      </c>
      <c r="BK26" s="1014">
        <f t="shared" si="43"/>
        <v>48000</v>
      </c>
      <c r="BL26" s="1014">
        <f t="shared" si="44"/>
        <v>0</v>
      </c>
      <c r="BM26" s="1014">
        <f t="shared" si="45"/>
        <v>0</v>
      </c>
      <c r="BN26" s="1025">
        <f t="shared" si="46"/>
        <v>127200</v>
      </c>
      <c r="BO26" s="1014">
        <f t="shared" si="47"/>
        <v>265943.86</v>
      </c>
      <c r="BP26" s="1014">
        <f t="shared" si="48"/>
        <v>0</v>
      </c>
      <c r="BQ26" s="1014">
        <f t="shared" si="49"/>
        <v>0</v>
      </c>
      <c r="BR26" s="1014">
        <f t="shared" si="50"/>
        <v>0</v>
      </c>
      <c r="BS26" s="1014">
        <f t="shared" si="51"/>
        <v>0</v>
      </c>
      <c r="BT26" s="1025">
        <f t="shared" si="52"/>
        <v>265943.86</v>
      </c>
      <c r="BU26" s="1014">
        <f t="shared" si="53"/>
        <v>0</v>
      </c>
      <c r="BV26" s="1014">
        <f t="shared" si="54"/>
        <v>81972</v>
      </c>
      <c r="BW26" s="1014">
        <f t="shared" si="55"/>
        <v>0</v>
      </c>
      <c r="BX26" s="1014">
        <f t="shared" si="56"/>
        <v>36000</v>
      </c>
      <c r="BY26" s="1014">
        <f t="shared" si="57"/>
        <v>0</v>
      </c>
      <c r="BZ26" s="1014">
        <f t="shared" si="58"/>
        <v>0</v>
      </c>
      <c r="CA26" s="1014">
        <f t="shared" si="59"/>
        <v>0</v>
      </c>
      <c r="CB26" s="1014">
        <f t="shared" si="60"/>
        <v>0</v>
      </c>
      <c r="CC26" s="1014">
        <f t="shared" si="61"/>
        <v>0</v>
      </c>
      <c r="CD26" s="1015">
        <f t="shared" si="62"/>
        <v>0</v>
      </c>
      <c r="CE26" s="1014">
        <f t="shared" si="63"/>
        <v>0</v>
      </c>
      <c r="CF26" s="1025">
        <f t="shared" si="64"/>
        <v>117972</v>
      </c>
      <c r="CG26" s="1014">
        <f t="shared" si="65"/>
        <v>86025.01</v>
      </c>
      <c r="CH26" s="1014">
        <f t="shared" si="66"/>
        <v>41738.400000000001</v>
      </c>
      <c r="CI26" s="1014">
        <f t="shared" si="67"/>
        <v>0</v>
      </c>
      <c r="CJ26" s="1014">
        <f t="shared" si="68"/>
        <v>0</v>
      </c>
      <c r="CK26" s="1014">
        <f t="shared" si="69"/>
        <v>0</v>
      </c>
      <c r="CL26" s="1014">
        <f t="shared" si="70"/>
        <v>0</v>
      </c>
      <c r="CM26" s="1014">
        <f t="shared" si="71"/>
        <v>0</v>
      </c>
      <c r="CN26" s="1015">
        <f t="shared" si="72"/>
        <v>0</v>
      </c>
      <c r="CO26" s="1014">
        <f t="shared" si="73"/>
        <v>0</v>
      </c>
      <c r="CP26" s="1025">
        <f t="shared" si="74"/>
        <v>127763.41</v>
      </c>
      <c r="CQ26" s="1014">
        <f t="shared" si="75"/>
        <v>128031.13</v>
      </c>
      <c r="CR26" s="1014">
        <f t="shared" si="76"/>
        <v>0</v>
      </c>
      <c r="CS26" s="1014">
        <f t="shared" si="77"/>
        <v>36000</v>
      </c>
      <c r="CT26" s="1014">
        <f t="shared" si="78"/>
        <v>0</v>
      </c>
      <c r="CU26" s="1015">
        <f t="shared" si="79"/>
        <v>42015.88</v>
      </c>
      <c r="CV26" s="1030">
        <f t="shared" si="80"/>
        <v>206047.01</v>
      </c>
      <c r="CW26" s="1014">
        <f t="shared" si="81"/>
        <v>0</v>
      </c>
      <c r="CX26" s="1014">
        <f t="shared" si="82"/>
        <v>0</v>
      </c>
      <c r="CY26" s="1014">
        <f t="shared" si="83"/>
        <v>61089.599999999999</v>
      </c>
      <c r="CZ26" s="1014">
        <f t="shared" si="84"/>
        <v>0</v>
      </c>
      <c r="DA26" s="1014">
        <f t="shared" si="85"/>
        <v>0</v>
      </c>
      <c r="DB26" s="1014">
        <f t="shared" si="86"/>
        <v>0</v>
      </c>
      <c r="DC26" s="1014">
        <f t="shared" si="87"/>
        <v>0</v>
      </c>
      <c r="DD26" s="1014">
        <f t="shared" si="88"/>
        <v>0</v>
      </c>
      <c r="DE26" s="1015">
        <f t="shared" si="89"/>
        <v>0</v>
      </c>
      <c r="DF26" s="1014">
        <f t="shared" si="90"/>
        <v>0</v>
      </c>
      <c r="DG26" s="1014">
        <f t="shared" si="91"/>
        <v>0</v>
      </c>
      <c r="DH26" s="1012">
        <f t="shared" si="240"/>
        <v>61089.599999999999</v>
      </c>
      <c r="DI26" s="1014">
        <f t="shared" si="93"/>
        <v>0</v>
      </c>
      <c r="DJ26" s="1014">
        <f t="shared" si="94"/>
        <v>0</v>
      </c>
      <c r="DK26" s="1014">
        <f t="shared" si="95"/>
        <v>0</v>
      </c>
      <c r="DL26" s="1014">
        <f t="shared" si="96"/>
        <v>0</v>
      </c>
      <c r="DM26" s="1014">
        <f t="shared" si="97"/>
        <v>0</v>
      </c>
      <c r="DN26" s="1014">
        <f t="shared" si="98"/>
        <v>0</v>
      </c>
      <c r="DO26" s="1014">
        <f t="shared" si="99"/>
        <v>0</v>
      </c>
      <c r="DP26" s="1014">
        <f t="shared" si="100"/>
        <v>0</v>
      </c>
      <c r="DQ26" s="1020">
        <f t="shared" si="101"/>
        <v>0</v>
      </c>
      <c r="DR26" s="1014">
        <f t="shared" si="102"/>
        <v>0</v>
      </c>
      <c r="DS26" s="1014">
        <f t="shared" si="103"/>
        <v>0</v>
      </c>
      <c r="DT26" s="1025">
        <f t="shared" si="241"/>
        <v>0</v>
      </c>
    </row>
    <row r="27" spans="1:124" x14ac:dyDescent="0.2">
      <c r="A27" s="908" t="s">
        <v>55</v>
      </c>
      <c r="B27" s="908">
        <v>2017</v>
      </c>
      <c r="C27" s="910">
        <f t="shared" si="228"/>
        <v>480000</v>
      </c>
      <c r="D27" s="910">
        <f t="shared" si="229"/>
        <v>0</v>
      </c>
      <c r="E27" s="910">
        <f t="shared" si="230"/>
        <v>360000</v>
      </c>
      <c r="F27" s="910">
        <f t="shared" si="3"/>
        <v>0</v>
      </c>
      <c r="G27" s="910">
        <f t="shared" si="231"/>
        <v>120000</v>
      </c>
      <c r="H27" s="910">
        <f t="shared" si="232"/>
        <v>0</v>
      </c>
      <c r="I27" s="910">
        <f t="shared" si="233"/>
        <v>0</v>
      </c>
      <c r="J27" s="910">
        <f t="shared" si="7"/>
        <v>0</v>
      </c>
      <c r="K27" s="910">
        <f t="shared" si="8"/>
        <v>0</v>
      </c>
      <c r="L27" s="910">
        <f t="shared" si="9"/>
        <v>0</v>
      </c>
      <c r="M27" s="910">
        <f t="shared" si="234"/>
        <v>0</v>
      </c>
      <c r="N27" s="910">
        <f t="shared" si="235"/>
        <v>0</v>
      </c>
      <c r="O27" s="910">
        <f t="shared" si="236"/>
        <v>54484.369999999995</v>
      </c>
      <c r="P27" s="910">
        <f t="shared" si="13"/>
        <v>0</v>
      </c>
      <c r="Q27" s="910">
        <f t="shared" si="237"/>
        <v>0</v>
      </c>
      <c r="R27" s="910">
        <f t="shared" si="238"/>
        <v>0</v>
      </c>
      <c r="S27" s="910">
        <f t="shared" si="239"/>
        <v>1014484.37</v>
      </c>
      <c r="T27" s="1037">
        <f t="shared" si="17"/>
        <v>120894</v>
      </c>
      <c r="U27" s="1034">
        <f t="shared" si="117"/>
        <v>0</v>
      </c>
      <c r="V27" s="1034">
        <f t="shared" si="118"/>
        <v>0</v>
      </c>
      <c r="W27" s="1034">
        <f t="shared" si="119"/>
        <v>0</v>
      </c>
      <c r="X27" s="1034">
        <f t="shared" si="120"/>
        <v>0</v>
      </c>
      <c r="Y27" s="1034">
        <f t="shared" si="121"/>
        <v>0</v>
      </c>
      <c r="Z27" s="1034">
        <f t="shared" si="122"/>
        <v>0</v>
      </c>
      <c r="AA27" s="1034">
        <f t="shared" si="123"/>
        <v>0</v>
      </c>
      <c r="AB27" s="1034">
        <f t="shared" si="124"/>
        <v>156000</v>
      </c>
      <c r="AC27" s="1034">
        <f t="shared" si="125"/>
        <v>161184</v>
      </c>
      <c r="AD27" s="1034">
        <f t="shared" si="126"/>
        <v>641369.03</v>
      </c>
      <c r="AE27" s="1034">
        <f t="shared" si="127"/>
        <v>792000</v>
      </c>
      <c r="AF27" s="1034">
        <f t="shared" si="128"/>
        <v>893590.37</v>
      </c>
      <c r="AG27" s="1034">
        <f t="shared" si="129"/>
        <v>893590.37</v>
      </c>
      <c r="AH27" s="1041">
        <f t="shared" si="130"/>
        <v>0.88083207235612704</v>
      </c>
      <c r="AI27" s="1014">
        <f t="shared" si="18"/>
        <v>0</v>
      </c>
      <c r="AJ27" s="1025">
        <f t="shared" si="131"/>
        <v>0</v>
      </c>
      <c r="AK27" s="1014">
        <f t="shared" si="19"/>
        <v>0</v>
      </c>
      <c r="AL27" s="1025">
        <f t="shared" si="132"/>
        <v>0</v>
      </c>
      <c r="AM27" s="1014">
        <f t="shared" si="20"/>
        <v>0</v>
      </c>
      <c r="AN27" s="1025">
        <f t="shared" si="133"/>
        <v>0</v>
      </c>
      <c r="AO27" s="1014">
        <f t="shared" si="21"/>
        <v>0</v>
      </c>
      <c r="AP27" s="1014">
        <f t="shared" si="22"/>
        <v>0</v>
      </c>
      <c r="AQ27" s="1014">
        <f t="shared" si="23"/>
        <v>0</v>
      </c>
      <c r="AR27" s="1015">
        <f t="shared" si="24"/>
        <v>0</v>
      </c>
      <c r="AS27" s="1025">
        <f t="shared" si="25"/>
        <v>0</v>
      </c>
      <c r="AT27" s="1014">
        <f t="shared" si="26"/>
        <v>0</v>
      </c>
      <c r="AU27" s="1014">
        <f t="shared" si="27"/>
        <v>0</v>
      </c>
      <c r="AV27" s="1014">
        <f t="shared" si="28"/>
        <v>0</v>
      </c>
      <c r="AW27" s="1014">
        <f t="shared" si="29"/>
        <v>0</v>
      </c>
      <c r="AX27" s="1014">
        <f t="shared" si="30"/>
        <v>0</v>
      </c>
      <c r="AY27" s="1014">
        <f t="shared" si="31"/>
        <v>0</v>
      </c>
      <c r="AZ27" s="1025">
        <f t="shared" si="32"/>
        <v>0</v>
      </c>
      <c r="BA27" s="1014">
        <f t="shared" si="33"/>
        <v>0</v>
      </c>
      <c r="BB27" s="1014">
        <f t="shared" si="34"/>
        <v>0</v>
      </c>
      <c r="BC27" s="1014">
        <f t="shared" si="35"/>
        <v>0</v>
      </c>
      <c r="BD27" s="1014">
        <f t="shared" si="36"/>
        <v>0</v>
      </c>
      <c r="BE27" s="1014">
        <f t="shared" si="37"/>
        <v>0</v>
      </c>
      <c r="BF27" s="1014">
        <f t="shared" si="38"/>
        <v>0</v>
      </c>
      <c r="BG27" s="1025">
        <f t="shared" si="39"/>
        <v>0</v>
      </c>
      <c r="BH27" s="1014">
        <f t="shared" si="40"/>
        <v>0</v>
      </c>
      <c r="BI27" s="1014">
        <f t="shared" si="41"/>
        <v>0</v>
      </c>
      <c r="BJ27" s="1014">
        <f t="shared" si="42"/>
        <v>0</v>
      </c>
      <c r="BK27" s="1014">
        <f t="shared" si="43"/>
        <v>0</v>
      </c>
      <c r="BL27" s="1014">
        <f t="shared" si="44"/>
        <v>0</v>
      </c>
      <c r="BM27" s="1014">
        <f t="shared" si="45"/>
        <v>0</v>
      </c>
      <c r="BN27" s="1025">
        <f t="shared" si="46"/>
        <v>0</v>
      </c>
      <c r="BO27" s="1014">
        <f t="shared" si="47"/>
        <v>0</v>
      </c>
      <c r="BP27" s="1014">
        <f t="shared" si="48"/>
        <v>108000</v>
      </c>
      <c r="BQ27" s="1014">
        <f t="shared" si="49"/>
        <v>0</v>
      </c>
      <c r="BR27" s="1014">
        <f t="shared" si="50"/>
        <v>48000</v>
      </c>
      <c r="BS27" s="1014">
        <f t="shared" si="51"/>
        <v>0</v>
      </c>
      <c r="BT27" s="1025">
        <f t="shared" si="52"/>
        <v>156000</v>
      </c>
      <c r="BU27" s="1014">
        <f t="shared" si="53"/>
        <v>0</v>
      </c>
      <c r="BV27" s="1014">
        <f t="shared" si="54"/>
        <v>5184</v>
      </c>
      <c r="BW27" s="1014">
        <f t="shared" si="55"/>
        <v>0</v>
      </c>
      <c r="BX27" s="1014">
        <f t="shared" si="56"/>
        <v>0</v>
      </c>
      <c r="BY27" s="1014">
        <f t="shared" si="57"/>
        <v>0</v>
      </c>
      <c r="BZ27" s="1014">
        <f t="shared" si="58"/>
        <v>0</v>
      </c>
      <c r="CA27" s="1014">
        <f t="shared" si="59"/>
        <v>0</v>
      </c>
      <c r="CB27" s="1014">
        <f t="shared" si="60"/>
        <v>0</v>
      </c>
      <c r="CC27" s="1014">
        <f t="shared" si="61"/>
        <v>0</v>
      </c>
      <c r="CD27" s="1015">
        <f t="shared" si="62"/>
        <v>0</v>
      </c>
      <c r="CE27" s="1014">
        <f t="shared" si="63"/>
        <v>0</v>
      </c>
      <c r="CF27" s="1025">
        <f t="shared" si="64"/>
        <v>5184</v>
      </c>
      <c r="CG27" s="1014">
        <f t="shared" si="65"/>
        <v>269369.02999999997</v>
      </c>
      <c r="CH27" s="1014">
        <f t="shared" si="66"/>
        <v>174816</v>
      </c>
      <c r="CI27" s="1014">
        <f t="shared" si="67"/>
        <v>0</v>
      </c>
      <c r="CJ27" s="1014">
        <f t="shared" si="68"/>
        <v>36000</v>
      </c>
      <c r="CK27" s="1014">
        <f t="shared" si="69"/>
        <v>0</v>
      </c>
      <c r="CL27" s="1014">
        <f t="shared" si="70"/>
        <v>0</v>
      </c>
      <c r="CM27" s="1014">
        <f t="shared" si="71"/>
        <v>0</v>
      </c>
      <c r="CN27" s="1015">
        <f t="shared" si="72"/>
        <v>0</v>
      </c>
      <c r="CO27" s="1014">
        <f t="shared" si="73"/>
        <v>0</v>
      </c>
      <c r="CP27" s="1025">
        <f t="shared" si="74"/>
        <v>480185.02999999997</v>
      </c>
      <c r="CQ27" s="1014">
        <f t="shared" si="75"/>
        <v>114630.97</v>
      </c>
      <c r="CR27" s="1014">
        <f t="shared" si="76"/>
        <v>0</v>
      </c>
      <c r="CS27" s="1014">
        <f t="shared" si="77"/>
        <v>36000</v>
      </c>
      <c r="CT27" s="1014">
        <f t="shared" si="78"/>
        <v>0</v>
      </c>
      <c r="CU27" s="1015">
        <f t="shared" si="79"/>
        <v>0</v>
      </c>
      <c r="CV27" s="1030">
        <f t="shared" si="80"/>
        <v>150630.97</v>
      </c>
      <c r="CW27" s="1014">
        <f t="shared" si="81"/>
        <v>0</v>
      </c>
      <c r="CX27" s="1014">
        <f t="shared" si="82"/>
        <v>0</v>
      </c>
      <c r="CY27" s="1014">
        <f t="shared" si="83"/>
        <v>72000</v>
      </c>
      <c r="CZ27" s="1014">
        <f t="shared" si="84"/>
        <v>0</v>
      </c>
      <c r="DA27" s="1014">
        <f t="shared" si="85"/>
        <v>0</v>
      </c>
      <c r="DB27" s="1014">
        <f t="shared" si="86"/>
        <v>0</v>
      </c>
      <c r="DC27" s="1014">
        <f t="shared" si="87"/>
        <v>0</v>
      </c>
      <c r="DD27" s="1014">
        <f t="shared" si="88"/>
        <v>0</v>
      </c>
      <c r="DE27" s="1015">
        <f t="shared" si="89"/>
        <v>29590.37</v>
      </c>
      <c r="DF27" s="1014">
        <f t="shared" si="90"/>
        <v>0</v>
      </c>
      <c r="DG27" s="1014">
        <f t="shared" si="91"/>
        <v>0</v>
      </c>
      <c r="DH27" s="1012">
        <f t="shared" si="240"/>
        <v>101590.37</v>
      </c>
      <c r="DI27" s="1014">
        <f t="shared" si="93"/>
        <v>0</v>
      </c>
      <c r="DJ27" s="1014">
        <f t="shared" si="94"/>
        <v>0</v>
      </c>
      <c r="DK27" s="1014">
        <f t="shared" si="95"/>
        <v>0</v>
      </c>
      <c r="DL27" s="1014">
        <f t="shared" si="96"/>
        <v>0</v>
      </c>
      <c r="DM27" s="1014">
        <f t="shared" si="97"/>
        <v>0</v>
      </c>
      <c r="DN27" s="1014">
        <f t="shared" si="98"/>
        <v>0</v>
      </c>
      <c r="DO27" s="1014">
        <f t="shared" si="99"/>
        <v>0</v>
      </c>
      <c r="DP27" s="1014">
        <f t="shared" si="100"/>
        <v>0</v>
      </c>
      <c r="DQ27" s="1020">
        <f t="shared" si="101"/>
        <v>0</v>
      </c>
      <c r="DR27" s="1014">
        <f t="shared" si="102"/>
        <v>0</v>
      </c>
      <c r="DS27" s="1014">
        <f t="shared" si="103"/>
        <v>0</v>
      </c>
      <c r="DT27" s="1025">
        <f t="shared" si="241"/>
        <v>0</v>
      </c>
    </row>
    <row r="28" spans="1:124" x14ac:dyDescent="0.2">
      <c r="A28" s="908" t="s">
        <v>45</v>
      </c>
      <c r="B28" s="908">
        <v>2016</v>
      </c>
      <c r="C28" s="910">
        <f t="shared" si="228"/>
        <v>1303101.69</v>
      </c>
      <c r="D28" s="910">
        <f t="shared" si="229"/>
        <v>0</v>
      </c>
      <c r="E28" s="910">
        <f t="shared" si="230"/>
        <v>660001</v>
      </c>
      <c r="F28" s="910">
        <f t="shared" si="3"/>
        <v>0</v>
      </c>
      <c r="G28" s="910">
        <f t="shared" si="231"/>
        <v>220000</v>
      </c>
      <c r="H28" s="910">
        <f t="shared" si="232"/>
        <v>0</v>
      </c>
      <c r="I28" s="910">
        <f t="shared" si="233"/>
        <v>0</v>
      </c>
      <c r="J28" s="910">
        <f t="shared" si="7"/>
        <v>0</v>
      </c>
      <c r="K28" s="910">
        <f t="shared" si="8"/>
        <v>0</v>
      </c>
      <c r="L28" s="910">
        <f t="shared" si="9"/>
        <v>0</v>
      </c>
      <c r="M28" s="910">
        <f t="shared" si="234"/>
        <v>0</v>
      </c>
      <c r="N28" s="910">
        <f t="shared" si="235"/>
        <v>0</v>
      </c>
      <c r="O28" s="910">
        <f t="shared" si="236"/>
        <v>58548.7</v>
      </c>
      <c r="P28" s="910">
        <f t="shared" si="13"/>
        <v>0</v>
      </c>
      <c r="Q28" s="910">
        <f t="shared" si="237"/>
        <v>0</v>
      </c>
      <c r="R28" s="910">
        <f t="shared" si="238"/>
        <v>0</v>
      </c>
      <c r="S28" s="910">
        <f t="shared" si="239"/>
        <v>2241651.39</v>
      </c>
      <c r="T28" s="1037">
        <f t="shared" si="17"/>
        <v>1.0200000000186265</v>
      </c>
      <c r="U28" s="1034">
        <f t="shared" si="117"/>
        <v>0</v>
      </c>
      <c r="V28" s="1034">
        <f t="shared" si="118"/>
        <v>0</v>
      </c>
      <c r="W28" s="1034">
        <f t="shared" si="119"/>
        <v>0</v>
      </c>
      <c r="X28" s="1034">
        <f t="shared" si="120"/>
        <v>0</v>
      </c>
      <c r="Y28" s="1034">
        <f t="shared" si="121"/>
        <v>0</v>
      </c>
      <c r="Z28" s="1034">
        <f t="shared" si="122"/>
        <v>0</v>
      </c>
      <c r="AA28" s="1034">
        <f t="shared" si="123"/>
        <v>0</v>
      </c>
      <c r="AB28" s="1034">
        <f t="shared" si="124"/>
        <v>286000</v>
      </c>
      <c r="AC28" s="1034">
        <f t="shared" si="125"/>
        <v>1025888.7</v>
      </c>
      <c r="AD28" s="1034">
        <f t="shared" si="126"/>
        <v>1674827.06</v>
      </c>
      <c r="AE28" s="1034">
        <f t="shared" si="127"/>
        <v>1782033.35</v>
      </c>
      <c r="AF28" s="1034">
        <f t="shared" si="128"/>
        <v>2183101.69</v>
      </c>
      <c r="AG28" s="1034">
        <f t="shared" si="129"/>
        <v>2241650.37</v>
      </c>
      <c r="AH28" s="1041">
        <f t="shared" si="130"/>
        <v>0.99999954497831167</v>
      </c>
      <c r="AI28" s="1014">
        <f t="shared" si="18"/>
        <v>0</v>
      </c>
      <c r="AJ28" s="1025">
        <f t="shared" si="131"/>
        <v>0</v>
      </c>
      <c r="AK28" s="1014">
        <f t="shared" si="19"/>
        <v>0</v>
      </c>
      <c r="AL28" s="1025">
        <f t="shared" si="132"/>
        <v>0</v>
      </c>
      <c r="AM28" s="1014">
        <f t="shared" si="20"/>
        <v>0</v>
      </c>
      <c r="AN28" s="1025">
        <f t="shared" si="133"/>
        <v>0</v>
      </c>
      <c r="AO28" s="1014">
        <f t="shared" si="21"/>
        <v>0</v>
      </c>
      <c r="AP28" s="1014">
        <f t="shared" si="22"/>
        <v>0</v>
      </c>
      <c r="AQ28" s="1014">
        <f t="shared" si="23"/>
        <v>0</v>
      </c>
      <c r="AR28" s="1015">
        <f t="shared" si="24"/>
        <v>0</v>
      </c>
      <c r="AS28" s="1025">
        <f t="shared" si="25"/>
        <v>0</v>
      </c>
      <c r="AT28" s="1014">
        <f t="shared" si="26"/>
        <v>0</v>
      </c>
      <c r="AU28" s="1014">
        <f t="shared" si="27"/>
        <v>0</v>
      </c>
      <c r="AV28" s="1014">
        <f t="shared" si="28"/>
        <v>0</v>
      </c>
      <c r="AW28" s="1014">
        <f t="shared" si="29"/>
        <v>0</v>
      </c>
      <c r="AX28" s="1014">
        <f t="shared" si="30"/>
        <v>0</v>
      </c>
      <c r="AY28" s="1014">
        <f t="shared" si="31"/>
        <v>0</v>
      </c>
      <c r="AZ28" s="1025">
        <f t="shared" si="32"/>
        <v>0</v>
      </c>
      <c r="BA28" s="1014">
        <f t="shared" si="33"/>
        <v>0</v>
      </c>
      <c r="BB28" s="1014">
        <f t="shared" si="34"/>
        <v>0</v>
      </c>
      <c r="BC28" s="1014">
        <f t="shared" si="35"/>
        <v>0</v>
      </c>
      <c r="BD28" s="1014">
        <f t="shared" si="36"/>
        <v>0</v>
      </c>
      <c r="BE28" s="1014">
        <f t="shared" si="37"/>
        <v>0</v>
      </c>
      <c r="BF28" s="1014">
        <f t="shared" si="38"/>
        <v>0</v>
      </c>
      <c r="BG28" s="1025">
        <f t="shared" si="39"/>
        <v>0</v>
      </c>
      <c r="BH28" s="1014">
        <f t="shared" si="40"/>
        <v>0</v>
      </c>
      <c r="BI28" s="1014">
        <f t="shared" si="41"/>
        <v>0</v>
      </c>
      <c r="BJ28" s="1014">
        <f t="shared" si="42"/>
        <v>0</v>
      </c>
      <c r="BK28" s="1014">
        <f t="shared" si="43"/>
        <v>0</v>
      </c>
      <c r="BL28" s="1014">
        <f t="shared" si="44"/>
        <v>0</v>
      </c>
      <c r="BM28" s="1014">
        <f t="shared" si="45"/>
        <v>0</v>
      </c>
      <c r="BN28" s="1025">
        <f t="shared" si="46"/>
        <v>0</v>
      </c>
      <c r="BO28" s="1014">
        <f t="shared" si="47"/>
        <v>0</v>
      </c>
      <c r="BP28" s="1014">
        <f t="shared" si="48"/>
        <v>198000</v>
      </c>
      <c r="BQ28" s="1014">
        <f t="shared" si="49"/>
        <v>0</v>
      </c>
      <c r="BR28" s="1014">
        <f t="shared" si="50"/>
        <v>88000</v>
      </c>
      <c r="BS28" s="1014">
        <f t="shared" si="51"/>
        <v>0</v>
      </c>
      <c r="BT28" s="1025">
        <f t="shared" si="52"/>
        <v>286000</v>
      </c>
      <c r="BU28" s="1014">
        <f t="shared" si="53"/>
        <v>612508.69999999995</v>
      </c>
      <c r="BV28" s="1014">
        <f t="shared" si="54"/>
        <v>127380</v>
      </c>
      <c r="BW28" s="1014">
        <f t="shared" si="55"/>
        <v>0</v>
      </c>
      <c r="BX28" s="1014">
        <f t="shared" si="56"/>
        <v>0</v>
      </c>
      <c r="BY28" s="1014">
        <f t="shared" si="57"/>
        <v>0</v>
      </c>
      <c r="BZ28" s="1014">
        <f t="shared" si="58"/>
        <v>0</v>
      </c>
      <c r="CA28" s="1014">
        <f t="shared" si="59"/>
        <v>0</v>
      </c>
      <c r="CB28" s="1014">
        <f t="shared" si="60"/>
        <v>0</v>
      </c>
      <c r="CC28" s="1014">
        <f t="shared" si="61"/>
        <v>0</v>
      </c>
      <c r="CD28" s="1015">
        <f t="shared" si="62"/>
        <v>0</v>
      </c>
      <c r="CE28" s="1014">
        <f t="shared" si="63"/>
        <v>0</v>
      </c>
      <c r="CF28" s="1025">
        <f t="shared" si="64"/>
        <v>739888.7</v>
      </c>
      <c r="CG28" s="1014">
        <f t="shared" si="65"/>
        <v>388766.36</v>
      </c>
      <c r="CH28" s="1014">
        <f t="shared" si="66"/>
        <v>194172</v>
      </c>
      <c r="CI28" s="1014">
        <f t="shared" si="67"/>
        <v>0</v>
      </c>
      <c r="CJ28" s="1014">
        <f t="shared" si="68"/>
        <v>66000</v>
      </c>
      <c r="CK28" s="1014">
        <f t="shared" si="69"/>
        <v>0</v>
      </c>
      <c r="CL28" s="1014">
        <f t="shared" si="70"/>
        <v>0</v>
      </c>
      <c r="CM28" s="1014">
        <f t="shared" si="71"/>
        <v>0</v>
      </c>
      <c r="CN28" s="1015">
        <f t="shared" si="72"/>
        <v>0</v>
      </c>
      <c r="CO28" s="1014">
        <f t="shared" si="73"/>
        <v>0</v>
      </c>
      <c r="CP28" s="1025">
        <f t="shared" si="74"/>
        <v>648938.36</v>
      </c>
      <c r="CQ28" s="1014">
        <f t="shared" si="75"/>
        <v>41206.29</v>
      </c>
      <c r="CR28" s="1014">
        <f t="shared" si="76"/>
        <v>0</v>
      </c>
      <c r="CS28" s="1014">
        <f t="shared" si="77"/>
        <v>66000</v>
      </c>
      <c r="CT28" s="1014">
        <f t="shared" si="78"/>
        <v>0</v>
      </c>
      <c r="CU28" s="1015">
        <f t="shared" si="79"/>
        <v>0</v>
      </c>
      <c r="CV28" s="1030">
        <f t="shared" si="80"/>
        <v>107206.29000000001</v>
      </c>
      <c r="CW28" s="1014">
        <f t="shared" si="81"/>
        <v>260620.34</v>
      </c>
      <c r="CX28" s="1014">
        <f t="shared" si="82"/>
        <v>0</v>
      </c>
      <c r="CY28" s="1014">
        <f t="shared" si="83"/>
        <v>140448</v>
      </c>
      <c r="CZ28" s="1014">
        <f t="shared" si="84"/>
        <v>0</v>
      </c>
      <c r="DA28" s="1014">
        <f t="shared" si="85"/>
        <v>0</v>
      </c>
      <c r="DB28" s="1014">
        <f t="shared" si="86"/>
        <v>0</v>
      </c>
      <c r="DC28" s="1014">
        <f t="shared" si="87"/>
        <v>0</v>
      </c>
      <c r="DD28" s="1014">
        <f t="shared" si="88"/>
        <v>0</v>
      </c>
      <c r="DE28" s="1015">
        <f t="shared" si="89"/>
        <v>0</v>
      </c>
      <c r="DF28" s="1014">
        <f t="shared" si="90"/>
        <v>0</v>
      </c>
      <c r="DG28" s="1014">
        <f t="shared" si="91"/>
        <v>0</v>
      </c>
      <c r="DH28" s="1012">
        <f t="shared" si="240"/>
        <v>401068.33999999997</v>
      </c>
      <c r="DI28" s="1014">
        <f t="shared" si="93"/>
        <v>0</v>
      </c>
      <c r="DJ28" s="1014">
        <f t="shared" si="94"/>
        <v>0</v>
      </c>
      <c r="DK28" s="1014">
        <f t="shared" si="95"/>
        <v>0</v>
      </c>
      <c r="DL28" s="1014">
        <f t="shared" si="96"/>
        <v>0</v>
      </c>
      <c r="DM28" s="1014">
        <f t="shared" si="97"/>
        <v>0</v>
      </c>
      <c r="DN28" s="1014">
        <f t="shared" si="98"/>
        <v>0</v>
      </c>
      <c r="DO28" s="1014">
        <f t="shared" si="99"/>
        <v>0</v>
      </c>
      <c r="DP28" s="1014">
        <f t="shared" si="100"/>
        <v>0</v>
      </c>
      <c r="DQ28" s="1020">
        <f t="shared" si="101"/>
        <v>58548.68</v>
      </c>
      <c r="DR28" s="1014">
        <f t="shared" si="102"/>
        <v>0</v>
      </c>
      <c r="DS28" s="1014">
        <f t="shared" si="103"/>
        <v>0</v>
      </c>
      <c r="DT28" s="1025">
        <f t="shared" si="241"/>
        <v>58548.68</v>
      </c>
    </row>
    <row r="29" spans="1:124" x14ac:dyDescent="0.2">
      <c r="A29" s="908" t="s">
        <v>82</v>
      </c>
      <c r="B29" s="908">
        <v>2016</v>
      </c>
      <c r="C29" s="910">
        <f t="shared" si="228"/>
        <v>0</v>
      </c>
      <c r="D29" s="910">
        <f t="shared" si="229"/>
        <v>0</v>
      </c>
      <c r="E29" s="910">
        <f t="shared" si="230"/>
        <v>1118000</v>
      </c>
      <c r="F29" s="910">
        <f t="shared" si="3"/>
        <v>0</v>
      </c>
      <c r="G29" s="910">
        <f t="shared" si="231"/>
        <v>0</v>
      </c>
      <c r="H29" s="910">
        <f t="shared" si="232"/>
        <v>0</v>
      </c>
      <c r="I29" s="910">
        <f t="shared" si="233"/>
        <v>0</v>
      </c>
      <c r="J29" s="910">
        <f t="shared" si="7"/>
        <v>0</v>
      </c>
      <c r="K29" s="910">
        <f t="shared" si="8"/>
        <v>0</v>
      </c>
      <c r="L29" s="910">
        <f t="shared" si="9"/>
        <v>0</v>
      </c>
      <c r="M29" s="910">
        <f t="shared" si="234"/>
        <v>0</v>
      </c>
      <c r="N29" s="910">
        <f t="shared" si="235"/>
        <v>0</v>
      </c>
      <c r="O29" s="910">
        <f t="shared" si="236"/>
        <v>0</v>
      </c>
      <c r="P29" s="910">
        <f t="shared" si="13"/>
        <v>0</v>
      </c>
      <c r="Q29" s="910">
        <f t="shared" si="237"/>
        <v>0</v>
      </c>
      <c r="R29" s="910">
        <f t="shared" si="238"/>
        <v>0</v>
      </c>
      <c r="S29" s="910">
        <f t="shared" si="239"/>
        <v>1118000</v>
      </c>
      <c r="T29" s="1037">
        <f t="shared" si="17"/>
        <v>0</v>
      </c>
      <c r="U29" s="1034">
        <f t="shared" si="117"/>
        <v>0</v>
      </c>
      <c r="V29" s="1034">
        <f t="shared" si="118"/>
        <v>0</v>
      </c>
      <c r="W29" s="1034">
        <f t="shared" si="119"/>
        <v>0</v>
      </c>
      <c r="X29" s="1034">
        <f t="shared" si="120"/>
        <v>0</v>
      </c>
      <c r="Y29" s="1034">
        <f t="shared" si="121"/>
        <v>0</v>
      </c>
      <c r="Z29" s="1034">
        <f t="shared" si="122"/>
        <v>0</v>
      </c>
      <c r="AA29" s="1034">
        <f t="shared" si="123"/>
        <v>0</v>
      </c>
      <c r="AB29" s="1034">
        <f t="shared" si="124"/>
        <v>0</v>
      </c>
      <c r="AC29" s="1034">
        <f t="shared" si="125"/>
        <v>662079.6</v>
      </c>
      <c r="AD29" s="1034">
        <f t="shared" si="126"/>
        <v>894400</v>
      </c>
      <c r="AE29" s="1034">
        <f t="shared" si="127"/>
        <v>1118000</v>
      </c>
      <c r="AF29" s="1034">
        <f t="shared" si="128"/>
        <v>1118000</v>
      </c>
      <c r="AG29" s="1034">
        <f t="shared" si="129"/>
        <v>1118000</v>
      </c>
      <c r="AH29" s="1041">
        <f t="shared" si="130"/>
        <v>1</v>
      </c>
      <c r="AI29" s="1014">
        <f t="shared" si="18"/>
        <v>0</v>
      </c>
      <c r="AJ29" s="1025">
        <f t="shared" si="131"/>
        <v>0</v>
      </c>
      <c r="AK29" s="1014">
        <f t="shared" si="19"/>
        <v>0</v>
      </c>
      <c r="AL29" s="1025">
        <f t="shared" si="132"/>
        <v>0</v>
      </c>
      <c r="AM29" s="1014">
        <f t="shared" si="20"/>
        <v>0</v>
      </c>
      <c r="AN29" s="1025">
        <f t="shared" si="133"/>
        <v>0</v>
      </c>
      <c r="AO29" s="1014">
        <f t="shared" si="21"/>
        <v>0</v>
      </c>
      <c r="AP29" s="1014">
        <f t="shared" si="22"/>
        <v>0</v>
      </c>
      <c r="AQ29" s="1014">
        <f t="shared" si="23"/>
        <v>0</v>
      </c>
      <c r="AR29" s="1015">
        <f t="shared" si="24"/>
        <v>0</v>
      </c>
      <c r="AS29" s="1025">
        <f t="shared" si="25"/>
        <v>0</v>
      </c>
      <c r="AT29" s="1014">
        <f t="shared" si="26"/>
        <v>0</v>
      </c>
      <c r="AU29" s="1014">
        <f t="shared" si="27"/>
        <v>0</v>
      </c>
      <c r="AV29" s="1014">
        <f t="shared" si="28"/>
        <v>0</v>
      </c>
      <c r="AW29" s="1014">
        <f t="shared" si="29"/>
        <v>0</v>
      </c>
      <c r="AX29" s="1014">
        <f t="shared" si="30"/>
        <v>0</v>
      </c>
      <c r="AY29" s="1014">
        <f t="shared" si="31"/>
        <v>0</v>
      </c>
      <c r="AZ29" s="1025">
        <f t="shared" si="32"/>
        <v>0</v>
      </c>
      <c r="BA29" s="1014">
        <f t="shared" si="33"/>
        <v>0</v>
      </c>
      <c r="BB29" s="1014">
        <f t="shared" si="34"/>
        <v>0</v>
      </c>
      <c r="BC29" s="1014">
        <f t="shared" si="35"/>
        <v>0</v>
      </c>
      <c r="BD29" s="1014">
        <f t="shared" si="36"/>
        <v>0</v>
      </c>
      <c r="BE29" s="1014">
        <f t="shared" si="37"/>
        <v>0</v>
      </c>
      <c r="BF29" s="1014">
        <f t="shared" si="38"/>
        <v>0</v>
      </c>
      <c r="BG29" s="1025">
        <f t="shared" si="39"/>
        <v>0</v>
      </c>
      <c r="BH29" s="1014">
        <f t="shared" si="40"/>
        <v>0</v>
      </c>
      <c r="BI29" s="1014">
        <f t="shared" si="41"/>
        <v>0</v>
      </c>
      <c r="BJ29" s="1014">
        <f t="shared" si="42"/>
        <v>0</v>
      </c>
      <c r="BK29" s="1014">
        <f t="shared" si="43"/>
        <v>0</v>
      </c>
      <c r="BL29" s="1014">
        <f t="shared" si="44"/>
        <v>0</v>
      </c>
      <c r="BM29" s="1014">
        <f t="shared" si="45"/>
        <v>0</v>
      </c>
      <c r="BN29" s="1025">
        <f t="shared" si="46"/>
        <v>0</v>
      </c>
      <c r="BO29" s="1014">
        <f t="shared" si="47"/>
        <v>0</v>
      </c>
      <c r="BP29" s="1014">
        <f t="shared" si="48"/>
        <v>0</v>
      </c>
      <c r="BQ29" s="1014">
        <f t="shared" si="49"/>
        <v>0</v>
      </c>
      <c r="BR29" s="1014">
        <f t="shared" si="50"/>
        <v>0</v>
      </c>
      <c r="BS29" s="1014">
        <f t="shared" si="51"/>
        <v>0</v>
      </c>
      <c r="BT29" s="1025">
        <f t="shared" si="52"/>
        <v>0</v>
      </c>
      <c r="BU29" s="1014">
        <f t="shared" si="53"/>
        <v>0</v>
      </c>
      <c r="BV29" s="1014">
        <f t="shared" si="54"/>
        <v>662079.6</v>
      </c>
      <c r="BW29" s="1014">
        <f t="shared" si="55"/>
        <v>0</v>
      </c>
      <c r="BX29" s="1014">
        <f t="shared" si="56"/>
        <v>0</v>
      </c>
      <c r="BY29" s="1014">
        <f t="shared" si="57"/>
        <v>0</v>
      </c>
      <c r="BZ29" s="1014">
        <f t="shared" si="58"/>
        <v>0</v>
      </c>
      <c r="CA29" s="1014">
        <f t="shared" si="59"/>
        <v>0</v>
      </c>
      <c r="CB29" s="1014">
        <f t="shared" si="60"/>
        <v>0</v>
      </c>
      <c r="CC29" s="1014">
        <f t="shared" si="61"/>
        <v>0</v>
      </c>
      <c r="CD29" s="1015">
        <f t="shared" si="62"/>
        <v>0</v>
      </c>
      <c r="CE29" s="1014">
        <f t="shared" si="63"/>
        <v>0</v>
      </c>
      <c r="CF29" s="1025">
        <f t="shared" si="64"/>
        <v>662079.6</v>
      </c>
      <c r="CG29" s="1014">
        <f t="shared" si="65"/>
        <v>0</v>
      </c>
      <c r="CH29" s="1014">
        <f t="shared" si="66"/>
        <v>232320.4</v>
      </c>
      <c r="CI29" s="1014">
        <f t="shared" si="67"/>
        <v>0</v>
      </c>
      <c r="CJ29" s="1014">
        <f t="shared" si="68"/>
        <v>0</v>
      </c>
      <c r="CK29" s="1014">
        <f t="shared" si="69"/>
        <v>0</v>
      </c>
      <c r="CL29" s="1014">
        <f t="shared" si="70"/>
        <v>0</v>
      </c>
      <c r="CM29" s="1014">
        <f t="shared" si="71"/>
        <v>0</v>
      </c>
      <c r="CN29" s="1015">
        <f t="shared" si="72"/>
        <v>0</v>
      </c>
      <c r="CO29" s="1014">
        <f t="shared" si="73"/>
        <v>0</v>
      </c>
      <c r="CP29" s="1025">
        <f t="shared" si="74"/>
        <v>232320.4</v>
      </c>
      <c r="CQ29" s="1014">
        <f t="shared" si="75"/>
        <v>0</v>
      </c>
      <c r="CR29" s="1014">
        <f t="shared" si="76"/>
        <v>223600</v>
      </c>
      <c r="CS29" s="1014">
        <f t="shared" si="77"/>
        <v>0</v>
      </c>
      <c r="CT29" s="1014">
        <f t="shared" si="78"/>
        <v>0</v>
      </c>
      <c r="CU29" s="1015">
        <f t="shared" si="79"/>
        <v>0</v>
      </c>
      <c r="CV29" s="1030">
        <f t="shared" si="80"/>
        <v>223600</v>
      </c>
      <c r="CW29" s="1014">
        <f t="shared" si="81"/>
        <v>0</v>
      </c>
      <c r="CX29" s="1014">
        <f t="shared" si="82"/>
        <v>0</v>
      </c>
      <c r="CY29" s="1014">
        <f t="shared" si="83"/>
        <v>0</v>
      </c>
      <c r="CZ29" s="1014">
        <f t="shared" si="84"/>
        <v>0</v>
      </c>
      <c r="DA29" s="1014">
        <f t="shared" si="85"/>
        <v>0</v>
      </c>
      <c r="DB29" s="1014">
        <f t="shared" si="86"/>
        <v>0</v>
      </c>
      <c r="DC29" s="1014">
        <f t="shared" si="87"/>
        <v>0</v>
      </c>
      <c r="DD29" s="1014">
        <f t="shared" si="88"/>
        <v>0</v>
      </c>
      <c r="DE29" s="1015">
        <f t="shared" si="89"/>
        <v>0</v>
      </c>
      <c r="DF29" s="1014">
        <f t="shared" si="90"/>
        <v>0</v>
      </c>
      <c r="DG29" s="1014">
        <f t="shared" si="91"/>
        <v>0</v>
      </c>
      <c r="DH29" s="1012">
        <f t="shared" si="240"/>
        <v>0</v>
      </c>
      <c r="DI29" s="1014">
        <f t="shared" si="93"/>
        <v>0</v>
      </c>
      <c r="DJ29" s="1014">
        <f t="shared" si="94"/>
        <v>0</v>
      </c>
      <c r="DK29" s="1014">
        <f t="shared" si="95"/>
        <v>0</v>
      </c>
      <c r="DL29" s="1014">
        <f t="shared" si="96"/>
        <v>0</v>
      </c>
      <c r="DM29" s="1014">
        <f t="shared" si="97"/>
        <v>0</v>
      </c>
      <c r="DN29" s="1014">
        <f t="shared" si="98"/>
        <v>0</v>
      </c>
      <c r="DO29" s="1014">
        <f t="shared" si="99"/>
        <v>0</v>
      </c>
      <c r="DP29" s="1014">
        <f t="shared" si="100"/>
        <v>0</v>
      </c>
      <c r="DQ29" s="1020">
        <f t="shared" si="101"/>
        <v>0</v>
      </c>
      <c r="DR29" s="1014">
        <f t="shared" si="102"/>
        <v>0</v>
      </c>
      <c r="DS29" s="1014">
        <f t="shared" si="103"/>
        <v>0</v>
      </c>
      <c r="DT29" s="1025">
        <f t="shared" si="241"/>
        <v>0</v>
      </c>
    </row>
    <row r="30" spans="1:124" x14ac:dyDescent="0.2">
      <c r="A30" s="908" t="s">
        <v>30</v>
      </c>
      <c r="B30" s="908">
        <v>2017</v>
      </c>
      <c r="C30" s="910">
        <f t="shared" si="228"/>
        <v>2200000</v>
      </c>
      <c r="D30" s="910">
        <f t="shared" si="229"/>
        <v>0</v>
      </c>
      <c r="E30" s="910">
        <f t="shared" si="230"/>
        <v>1245001</v>
      </c>
      <c r="F30" s="910">
        <f t="shared" si="3"/>
        <v>0</v>
      </c>
      <c r="G30" s="910">
        <f t="shared" si="231"/>
        <v>415000</v>
      </c>
      <c r="H30" s="910">
        <f t="shared" si="232"/>
        <v>0</v>
      </c>
      <c r="I30" s="910">
        <f t="shared" si="233"/>
        <v>0</v>
      </c>
      <c r="J30" s="910">
        <f t="shared" si="7"/>
        <v>0</v>
      </c>
      <c r="K30" s="910">
        <f t="shared" si="8"/>
        <v>0</v>
      </c>
      <c r="L30" s="910">
        <f t="shared" si="9"/>
        <v>0</v>
      </c>
      <c r="M30" s="910">
        <f t="shared" si="234"/>
        <v>0</v>
      </c>
      <c r="N30" s="910">
        <f t="shared" si="235"/>
        <v>0</v>
      </c>
      <c r="O30" s="910">
        <f t="shared" si="236"/>
        <v>108289.3147</v>
      </c>
      <c r="P30" s="910">
        <f t="shared" si="13"/>
        <v>0</v>
      </c>
      <c r="Q30" s="910">
        <f t="shared" si="237"/>
        <v>0</v>
      </c>
      <c r="R30" s="910">
        <f t="shared" si="238"/>
        <v>0</v>
      </c>
      <c r="S30" s="910">
        <f t="shared" si="239"/>
        <v>3968290.3147</v>
      </c>
      <c r="T30" s="1037">
        <f t="shared" si="17"/>
        <v>826498.48469999991</v>
      </c>
      <c r="U30" s="1034">
        <f t="shared" si="117"/>
        <v>0</v>
      </c>
      <c r="V30" s="1034">
        <f t="shared" si="118"/>
        <v>0</v>
      </c>
      <c r="W30" s="1034">
        <f t="shared" si="119"/>
        <v>0</v>
      </c>
      <c r="X30" s="1034">
        <f t="shared" si="120"/>
        <v>0</v>
      </c>
      <c r="Y30" s="1034">
        <f t="shared" si="121"/>
        <v>0</v>
      </c>
      <c r="Z30" s="1034">
        <f t="shared" si="122"/>
        <v>0</v>
      </c>
      <c r="AA30" s="1034">
        <f t="shared" si="123"/>
        <v>0</v>
      </c>
      <c r="AB30" s="1034">
        <f t="shared" si="124"/>
        <v>0</v>
      </c>
      <c r="AC30" s="1034">
        <f t="shared" si="125"/>
        <v>539500</v>
      </c>
      <c r="AD30" s="1034">
        <f t="shared" si="126"/>
        <v>2039547.58</v>
      </c>
      <c r="AE30" s="1034">
        <f t="shared" si="127"/>
        <v>2728828.72</v>
      </c>
      <c r="AF30" s="1034">
        <f t="shared" si="128"/>
        <v>3033502.52</v>
      </c>
      <c r="AG30" s="1034">
        <f t="shared" si="129"/>
        <v>3141791.83</v>
      </c>
      <c r="AH30" s="1041">
        <f t="shared" si="130"/>
        <v>0.79172428951623142</v>
      </c>
      <c r="AI30" s="1014">
        <f t="shared" si="18"/>
        <v>0</v>
      </c>
      <c r="AJ30" s="1025">
        <f t="shared" si="131"/>
        <v>0</v>
      </c>
      <c r="AK30" s="1014">
        <f t="shared" si="19"/>
        <v>0</v>
      </c>
      <c r="AL30" s="1025">
        <f t="shared" si="132"/>
        <v>0</v>
      </c>
      <c r="AM30" s="1014">
        <f t="shared" si="20"/>
        <v>0</v>
      </c>
      <c r="AN30" s="1025">
        <f t="shared" si="133"/>
        <v>0</v>
      </c>
      <c r="AO30" s="1014">
        <f t="shared" si="21"/>
        <v>0</v>
      </c>
      <c r="AP30" s="1014">
        <f t="shared" si="22"/>
        <v>0</v>
      </c>
      <c r="AQ30" s="1014">
        <f t="shared" si="23"/>
        <v>0</v>
      </c>
      <c r="AR30" s="1015">
        <f t="shared" si="24"/>
        <v>0</v>
      </c>
      <c r="AS30" s="1025">
        <f t="shared" si="25"/>
        <v>0</v>
      </c>
      <c r="AT30" s="1014">
        <f t="shared" si="26"/>
        <v>0</v>
      </c>
      <c r="AU30" s="1014">
        <f t="shared" si="27"/>
        <v>0</v>
      </c>
      <c r="AV30" s="1014">
        <f t="shared" si="28"/>
        <v>0</v>
      </c>
      <c r="AW30" s="1014">
        <f t="shared" si="29"/>
        <v>0</v>
      </c>
      <c r="AX30" s="1014">
        <f t="shared" si="30"/>
        <v>0</v>
      </c>
      <c r="AY30" s="1014">
        <f t="shared" si="31"/>
        <v>0</v>
      </c>
      <c r="AZ30" s="1025">
        <f t="shared" si="32"/>
        <v>0</v>
      </c>
      <c r="BA30" s="1014">
        <f t="shared" si="33"/>
        <v>0</v>
      </c>
      <c r="BB30" s="1014">
        <f t="shared" si="34"/>
        <v>0</v>
      </c>
      <c r="BC30" s="1014">
        <f t="shared" si="35"/>
        <v>0</v>
      </c>
      <c r="BD30" s="1014">
        <f t="shared" si="36"/>
        <v>0</v>
      </c>
      <c r="BE30" s="1014">
        <f t="shared" si="37"/>
        <v>0</v>
      </c>
      <c r="BF30" s="1014">
        <f t="shared" si="38"/>
        <v>0</v>
      </c>
      <c r="BG30" s="1025">
        <f t="shared" si="39"/>
        <v>0</v>
      </c>
      <c r="BH30" s="1014">
        <f t="shared" si="40"/>
        <v>0</v>
      </c>
      <c r="BI30" s="1014">
        <f t="shared" si="41"/>
        <v>0</v>
      </c>
      <c r="BJ30" s="1014">
        <f t="shared" si="42"/>
        <v>0</v>
      </c>
      <c r="BK30" s="1014">
        <f t="shared" si="43"/>
        <v>0</v>
      </c>
      <c r="BL30" s="1014">
        <f t="shared" si="44"/>
        <v>0</v>
      </c>
      <c r="BM30" s="1014">
        <f t="shared" si="45"/>
        <v>0</v>
      </c>
      <c r="BN30" s="1025">
        <f t="shared" si="46"/>
        <v>0</v>
      </c>
      <c r="BO30" s="1014">
        <f t="shared" si="47"/>
        <v>0</v>
      </c>
      <c r="BP30" s="1014">
        <f t="shared" si="48"/>
        <v>0</v>
      </c>
      <c r="BQ30" s="1014">
        <f t="shared" si="49"/>
        <v>0</v>
      </c>
      <c r="BR30" s="1014">
        <f t="shared" si="50"/>
        <v>0</v>
      </c>
      <c r="BS30" s="1014">
        <f t="shared" si="51"/>
        <v>0</v>
      </c>
      <c r="BT30" s="1025">
        <f t="shared" si="52"/>
        <v>0</v>
      </c>
      <c r="BU30" s="1014">
        <f t="shared" si="53"/>
        <v>0</v>
      </c>
      <c r="BV30" s="1014">
        <f t="shared" si="54"/>
        <v>373500</v>
      </c>
      <c r="BW30" s="1014">
        <f t="shared" si="55"/>
        <v>0</v>
      </c>
      <c r="BX30" s="1014">
        <f t="shared" si="56"/>
        <v>166000</v>
      </c>
      <c r="BY30" s="1014">
        <f t="shared" si="57"/>
        <v>0</v>
      </c>
      <c r="BZ30" s="1014">
        <f t="shared" si="58"/>
        <v>0</v>
      </c>
      <c r="CA30" s="1014">
        <f t="shared" si="59"/>
        <v>0</v>
      </c>
      <c r="CB30" s="1014">
        <f t="shared" si="60"/>
        <v>0</v>
      </c>
      <c r="CC30" s="1014">
        <f t="shared" si="61"/>
        <v>0</v>
      </c>
      <c r="CD30" s="1015">
        <f t="shared" si="62"/>
        <v>0</v>
      </c>
      <c r="CE30" s="1014">
        <f t="shared" si="63"/>
        <v>0</v>
      </c>
      <c r="CF30" s="1025">
        <f t="shared" si="64"/>
        <v>539500</v>
      </c>
      <c r="CG30" s="1014">
        <f t="shared" si="65"/>
        <v>1244075.58</v>
      </c>
      <c r="CH30" s="1014">
        <f t="shared" si="66"/>
        <v>255972</v>
      </c>
      <c r="CI30" s="1014">
        <f t="shared" si="67"/>
        <v>0</v>
      </c>
      <c r="CJ30" s="1014">
        <f t="shared" si="68"/>
        <v>0</v>
      </c>
      <c r="CK30" s="1014">
        <f t="shared" si="69"/>
        <v>0</v>
      </c>
      <c r="CL30" s="1014">
        <f t="shared" si="70"/>
        <v>0</v>
      </c>
      <c r="CM30" s="1014">
        <f t="shared" si="71"/>
        <v>0</v>
      </c>
      <c r="CN30" s="1015">
        <f t="shared" si="72"/>
        <v>0</v>
      </c>
      <c r="CO30" s="1014">
        <f t="shared" si="73"/>
        <v>0</v>
      </c>
      <c r="CP30" s="1025">
        <f t="shared" si="74"/>
        <v>1500047.58</v>
      </c>
      <c r="CQ30" s="1014">
        <f t="shared" si="75"/>
        <v>298226.64</v>
      </c>
      <c r="CR30" s="1014">
        <f t="shared" si="76"/>
        <v>266554.5</v>
      </c>
      <c r="CS30" s="1014">
        <f t="shared" si="77"/>
        <v>124500</v>
      </c>
      <c r="CT30" s="1014">
        <f t="shared" si="78"/>
        <v>0</v>
      </c>
      <c r="CU30" s="1015">
        <f t="shared" si="79"/>
        <v>0</v>
      </c>
      <c r="CV30" s="1030">
        <f t="shared" si="80"/>
        <v>689281.14</v>
      </c>
      <c r="CW30" s="1014">
        <f t="shared" si="81"/>
        <v>81445.3</v>
      </c>
      <c r="CX30" s="1014">
        <f t="shared" si="82"/>
        <v>0</v>
      </c>
      <c r="CY30" s="1014">
        <f t="shared" si="83"/>
        <v>98728.5</v>
      </c>
      <c r="CZ30" s="1014">
        <f t="shared" si="84"/>
        <v>124500</v>
      </c>
      <c r="DA30" s="1014">
        <f t="shared" si="85"/>
        <v>0</v>
      </c>
      <c r="DB30" s="1014">
        <f t="shared" si="86"/>
        <v>0</v>
      </c>
      <c r="DC30" s="1014">
        <f t="shared" si="87"/>
        <v>0</v>
      </c>
      <c r="DD30" s="1014">
        <f t="shared" si="88"/>
        <v>0</v>
      </c>
      <c r="DE30" s="1015">
        <f t="shared" si="89"/>
        <v>0</v>
      </c>
      <c r="DF30" s="1014">
        <f t="shared" si="90"/>
        <v>0</v>
      </c>
      <c r="DG30" s="1014">
        <f t="shared" si="91"/>
        <v>0</v>
      </c>
      <c r="DH30" s="1012">
        <f t="shared" si="240"/>
        <v>304673.8</v>
      </c>
      <c r="DI30" s="1014">
        <f t="shared" si="93"/>
        <v>0</v>
      </c>
      <c r="DJ30" s="1014">
        <f t="shared" si="94"/>
        <v>0</v>
      </c>
      <c r="DK30" s="1014">
        <f t="shared" si="95"/>
        <v>0</v>
      </c>
      <c r="DL30" s="1014">
        <f t="shared" si="96"/>
        <v>0</v>
      </c>
      <c r="DM30" s="1014">
        <f t="shared" si="97"/>
        <v>0</v>
      </c>
      <c r="DN30" s="1014">
        <f t="shared" si="98"/>
        <v>0</v>
      </c>
      <c r="DO30" s="1014">
        <f t="shared" si="99"/>
        <v>0</v>
      </c>
      <c r="DP30" s="1014">
        <f t="shared" si="100"/>
        <v>0</v>
      </c>
      <c r="DQ30" s="1020">
        <f t="shared" si="101"/>
        <v>108289.31</v>
      </c>
      <c r="DR30" s="1014">
        <f t="shared" si="102"/>
        <v>0</v>
      </c>
      <c r="DS30" s="1014">
        <f t="shared" si="103"/>
        <v>0</v>
      </c>
      <c r="DT30" s="1025">
        <f t="shared" si="241"/>
        <v>108289.31</v>
      </c>
    </row>
    <row r="31" spans="1:124" x14ac:dyDescent="0.2">
      <c r="A31" s="908" t="s">
        <v>48</v>
      </c>
      <c r="B31" s="908">
        <v>2017</v>
      </c>
      <c r="C31" s="910">
        <f t="shared" si="228"/>
        <v>1300000</v>
      </c>
      <c r="D31" s="910">
        <f t="shared" si="229"/>
        <v>0</v>
      </c>
      <c r="E31" s="910">
        <f t="shared" si="230"/>
        <v>790394</v>
      </c>
      <c r="F31" s="910">
        <f t="shared" si="3"/>
        <v>0</v>
      </c>
      <c r="G31" s="910">
        <f t="shared" si="231"/>
        <v>0</v>
      </c>
      <c r="H31" s="910">
        <f t="shared" si="232"/>
        <v>0</v>
      </c>
      <c r="I31" s="910">
        <f t="shared" si="233"/>
        <v>0</v>
      </c>
      <c r="J31" s="910">
        <f t="shared" si="7"/>
        <v>0</v>
      </c>
      <c r="K31" s="910">
        <f t="shared" si="8"/>
        <v>0</v>
      </c>
      <c r="L31" s="910">
        <f t="shared" si="9"/>
        <v>0</v>
      </c>
      <c r="M31" s="910">
        <f t="shared" si="234"/>
        <v>0</v>
      </c>
      <c r="N31" s="910">
        <f t="shared" si="235"/>
        <v>0</v>
      </c>
      <c r="O31" s="910">
        <f t="shared" si="236"/>
        <v>93111.2</v>
      </c>
      <c r="P31" s="910">
        <f t="shared" si="13"/>
        <v>0</v>
      </c>
      <c r="Q31" s="910">
        <f t="shared" si="237"/>
        <v>0</v>
      </c>
      <c r="R31" s="910">
        <f t="shared" si="238"/>
        <v>0</v>
      </c>
      <c r="S31" s="910">
        <f t="shared" si="239"/>
        <v>2183505.2000000002</v>
      </c>
      <c r="T31" s="1037">
        <f t="shared" si="17"/>
        <v>13128.410000000615</v>
      </c>
      <c r="U31" s="1034">
        <f t="shared" si="117"/>
        <v>0</v>
      </c>
      <c r="V31" s="1034">
        <f t="shared" si="118"/>
        <v>0</v>
      </c>
      <c r="W31" s="1034">
        <f t="shared" si="119"/>
        <v>0</v>
      </c>
      <c r="X31" s="1034">
        <f t="shared" si="120"/>
        <v>0</v>
      </c>
      <c r="Y31" s="1034">
        <f t="shared" si="121"/>
        <v>0</v>
      </c>
      <c r="Z31" s="1034">
        <f t="shared" si="122"/>
        <v>632190</v>
      </c>
      <c r="AA31" s="1034">
        <f t="shared" si="123"/>
        <v>869308.2</v>
      </c>
      <c r="AB31" s="1034">
        <f t="shared" si="124"/>
        <v>1267889.98</v>
      </c>
      <c r="AC31" s="1034">
        <f t="shared" si="125"/>
        <v>1590272.2999999998</v>
      </c>
      <c r="AD31" s="1034">
        <f t="shared" si="126"/>
        <v>1663778.9399999997</v>
      </c>
      <c r="AE31" s="1034">
        <f t="shared" si="127"/>
        <v>1756890.1399999997</v>
      </c>
      <c r="AF31" s="1034">
        <f t="shared" si="128"/>
        <v>2170376.7899999996</v>
      </c>
      <c r="AG31" s="1034">
        <f t="shared" si="129"/>
        <v>2170376.7899999996</v>
      </c>
      <c r="AH31" s="1041">
        <f t="shared" si="130"/>
        <v>0.993987461078636</v>
      </c>
      <c r="AI31" s="1014">
        <f t="shared" si="18"/>
        <v>0</v>
      </c>
      <c r="AJ31" s="1025">
        <f t="shared" si="131"/>
        <v>0</v>
      </c>
      <c r="AK31" s="1014">
        <f t="shared" si="19"/>
        <v>0</v>
      </c>
      <c r="AL31" s="1025">
        <f t="shared" si="132"/>
        <v>0</v>
      </c>
      <c r="AM31" s="1014">
        <f t="shared" si="20"/>
        <v>0</v>
      </c>
      <c r="AN31" s="1025">
        <f t="shared" si="133"/>
        <v>0</v>
      </c>
      <c r="AO31" s="1014">
        <f t="shared" si="21"/>
        <v>0</v>
      </c>
      <c r="AP31" s="1014">
        <f t="shared" si="22"/>
        <v>0</v>
      </c>
      <c r="AQ31" s="1014">
        <f t="shared" si="23"/>
        <v>0</v>
      </c>
      <c r="AR31" s="1015">
        <f t="shared" si="24"/>
        <v>0</v>
      </c>
      <c r="AS31" s="1025">
        <f t="shared" si="25"/>
        <v>0</v>
      </c>
      <c r="AT31" s="1014">
        <f t="shared" si="26"/>
        <v>0</v>
      </c>
      <c r="AU31" s="1014">
        <f t="shared" si="27"/>
        <v>0</v>
      </c>
      <c r="AV31" s="1014">
        <f t="shared" si="28"/>
        <v>0</v>
      </c>
      <c r="AW31" s="1014">
        <f t="shared" si="29"/>
        <v>0</v>
      </c>
      <c r="AX31" s="1014">
        <f t="shared" si="30"/>
        <v>0</v>
      </c>
      <c r="AY31" s="1014">
        <f t="shared" si="31"/>
        <v>0</v>
      </c>
      <c r="AZ31" s="1025">
        <f t="shared" si="32"/>
        <v>0</v>
      </c>
      <c r="BA31" s="1014">
        <f t="shared" si="33"/>
        <v>632190</v>
      </c>
      <c r="BB31" s="1014">
        <f t="shared" si="34"/>
        <v>0</v>
      </c>
      <c r="BC31" s="1014">
        <f t="shared" si="35"/>
        <v>0</v>
      </c>
      <c r="BD31" s="1014">
        <f t="shared" si="36"/>
        <v>0</v>
      </c>
      <c r="BE31" s="1014">
        <f t="shared" si="37"/>
        <v>0</v>
      </c>
      <c r="BF31" s="1014">
        <f t="shared" si="38"/>
        <v>0</v>
      </c>
      <c r="BG31" s="1025">
        <f t="shared" si="39"/>
        <v>632190</v>
      </c>
      <c r="BH31" s="1014">
        <f t="shared" si="40"/>
        <v>0</v>
      </c>
      <c r="BI31" s="1014">
        <f t="shared" si="41"/>
        <v>237118.2</v>
      </c>
      <c r="BJ31" s="1014">
        <f t="shared" si="42"/>
        <v>0</v>
      </c>
      <c r="BK31" s="1014">
        <f t="shared" si="43"/>
        <v>0</v>
      </c>
      <c r="BL31" s="1014">
        <f t="shared" si="44"/>
        <v>0</v>
      </c>
      <c r="BM31" s="1014">
        <f t="shared" si="45"/>
        <v>0</v>
      </c>
      <c r="BN31" s="1025">
        <f t="shared" si="46"/>
        <v>237118.2</v>
      </c>
      <c r="BO31" s="1014">
        <f t="shared" si="47"/>
        <v>263503.45</v>
      </c>
      <c r="BP31" s="1014">
        <f t="shared" si="48"/>
        <v>135078.33000000002</v>
      </c>
      <c r="BQ31" s="1014">
        <f t="shared" si="49"/>
        <v>0</v>
      </c>
      <c r="BR31" s="1014">
        <f t="shared" si="50"/>
        <v>0</v>
      </c>
      <c r="BS31" s="1014">
        <f t="shared" si="51"/>
        <v>0</v>
      </c>
      <c r="BT31" s="1025">
        <f t="shared" si="52"/>
        <v>398581.78</v>
      </c>
      <c r="BU31" s="1014">
        <f t="shared" si="53"/>
        <v>144306.54999999999</v>
      </c>
      <c r="BV31" s="1014">
        <f t="shared" si="54"/>
        <v>178075.77</v>
      </c>
      <c r="BW31" s="1014">
        <f t="shared" si="55"/>
        <v>0</v>
      </c>
      <c r="BX31" s="1014">
        <f t="shared" si="56"/>
        <v>0</v>
      </c>
      <c r="BY31" s="1014">
        <f t="shared" si="57"/>
        <v>0</v>
      </c>
      <c r="BZ31" s="1014">
        <f t="shared" si="58"/>
        <v>0</v>
      </c>
      <c r="CA31" s="1014">
        <f t="shared" si="59"/>
        <v>0</v>
      </c>
      <c r="CB31" s="1014">
        <f t="shared" si="60"/>
        <v>0</v>
      </c>
      <c r="CC31" s="1014">
        <f t="shared" si="61"/>
        <v>0</v>
      </c>
      <c r="CD31" s="1015">
        <f t="shared" si="62"/>
        <v>0</v>
      </c>
      <c r="CE31" s="1014">
        <f t="shared" si="63"/>
        <v>0</v>
      </c>
      <c r="CF31" s="1025">
        <f t="shared" si="64"/>
        <v>322382.31999999995</v>
      </c>
      <c r="CG31" s="1014">
        <f t="shared" si="65"/>
        <v>0</v>
      </c>
      <c r="CH31" s="1014">
        <f t="shared" si="66"/>
        <v>73506.64</v>
      </c>
      <c r="CI31" s="1014">
        <f t="shared" si="67"/>
        <v>0</v>
      </c>
      <c r="CJ31" s="1014">
        <f t="shared" si="68"/>
        <v>0</v>
      </c>
      <c r="CK31" s="1014">
        <f t="shared" si="69"/>
        <v>0</v>
      </c>
      <c r="CL31" s="1014">
        <f t="shared" si="70"/>
        <v>0</v>
      </c>
      <c r="CM31" s="1014">
        <f t="shared" si="71"/>
        <v>0</v>
      </c>
      <c r="CN31" s="1015">
        <f t="shared" si="72"/>
        <v>0</v>
      </c>
      <c r="CO31" s="1014">
        <f t="shared" si="73"/>
        <v>0</v>
      </c>
      <c r="CP31" s="1025">
        <f t="shared" si="74"/>
        <v>73506.64</v>
      </c>
      <c r="CQ31" s="1014">
        <f t="shared" si="75"/>
        <v>0</v>
      </c>
      <c r="CR31" s="1014">
        <f t="shared" si="76"/>
        <v>0</v>
      </c>
      <c r="CS31" s="1014">
        <f t="shared" si="77"/>
        <v>0</v>
      </c>
      <c r="CT31" s="1014">
        <f t="shared" si="78"/>
        <v>0</v>
      </c>
      <c r="CU31" s="1015">
        <f t="shared" si="79"/>
        <v>93111.2</v>
      </c>
      <c r="CV31" s="1030">
        <f t="shared" si="80"/>
        <v>93111.2</v>
      </c>
      <c r="CW31" s="1014">
        <f t="shared" si="81"/>
        <v>246871.59</v>
      </c>
      <c r="CX31" s="1014">
        <f t="shared" si="82"/>
        <v>0</v>
      </c>
      <c r="CY31" s="1014">
        <f t="shared" si="83"/>
        <v>166615.06</v>
      </c>
      <c r="CZ31" s="1014">
        <f t="shared" si="84"/>
        <v>0</v>
      </c>
      <c r="DA31" s="1014">
        <f t="shared" si="85"/>
        <v>0</v>
      </c>
      <c r="DB31" s="1014">
        <f t="shared" si="86"/>
        <v>0</v>
      </c>
      <c r="DC31" s="1014">
        <f t="shared" si="87"/>
        <v>0</v>
      </c>
      <c r="DD31" s="1014">
        <f t="shared" si="88"/>
        <v>0</v>
      </c>
      <c r="DE31" s="1015">
        <f t="shared" si="89"/>
        <v>0</v>
      </c>
      <c r="DF31" s="1014">
        <f t="shared" si="90"/>
        <v>0</v>
      </c>
      <c r="DG31" s="1014">
        <f t="shared" si="91"/>
        <v>0</v>
      </c>
      <c r="DH31" s="1012">
        <f t="shared" si="240"/>
        <v>413486.65</v>
      </c>
      <c r="DI31" s="1014">
        <f t="shared" si="93"/>
        <v>0</v>
      </c>
      <c r="DJ31" s="1014">
        <f t="shared" si="94"/>
        <v>0</v>
      </c>
      <c r="DK31" s="1014">
        <f t="shared" si="95"/>
        <v>0</v>
      </c>
      <c r="DL31" s="1014">
        <f t="shared" si="96"/>
        <v>0</v>
      </c>
      <c r="DM31" s="1014">
        <f t="shared" si="97"/>
        <v>0</v>
      </c>
      <c r="DN31" s="1014">
        <f t="shared" si="98"/>
        <v>0</v>
      </c>
      <c r="DO31" s="1014">
        <f t="shared" si="99"/>
        <v>0</v>
      </c>
      <c r="DP31" s="1014">
        <f t="shared" si="100"/>
        <v>0</v>
      </c>
      <c r="DQ31" s="1020">
        <f t="shared" si="101"/>
        <v>0</v>
      </c>
      <c r="DR31" s="1014">
        <f t="shared" si="102"/>
        <v>0</v>
      </c>
      <c r="DS31" s="1014">
        <f t="shared" si="103"/>
        <v>0</v>
      </c>
      <c r="DT31" s="1025">
        <f t="shared" si="241"/>
        <v>0</v>
      </c>
    </row>
    <row r="32" spans="1:124" x14ac:dyDescent="0.2">
      <c r="A32" s="908" t="s">
        <v>250</v>
      </c>
      <c r="B32" s="908">
        <v>2018</v>
      </c>
      <c r="C32" s="910">
        <f t="shared" si="228"/>
        <v>0</v>
      </c>
      <c r="D32" s="910">
        <f t="shared" si="229"/>
        <v>0</v>
      </c>
      <c r="E32" s="910">
        <f t="shared" si="230"/>
        <v>280000</v>
      </c>
      <c r="F32" s="910">
        <f t="shared" si="3"/>
        <v>0</v>
      </c>
      <c r="G32" s="910">
        <f t="shared" si="231"/>
        <v>0</v>
      </c>
      <c r="H32" s="910">
        <f t="shared" si="232"/>
        <v>0</v>
      </c>
      <c r="I32" s="910">
        <f t="shared" si="233"/>
        <v>0</v>
      </c>
      <c r="J32" s="910">
        <f t="shared" si="7"/>
        <v>0</v>
      </c>
      <c r="K32" s="910">
        <f t="shared" si="8"/>
        <v>0</v>
      </c>
      <c r="L32" s="910">
        <f t="shared" si="9"/>
        <v>0</v>
      </c>
      <c r="M32" s="910">
        <f t="shared" si="234"/>
        <v>0</v>
      </c>
      <c r="N32" s="910">
        <f t="shared" si="235"/>
        <v>0</v>
      </c>
      <c r="O32" s="910">
        <f t="shared" si="236"/>
        <v>48640.06</v>
      </c>
      <c r="P32" s="910">
        <f t="shared" si="13"/>
        <v>0</v>
      </c>
      <c r="Q32" s="910">
        <f t="shared" si="237"/>
        <v>0</v>
      </c>
      <c r="R32" s="910">
        <f t="shared" si="238"/>
        <v>0</v>
      </c>
      <c r="S32" s="910">
        <f t="shared" si="239"/>
        <v>328640.06</v>
      </c>
      <c r="T32" s="1037">
        <f t="shared" si="17"/>
        <v>68414</v>
      </c>
      <c r="U32" s="1034">
        <f t="shared" si="117"/>
        <v>0</v>
      </c>
      <c r="V32" s="1034">
        <f t="shared" si="118"/>
        <v>0</v>
      </c>
      <c r="W32" s="1034">
        <f t="shared" si="119"/>
        <v>0</v>
      </c>
      <c r="X32" s="1034">
        <f t="shared" si="120"/>
        <v>0</v>
      </c>
      <c r="Y32" s="1034">
        <f t="shared" si="121"/>
        <v>0</v>
      </c>
      <c r="Z32" s="1034">
        <f t="shared" si="122"/>
        <v>0</v>
      </c>
      <c r="AA32" s="1034">
        <f t="shared" si="123"/>
        <v>0</v>
      </c>
      <c r="AB32" s="1034">
        <f t="shared" si="124"/>
        <v>0</v>
      </c>
      <c r="AC32" s="1034">
        <f t="shared" si="125"/>
        <v>0</v>
      </c>
      <c r="AD32" s="1034">
        <f t="shared" si="126"/>
        <v>0</v>
      </c>
      <c r="AE32" s="1034">
        <f t="shared" si="127"/>
        <v>84000</v>
      </c>
      <c r="AF32" s="1034">
        <f t="shared" si="128"/>
        <v>260226.06</v>
      </c>
      <c r="AG32" s="1034">
        <f t="shared" si="129"/>
        <v>260226.06</v>
      </c>
      <c r="AH32" s="1041">
        <f t="shared" si="130"/>
        <v>0.79182696108319839</v>
      </c>
      <c r="AI32" s="1014">
        <f t="shared" si="18"/>
        <v>0</v>
      </c>
      <c r="AJ32" s="1025">
        <f t="shared" si="131"/>
        <v>0</v>
      </c>
      <c r="AK32" s="1014">
        <f t="shared" si="19"/>
        <v>0</v>
      </c>
      <c r="AL32" s="1025">
        <f t="shared" si="132"/>
        <v>0</v>
      </c>
      <c r="AM32" s="1014">
        <f t="shared" si="20"/>
        <v>0</v>
      </c>
      <c r="AN32" s="1025">
        <f t="shared" si="133"/>
        <v>0</v>
      </c>
      <c r="AO32" s="1014">
        <f t="shared" si="21"/>
        <v>0</v>
      </c>
      <c r="AP32" s="1014">
        <f t="shared" si="22"/>
        <v>0</v>
      </c>
      <c r="AQ32" s="1014">
        <f t="shared" si="23"/>
        <v>0</v>
      </c>
      <c r="AR32" s="1015">
        <f t="shared" si="24"/>
        <v>0</v>
      </c>
      <c r="AS32" s="1025">
        <f t="shared" si="25"/>
        <v>0</v>
      </c>
      <c r="AT32" s="1014">
        <f t="shared" si="26"/>
        <v>0</v>
      </c>
      <c r="AU32" s="1014">
        <f t="shared" si="27"/>
        <v>0</v>
      </c>
      <c r="AV32" s="1014">
        <f t="shared" si="28"/>
        <v>0</v>
      </c>
      <c r="AW32" s="1014">
        <f t="shared" si="29"/>
        <v>0</v>
      </c>
      <c r="AX32" s="1014">
        <f t="shared" si="30"/>
        <v>0</v>
      </c>
      <c r="AY32" s="1014">
        <f t="shared" si="31"/>
        <v>0</v>
      </c>
      <c r="AZ32" s="1025">
        <f t="shared" si="32"/>
        <v>0</v>
      </c>
      <c r="BA32" s="1014">
        <f t="shared" si="33"/>
        <v>0</v>
      </c>
      <c r="BB32" s="1014">
        <f t="shared" si="34"/>
        <v>0</v>
      </c>
      <c r="BC32" s="1014">
        <f t="shared" si="35"/>
        <v>0</v>
      </c>
      <c r="BD32" s="1014">
        <f t="shared" si="36"/>
        <v>0</v>
      </c>
      <c r="BE32" s="1014">
        <f t="shared" si="37"/>
        <v>0</v>
      </c>
      <c r="BF32" s="1014">
        <f t="shared" si="38"/>
        <v>0</v>
      </c>
      <c r="BG32" s="1025">
        <f t="shared" si="39"/>
        <v>0</v>
      </c>
      <c r="BH32" s="1014">
        <f t="shared" si="40"/>
        <v>0</v>
      </c>
      <c r="BI32" s="1014">
        <f t="shared" si="41"/>
        <v>0</v>
      </c>
      <c r="BJ32" s="1014">
        <f t="shared" si="42"/>
        <v>0</v>
      </c>
      <c r="BK32" s="1014">
        <f t="shared" si="43"/>
        <v>0</v>
      </c>
      <c r="BL32" s="1014">
        <f t="shared" si="44"/>
        <v>0</v>
      </c>
      <c r="BM32" s="1014">
        <f t="shared" si="45"/>
        <v>0</v>
      </c>
      <c r="BN32" s="1025">
        <f t="shared" si="46"/>
        <v>0</v>
      </c>
      <c r="BO32" s="1014">
        <f t="shared" si="47"/>
        <v>0</v>
      </c>
      <c r="BP32" s="1014">
        <f t="shared" si="48"/>
        <v>0</v>
      </c>
      <c r="BQ32" s="1014">
        <f t="shared" si="49"/>
        <v>0</v>
      </c>
      <c r="BR32" s="1014">
        <f t="shared" si="50"/>
        <v>0</v>
      </c>
      <c r="BS32" s="1014">
        <f t="shared" si="51"/>
        <v>0</v>
      </c>
      <c r="BT32" s="1025">
        <f t="shared" si="52"/>
        <v>0</v>
      </c>
      <c r="BU32" s="1014">
        <f t="shared" si="53"/>
        <v>0</v>
      </c>
      <c r="BV32" s="1014">
        <f t="shared" si="54"/>
        <v>0</v>
      </c>
      <c r="BW32" s="1014">
        <f t="shared" si="55"/>
        <v>0</v>
      </c>
      <c r="BX32" s="1014">
        <f t="shared" si="56"/>
        <v>0</v>
      </c>
      <c r="BY32" s="1014">
        <f t="shared" si="57"/>
        <v>0</v>
      </c>
      <c r="BZ32" s="1014">
        <f t="shared" si="58"/>
        <v>0</v>
      </c>
      <c r="CA32" s="1014">
        <f t="shared" si="59"/>
        <v>0</v>
      </c>
      <c r="CB32" s="1014">
        <f t="shared" si="60"/>
        <v>0</v>
      </c>
      <c r="CC32" s="1014">
        <f t="shared" si="61"/>
        <v>0</v>
      </c>
      <c r="CD32" s="1015">
        <f t="shared" si="62"/>
        <v>0</v>
      </c>
      <c r="CE32" s="1014">
        <f t="shared" si="63"/>
        <v>0</v>
      </c>
      <c r="CF32" s="1025">
        <f t="shared" si="64"/>
        <v>0</v>
      </c>
      <c r="CG32" s="1014">
        <f t="shared" si="65"/>
        <v>0</v>
      </c>
      <c r="CH32" s="1014">
        <f t="shared" si="66"/>
        <v>0</v>
      </c>
      <c r="CI32" s="1014">
        <f t="shared" si="67"/>
        <v>0</v>
      </c>
      <c r="CJ32" s="1014">
        <f t="shared" si="68"/>
        <v>0</v>
      </c>
      <c r="CK32" s="1014">
        <f t="shared" si="69"/>
        <v>0</v>
      </c>
      <c r="CL32" s="1014">
        <f t="shared" si="70"/>
        <v>0</v>
      </c>
      <c r="CM32" s="1014">
        <f t="shared" si="71"/>
        <v>0</v>
      </c>
      <c r="CN32" s="1015">
        <f t="shared" si="72"/>
        <v>0</v>
      </c>
      <c r="CO32" s="1014">
        <f t="shared" si="73"/>
        <v>0</v>
      </c>
      <c r="CP32" s="1025">
        <f t="shared" si="74"/>
        <v>0</v>
      </c>
      <c r="CQ32" s="1014">
        <f t="shared" si="75"/>
        <v>0</v>
      </c>
      <c r="CR32" s="1014">
        <f t="shared" si="76"/>
        <v>84000</v>
      </c>
      <c r="CS32" s="1014">
        <f t="shared" si="77"/>
        <v>0</v>
      </c>
      <c r="CT32" s="1014">
        <f t="shared" si="78"/>
        <v>0</v>
      </c>
      <c r="CU32" s="1015">
        <f t="shared" si="79"/>
        <v>0</v>
      </c>
      <c r="CV32" s="1030">
        <f t="shared" si="80"/>
        <v>84000</v>
      </c>
      <c r="CW32" s="1014">
        <f t="shared" si="81"/>
        <v>0</v>
      </c>
      <c r="CX32" s="1014">
        <f t="shared" si="82"/>
        <v>0</v>
      </c>
      <c r="CY32" s="1014">
        <f t="shared" si="83"/>
        <v>140000</v>
      </c>
      <c r="CZ32" s="1014">
        <f t="shared" si="84"/>
        <v>0</v>
      </c>
      <c r="DA32" s="1014">
        <f t="shared" si="85"/>
        <v>0</v>
      </c>
      <c r="DB32" s="1014">
        <f t="shared" si="86"/>
        <v>0</v>
      </c>
      <c r="DC32" s="1014">
        <f t="shared" si="87"/>
        <v>0</v>
      </c>
      <c r="DD32" s="1014">
        <f t="shared" si="88"/>
        <v>0</v>
      </c>
      <c r="DE32" s="1015">
        <f t="shared" si="89"/>
        <v>36226.06</v>
      </c>
      <c r="DF32" s="1014">
        <f t="shared" si="90"/>
        <v>0</v>
      </c>
      <c r="DG32" s="1014">
        <f t="shared" si="91"/>
        <v>0</v>
      </c>
      <c r="DH32" s="1012">
        <f t="shared" si="240"/>
        <v>176226.06</v>
      </c>
      <c r="DI32" s="1014">
        <f t="shared" si="93"/>
        <v>0</v>
      </c>
      <c r="DJ32" s="1014">
        <f t="shared" si="94"/>
        <v>0</v>
      </c>
      <c r="DK32" s="1014">
        <f t="shared" si="95"/>
        <v>0</v>
      </c>
      <c r="DL32" s="1014">
        <f t="shared" si="96"/>
        <v>0</v>
      </c>
      <c r="DM32" s="1014">
        <f t="shared" si="97"/>
        <v>0</v>
      </c>
      <c r="DN32" s="1014">
        <f t="shared" si="98"/>
        <v>0</v>
      </c>
      <c r="DO32" s="1014">
        <f t="shared" si="99"/>
        <v>0</v>
      </c>
      <c r="DP32" s="1014">
        <f t="shared" si="100"/>
        <v>0</v>
      </c>
      <c r="DQ32" s="1020">
        <f t="shared" si="101"/>
        <v>0</v>
      </c>
      <c r="DR32" s="1014">
        <f t="shared" si="102"/>
        <v>0</v>
      </c>
      <c r="DS32" s="1014">
        <f t="shared" si="103"/>
        <v>0</v>
      </c>
      <c r="DT32" s="1025">
        <f t="shared" si="241"/>
        <v>0</v>
      </c>
    </row>
    <row r="33" spans="1:124" x14ac:dyDescent="0.2">
      <c r="A33" s="908" t="s">
        <v>284</v>
      </c>
      <c r="B33" s="908">
        <v>2017</v>
      </c>
      <c r="C33" s="910">
        <f t="shared" si="228"/>
        <v>0</v>
      </c>
      <c r="D33" s="910">
        <f t="shared" si="229"/>
        <v>0</v>
      </c>
      <c r="E33" s="910">
        <f t="shared" si="230"/>
        <v>0</v>
      </c>
      <c r="F33" s="910">
        <f t="shared" si="3"/>
        <v>0</v>
      </c>
      <c r="G33" s="910">
        <f t="shared" si="231"/>
        <v>0</v>
      </c>
      <c r="H33" s="910">
        <f t="shared" si="232"/>
        <v>0</v>
      </c>
      <c r="I33" s="910">
        <f t="shared" si="233"/>
        <v>0</v>
      </c>
      <c r="J33" s="910">
        <f t="shared" si="7"/>
        <v>0</v>
      </c>
      <c r="K33" s="910">
        <f t="shared" si="8"/>
        <v>0</v>
      </c>
      <c r="L33" s="910">
        <f t="shared" si="9"/>
        <v>0</v>
      </c>
      <c r="M33" s="910">
        <f t="shared" si="234"/>
        <v>0</v>
      </c>
      <c r="N33" s="910">
        <f t="shared" si="235"/>
        <v>0</v>
      </c>
      <c r="O33" s="910">
        <f t="shared" si="236"/>
        <v>18729.66</v>
      </c>
      <c r="P33" s="910">
        <f t="shared" si="13"/>
        <v>0</v>
      </c>
      <c r="Q33" s="910">
        <f t="shared" si="237"/>
        <v>0</v>
      </c>
      <c r="R33" s="910">
        <f t="shared" si="238"/>
        <v>0</v>
      </c>
      <c r="S33" s="910">
        <f t="shared" si="239"/>
        <v>18729.66</v>
      </c>
      <c r="T33" s="1037">
        <f t="shared" si="17"/>
        <v>18729.66</v>
      </c>
      <c r="U33" s="1034">
        <f t="shared" si="117"/>
        <v>0</v>
      </c>
      <c r="V33" s="1034">
        <f t="shared" si="118"/>
        <v>0</v>
      </c>
      <c r="W33" s="1034">
        <f t="shared" si="119"/>
        <v>0</v>
      </c>
      <c r="X33" s="1034">
        <f t="shared" si="120"/>
        <v>0</v>
      </c>
      <c r="Y33" s="1034">
        <f t="shared" si="121"/>
        <v>0</v>
      </c>
      <c r="Z33" s="1034">
        <f t="shared" si="122"/>
        <v>0</v>
      </c>
      <c r="AA33" s="1034">
        <f t="shared" si="123"/>
        <v>0</v>
      </c>
      <c r="AB33" s="1034">
        <f t="shared" si="124"/>
        <v>0</v>
      </c>
      <c r="AC33" s="1034">
        <f t="shared" si="125"/>
        <v>0</v>
      </c>
      <c r="AD33" s="1034">
        <f t="shared" si="126"/>
        <v>0</v>
      </c>
      <c r="AE33" s="1034">
        <f t="shared" si="127"/>
        <v>0</v>
      </c>
      <c r="AF33" s="1034">
        <f t="shared" si="128"/>
        <v>0</v>
      </c>
      <c r="AG33" s="1034">
        <f t="shared" si="129"/>
        <v>0</v>
      </c>
      <c r="AH33" s="1041" t="str">
        <f t="shared" si="130"/>
        <v>-</v>
      </c>
      <c r="AI33" s="1014">
        <f t="shared" si="18"/>
        <v>0</v>
      </c>
      <c r="AJ33" s="1025">
        <f t="shared" si="131"/>
        <v>0</v>
      </c>
      <c r="AK33" s="1014">
        <f t="shared" si="19"/>
        <v>0</v>
      </c>
      <c r="AL33" s="1025">
        <f t="shared" si="132"/>
        <v>0</v>
      </c>
      <c r="AM33" s="1014">
        <f t="shared" si="20"/>
        <v>0</v>
      </c>
      <c r="AN33" s="1025">
        <f t="shared" si="133"/>
        <v>0</v>
      </c>
      <c r="AO33" s="1014">
        <f t="shared" si="21"/>
        <v>0</v>
      </c>
      <c r="AP33" s="1014">
        <f t="shared" si="22"/>
        <v>0</v>
      </c>
      <c r="AQ33" s="1014">
        <f t="shared" si="23"/>
        <v>0</v>
      </c>
      <c r="AR33" s="1015">
        <f t="shared" si="24"/>
        <v>0</v>
      </c>
      <c r="AS33" s="1025">
        <f t="shared" si="25"/>
        <v>0</v>
      </c>
      <c r="AT33" s="1014">
        <f t="shared" si="26"/>
        <v>0</v>
      </c>
      <c r="AU33" s="1014">
        <f t="shared" si="27"/>
        <v>0</v>
      </c>
      <c r="AV33" s="1014">
        <f t="shared" si="28"/>
        <v>0</v>
      </c>
      <c r="AW33" s="1014">
        <f t="shared" si="29"/>
        <v>0</v>
      </c>
      <c r="AX33" s="1014">
        <f t="shared" si="30"/>
        <v>0</v>
      </c>
      <c r="AY33" s="1014">
        <f t="shared" si="31"/>
        <v>0</v>
      </c>
      <c r="AZ33" s="1025">
        <f t="shared" si="32"/>
        <v>0</v>
      </c>
      <c r="BA33" s="1014">
        <f t="shared" si="33"/>
        <v>0</v>
      </c>
      <c r="BB33" s="1014">
        <f t="shared" si="34"/>
        <v>0</v>
      </c>
      <c r="BC33" s="1014">
        <f t="shared" si="35"/>
        <v>0</v>
      </c>
      <c r="BD33" s="1014">
        <f t="shared" si="36"/>
        <v>0</v>
      </c>
      <c r="BE33" s="1014">
        <f t="shared" si="37"/>
        <v>0</v>
      </c>
      <c r="BF33" s="1014">
        <f t="shared" si="38"/>
        <v>0</v>
      </c>
      <c r="BG33" s="1025">
        <f t="shared" si="39"/>
        <v>0</v>
      </c>
      <c r="BH33" s="1014">
        <f t="shared" si="40"/>
        <v>0</v>
      </c>
      <c r="BI33" s="1014">
        <f t="shared" si="41"/>
        <v>0</v>
      </c>
      <c r="BJ33" s="1014">
        <f t="shared" si="42"/>
        <v>0</v>
      </c>
      <c r="BK33" s="1014">
        <f t="shared" si="43"/>
        <v>0</v>
      </c>
      <c r="BL33" s="1014">
        <f t="shared" si="44"/>
        <v>0</v>
      </c>
      <c r="BM33" s="1014">
        <f t="shared" si="45"/>
        <v>0</v>
      </c>
      <c r="BN33" s="1025">
        <f t="shared" si="46"/>
        <v>0</v>
      </c>
      <c r="BO33" s="1014">
        <f t="shared" si="47"/>
        <v>0</v>
      </c>
      <c r="BP33" s="1014">
        <f t="shared" si="48"/>
        <v>0</v>
      </c>
      <c r="BQ33" s="1014">
        <f t="shared" si="49"/>
        <v>0</v>
      </c>
      <c r="BR33" s="1014">
        <f t="shared" si="50"/>
        <v>0</v>
      </c>
      <c r="BS33" s="1014">
        <f t="shared" si="51"/>
        <v>0</v>
      </c>
      <c r="BT33" s="1025">
        <f t="shared" si="52"/>
        <v>0</v>
      </c>
      <c r="BU33" s="1014">
        <f t="shared" si="53"/>
        <v>0</v>
      </c>
      <c r="BV33" s="1014">
        <f t="shared" si="54"/>
        <v>0</v>
      </c>
      <c r="BW33" s="1014">
        <f t="shared" si="55"/>
        <v>0</v>
      </c>
      <c r="BX33" s="1014">
        <f t="shared" si="56"/>
        <v>0</v>
      </c>
      <c r="BY33" s="1014">
        <f t="shared" si="57"/>
        <v>0</v>
      </c>
      <c r="BZ33" s="1014">
        <f t="shared" si="58"/>
        <v>0</v>
      </c>
      <c r="CA33" s="1014">
        <f t="shared" si="59"/>
        <v>0</v>
      </c>
      <c r="CB33" s="1014">
        <f t="shared" si="60"/>
        <v>0</v>
      </c>
      <c r="CC33" s="1014">
        <f t="shared" si="61"/>
        <v>0</v>
      </c>
      <c r="CD33" s="1015">
        <f t="shared" si="62"/>
        <v>0</v>
      </c>
      <c r="CE33" s="1014">
        <f t="shared" si="63"/>
        <v>0</v>
      </c>
      <c r="CF33" s="1025">
        <f t="shared" si="64"/>
        <v>0</v>
      </c>
      <c r="CG33" s="1014">
        <f t="shared" si="65"/>
        <v>0</v>
      </c>
      <c r="CH33" s="1014">
        <f t="shared" si="66"/>
        <v>0</v>
      </c>
      <c r="CI33" s="1014">
        <f t="shared" si="67"/>
        <v>0</v>
      </c>
      <c r="CJ33" s="1014">
        <f t="shared" si="68"/>
        <v>0</v>
      </c>
      <c r="CK33" s="1014">
        <f t="shared" si="69"/>
        <v>0</v>
      </c>
      <c r="CL33" s="1014">
        <f t="shared" si="70"/>
        <v>0</v>
      </c>
      <c r="CM33" s="1014">
        <f t="shared" si="71"/>
        <v>0</v>
      </c>
      <c r="CN33" s="1015">
        <f t="shared" si="72"/>
        <v>0</v>
      </c>
      <c r="CO33" s="1014">
        <f t="shared" si="73"/>
        <v>0</v>
      </c>
      <c r="CP33" s="1025">
        <f t="shared" si="74"/>
        <v>0</v>
      </c>
      <c r="CQ33" s="1014">
        <f t="shared" si="75"/>
        <v>0</v>
      </c>
      <c r="CR33" s="1014">
        <f t="shared" si="76"/>
        <v>0</v>
      </c>
      <c r="CS33" s="1014">
        <f t="shared" si="77"/>
        <v>0</v>
      </c>
      <c r="CT33" s="1014">
        <f t="shared" si="78"/>
        <v>0</v>
      </c>
      <c r="CU33" s="1015">
        <f t="shared" si="79"/>
        <v>0</v>
      </c>
      <c r="CV33" s="1030">
        <f t="shared" si="80"/>
        <v>0</v>
      </c>
      <c r="CW33" s="1014">
        <f t="shared" si="81"/>
        <v>0</v>
      </c>
      <c r="CX33" s="1014">
        <f t="shared" si="82"/>
        <v>0</v>
      </c>
      <c r="CY33" s="1014">
        <f t="shared" si="83"/>
        <v>0</v>
      </c>
      <c r="CZ33" s="1014">
        <f t="shared" si="84"/>
        <v>0</v>
      </c>
      <c r="DA33" s="1014">
        <f t="shared" si="85"/>
        <v>0</v>
      </c>
      <c r="DB33" s="1014">
        <f t="shared" si="86"/>
        <v>0</v>
      </c>
      <c r="DC33" s="1014">
        <f t="shared" si="87"/>
        <v>0</v>
      </c>
      <c r="DD33" s="1014">
        <f t="shared" si="88"/>
        <v>0</v>
      </c>
      <c r="DE33" s="1015">
        <f t="shared" si="89"/>
        <v>0</v>
      </c>
      <c r="DF33" s="1014">
        <f t="shared" si="90"/>
        <v>0</v>
      </c>
      <c r="DG33" s="1014">
        <f t="shared" si="91"/>
        <v>0</v>
      </c>
      <c r="DH33" s="1012">
        <f t="shared" si="240"/>
        <v>0</v>
      </c>
      <c r="DI33" s="1014">
        <f t="shared" si="93"/>
        <v>0</v>
      </c>
      <c r="DJ33" s="1014">
        <f t="shared" si="94"/>
        <v>0</v>
      </c>
      <c r="DK33" s="1014">
        <f t="shared" si="95"/>
        <v>0</v>
      </c>
      <c r="DL33" s="1014">
        <f t="shared" si="96"/>
        <v>0</v>
      </c>
      <c r="DM33" s="1014">
        <f t="shared" si="97"/>
        <v>0</v>
      </c>
      <c r="DN33" s="1014">
        <f t="shared" si="98"/>
        <v>0</v>
      </c>
      <c r="DO33" s="1014">
        <f t="shared" si="99"/>
        <v>0</v>
      </c>
      <c r="DP33" s="1014">
        <f t="shared" si="100"/>
        <v>0</v>
      </c>
      <c r="DQ33" s="1020">
        <f t="shared" si="101"/>
        <v>0</v>
      </c>
      <c r="DR33" s="1014">
        <f t="shared" si="102"/>
        <v>0</v>
      </c>
      <c r="DS33" s="1014">
        <f t="shared" si="103"/>
        <v>0</v>
      </c>
      <c r="DT33" s="1025">
        <f t="shared" si="241"/>
        <v>0</v>
      </c>
    </row>
    <row r="34" spans="1:124" x14ac:dyDescent="0.2">
      <c r="A34" s="908" t="s">
        <v>253</v>
      </c>
      <c r="B34" s="908">
        <v>2017</v>
      </c>
      <c r="C34" s="910">
        <f t="shared" si="228"/>
        <v>0</v>
      </c>
      <c r="D34" s="910">
        <f t="shared" si="229"/>
        <v>0</v>
      </c>
      <c r="E34" s="910">
        <f t="shared" si="230"/>
        <v>320000</v>
      </c>
      <c r="F34" s="910">
        <f t="shared" si="3"/>
        <v>0</v>
      </c>
      <c r="G34" s="910">
        <f t="shared" si="231"/>
        <v>0</v>
      </c>
      <c r="H34" s="910">
        <f t="shared" si="232"/>
        <v>0</v>
      </c>
      <c r="I34" s="910">
        <f t="shared" si="233"/>
        <v>0</v>
      </c>
      <c r="J34" s="910">
        <f t="shared" si="7"/>
        <v>0</v>
      </c>
      <c r="K34" s="910">
        <f t="shared" si="8"/>
        <v>0</v>
      </c>
      <c r="L34" s="910">
        <f t="shared" si="9"/>
        <v>0</v>
      </c>
      <c r="M34" s="910">
        <f t="shared" si="234"/>
        <v>0</v>
      </c>
      <c r="N34" s="910">
        <f t="shared" si="235"/>
        <v>0</v>
      </c>
      <c r="O34" s="910">
        <f t="shared" si="236"/>
        <v>24058.195</v>
      </c>
      <c r="P34" s="910">
        <f t="shared" si="13"/>
        <v>0</v>
      </c>
      <c r="Q34" s="910">
        <f t="shared" si="237"/>
        <v>0</v>
      </c>
      <c r="R34" s="910">
        <f t="shared" si="238"/>
        <v>0</v>
      </c>
      <c r="S34" s="910">
        <f t="shared" si="239"/>
        <v>344058.19500000001</v>
      </c>
      <c r="T34" s="1037">
        <f t="shared" si="17"/>
        <v>1046.6749999999884</v>
      </c>
      <c r="U34" s="1034">
        <f t="shared" si="117"/>
        <v>0</v>
      </c>
      <c r="V34" s="1034">
        <f t="shared" si="118"/>
        <v>0</v>
      </c>
      <c r="W34" s="1034">
        <f t="shared" si="119"/>
        <v>0</v>
      </c>
      <c r="X34" s="1034">
        <f t="shared" si="120"/>
        <v>0</v>
      </c>
      <c r="Y34" s="1034">
        <f t="shared" si="121"/>
        <v>0</v>
      </c>
      <c r="Z34" s="1034">
        <f t="shared" si="122"/>
        <v>0</v>
      </c>
      <c r="AA34" s="1034">
        <f t="shared" si="123"/>
        <v>0</v>
      </c>
      <c r="AB34" s="1034">
        <f t="shared" si="124"/>
        <v>0</v>
      </c>
      <c r="AC34" s="1034">
        <f t="shared" si="125"/>
        <v>0</v>
      </c>
      <c r="AD34" s="1034">
        <f t="shared" si="126"/>
        <v>96000</v>
      </c>
      <c r="AE34" s="1034">
        <f t="shared" si="127"/>
        <v>256000</v>
      </c>
      <c r="AF34" s="1034">
        <f t="shared" si="128"/>
        <v>338573.52</v>
      </c>
      <c r="AG34" s="1034">
        <f t="shared" si="129"/>
        <v>343011.52</v>
      </c>
      <c r="AH34" s="1041">
        <f t="shared" si="130"/>
        <v>0.99695785476058785</v>
      </c>
      <c r="AI34" s="1014">
        <f t="shared" si="18"/>
        <v>0</v>
      </c>
      <c r="AJ34" s="1025">
        <f t="shared" si="131"/>
        <v>0</v>
      </c>
      <c r="AK34" s="1014">
        <f t="shared" si="19"/>
        <v>0</v>
      </c>
      <c r="AL34" s="1025">
        <f t="shared" si="132"/>
        <v>0</v>
      </c>
      <c r="AM34" s="1014">
        <f t="shared" si="20"/>
        <v>0</v>
      </c>
      <c r="AN34" s="1025">
        <f t="shared" si="133"/>
        <v>0</v>
      </c>
      <c r="AO34" s="1014">
        <f t="shared" si="21"/>
        <v>0</v>
      </c>
      <c r="AP34" s="1014">
        <f t="shared" si="22"/>
        <v>0</v>
      </c>
      <c r="AQ34" s="1014">
        <f t="shared" si="23"/>
        <v>0</v>
      </c>
      <c r="AR34" s="1015">
        <f t="shared" si="24"/>
        <v>0</v>
      </c>
      <c r="AS34" s="1025">
        <f t="shared" si="25"/>
        <v>0</v>
      </c>
      <c r="AT34" s="1014">
        <f t="shared" si="26"/>
        <v>0</v>
      </c>
      <c r="AU34" s="1014">
        <f t="shared" si="27"/>
        <v>0</v>
      </c>
      <c r="AV34" s="1014">
        <f t="shared" si="28"/>
        <v>0</v>
      </c>
      <c r="AW34" s="1014">
        <f t="shared" si="29"/>
        <v>0</v>
      </c>
      <c r="AX34" s="1014">
        <f t="shared" si="30"/>
        <v>0</v>
      </c>
      <c r="AY34" s="1014">
        <f t="shared" si="31"/>
        <v>0</v>
      </c>
      <c r="AZ34" s="1025">
        <f t="shared" si="32"/>
        <v>0</v>
      </c>
      <c r="BA34" s="1014">
        <f t="shared" si="33"/>
        <v>0</v>
      </c>
      <c r="BB34" s="1014">
        <f t="shared" si="34"/>
        <v>0</v>
      </c>
      <c r="BC34" s="1014">
        <f t="shared" si="35"/>
        <v>0</v>
      </c>
      <c r="BD34" s="1014">
        <f t="shared" si="36"/>
        <v>0</v>
      </c>
      <c r="BE34" s="1014">
        <f t="shared" si="37"/>
        <v>0</v>
      </c>
      <c r="BF34" s="1014">
        <f t="shared" si="38"/>
        <v>0</v>
      </c>
      <c r="BG34" s="1025">
        <f t="shared" si="39"/>
        <v>0</v>
      </c>
      <c r="BH34" s="1014">
        <f t="shared" si="40"/>
        <v>0</v>
      </c>
      <c r="BI34" s="1014">
        <f t="shared" si="41"/>
        <v>0</v>
      </c>
      <c r="BJ34" s="1014">
        <f t="shared" si="42"/>
        <v>0</v>
      </c>
      <c r="BK34" s="1014">
        <f t="shared" si="43"/>
        <v>0</v>
      </c>
      <c r="BL34" s="1014">
        <f t="shared" si="44"/>
        <v>0</v>
      </c>
      <c r="BM34" s="1014">
        <f t="shared" si="45"/>
        <v>0</v>
      </c>
      <c r="BN34" s="1025">
        <f t="shared" si="46"/>
        <v>0</v>
      </c>
      <c r="BO34" s="1014">
        <f t="shared" si="47"/>
        <v>0</v>
      </c>
      <c r="BP34" s="1014">
        <f t="shared" si="48"/>
        <v>0</v>
      </c>
      <c r="BQ34" s="1014">
        <f t="shared" si="49"/>
        <v>0</v>
      </c>
      <c r="BR34" s="1014">
        <f t="shared" si="50"/>
        <v>0</v>
      </c>
      <c r="BS34" s="1014">
        <f t="shared" si="51"/>
        <v>0</v>
      </c>
      <c r="BT34" s="1025">
        <f t="shared" si="52"/>
        <v>0</v>
      </c>
      <c r="BU34" s="1014">
        <f t="shared" si="53"/>
        <v>0</v>
      </c>
      <c r="BV34" s="1014">
        <f t="shared" si="54"/>
        <v>0</v>
      </c>
      <c r="BW34" s="1014">
        <f t="shared" si="55"/>
        <v>0</v>
      </c>
      <c r="BX34" s="1014">
        <f t="shared" si="56"/>
        <v>0</v>
      </c>
      <c r="BY34" s="1014">
        <f t="shared" si="57"/>
        <v>0</v>
      </c>
      <c r="BZ34" s="1014">
        <f t="shared" si="58"/>
        <v>0</v>
      </c>
      <c r="CA34" s="1014">
        <f t="shared" si="59"/>
        <v>0</v>
      </c>
      <c r="CB34" s="1014">
        <f t="shared" si="60"/>
        <v>0</v>
      </c>
      <c r="CC34" s="1014">
        <f t="shared" si="61"/>
        <v>0</v>
      </c>
      <c r="CD34" s="1015">
        <f t="shared" si="62"/>
        <v>0</v>
      </c>
      <c r="CE34" s="1014">
        <f t="shared" si="63"/>
        <v>0</v>
      </c>
      <c r="CF34" s="1025">
        <f t="shared" si="64"/>
        <v>0</v>
      </c>
      <c r="CG34" s="1014">
        <f t="shared" si="65"/>
        <v>0</v>
      </c>
      <c r="CH34" s="1014">
        <f t="shared" si="66"/>
        <v>96000</v>
      </c>
      <c r="CI34" s="1014">
        <f t="shared" si="67"/>
        <v>0</v>
      </c>
      <c r="CJ34" s="1014">
        <f t="shared" si="68"/>
        <v>0</v>
      </c>
      <c r="CK34" s="1014">
        <f t="shared" si="69"/>
        <v>0</v>
      </c>
      <c r="CL34" s="1014">
        <f t="shared" si="70"/>
        <v>0</v>
      </c>
      <c r="CM34" s="1014">
        <f t="shared" si="71"/>
        <v>0</v>
      </c>
      <c r="CN34" s="1015">
        <f t="shared" si="72"/>
        <v>0</v>
      </c>
      <c r="CO34" s="1014">
        <f t="shared" si="73"/>
        <v>0</v>
      </c>
      <c r="CP34" s="1025">
        <f t="shared" si="74"/>
        <v>96000</v>
      </c>
      <c r="CQ34" s="1014">
        <f t="shared" si="75"/>
        <v>0</v>
      </c>
      <c r="CR34" s="1014">
        <f t="shared" si="76"/>
        <v>160000</v>
      </c>
      <c r="CS34" s="1014">
        <f t="shared" si="77"/>
        <v>0</v>
      </c>
      <c r="CT34" s="1014">
        <f t="shared" si="78"/>
        <v>0</v>
      </c>
      <c r="CU34" s="1015">
        <f t="shared" si="79"/>
        <v>0</v>
      </c>
      <c r="CV34" s="1030">
        <f t="shared" si="80"/>
        <v>160000</v>
      </c>
      <c r="CW34" s="1014">
        <f t="shared" si="81"/>
        <v>0</v>
      </c>
      <c r="CX34" s="1014">
        <f t="shared" si="82"/>
        <v>0</v>
      </c>
      <c r="CY34" s="1014">
        <f t="shared" si="83"/>
        <v>64000</v>
      </c>
      <c r="CZ34" s="1014">
        <f t="shared" si="84"/>
        <v>0</v>
      </c>
      <c r="DA34" s="1014">
        <f t="shared" si="85"/>
        <v>0</v>
      </c>
      <c r="DB34" s="1014">
        <f t="shared" si="86"/>
        <v>0</v>
      </c>
      <c r="DC34" s="1014">
        <f t="shared" si="87"/>
        <v>0</v>
      </c>
      <c r="DD34" s="1014">
        <f t="shared" si="88"/>
        <v>0</v>
      </c>
      <c r="DE34" s="1015">
        <f t="shared" si="89"/>
        <v>18573.52</v>
      </c>
      <c r="DF34" s="1014">
        <f t="shared" si="90"/>
        <v>0</v>
      </c>
      <c r="DG34" s="1014">
        <f t="shared" si="91"/>
        <v>0</v>
      </c>
      <c r="DH34" s="1012">
        <f t="shared" si="240"/>
        <v>82573.52</v>
      </c>
      <c r="DI34" s="1014">
        <f t="shared" si="93"/>
        <v>0</v>
      </c>
      <c r="DJ34" s="1014">
        <f t="shared" si="94"/>
        <v>0</v>
      </c>
      <c r="DK34" s="1014">
        <f t="shared" si="95"/>
        <v>0</v>
      </c>
      <c r="DL34" s="1014">
        <f t="shared" si="96"/>
        <v>0</v>
      </c>
      <c r="DM34" s="1014">
        <f t="shared" si="97"/>
        <v>0</v>
      </c>
      <c r="DN34" s="1014">
        <f t="shared" si="98"/>
        <v>0</v>
      </c>
      <c r="DO34" s="1014">
        <f t="shared" si="99"/>
        <v>0</v>
      </c>
      <c r="DP34" s="1014">
        <f t="shared" si="100"/>
        <v>0</v>
      </c>
      <c r="DQ34" s="1020">
        <f t="shared" si="101"/>
        <v>4438</v>
      </c>
      <c r="DR34" s="1014">
        <f t="shared" si="102"/>
        <v>0</v>
      </c>
      <c r="DS34" s="1014">
        <f t="shared" si="103"/>
        <v>0</v>
      </c>
      <c r="DT34" s="1025">
        <f t="shared" si="241"/>
        <v>4438</v>
      </c>
    </row>
    <row r="35" spans="1:124" x14ac:dyDescent="0.2">
      <c r="A35" s="908" t="s">
        <v>50</v>
      </c>
      <c r="B35" s="908">
        <v>2017</v>
      </c>
      <c r="C35" s="910">
        <f t="shared" si="228"/>
        <v>300000</v>
      </c>
      <c r="D35" s="910">
        <f t="shared" si="229"/>
        <v>0</v>
      </c>
      <c r="E35" s="910">
        <f t="shared" si="230"/>
        <v>393831</v>
      </c>
      <c r="F35" s="910">
        <f t="shared" ref="F35:F66" si="242">SUMPRODUCT((OP_ST_LEU=A35)*(Bdgt_ST_LEU))</f>
        <v>0</v>
      </c>
      <c r="G35" s="910">
        <f t="shared" si="231"/>
        <v>0</v>
      </c>
      <c r="H35" s="910">
        <f t="shared" si="232"/>
        <v>0</v>
      </c>
      <c r="I35" s="910">
        <f t="shared" si="233"/>
        <v>0</v>
      </c>
      <c r="J35" s="910">
        <f t="shared" ref="J35:J66" si="243">SUMPRODUCT((OP_DIECCTE=A35)*(Bdgt_DIECCTE))</f>
        <v>0</v>
      </c>
      <c r="K35" s="910">
        <f t="shared" ref="K35:K66" si="244">SUMPRODUCT((OP_TCO=A35)*(Bdgt_TCO))</f>
        <v>0</v>
      </c>
      <c r="L35" s="910">
        <f t="shared" ref="L35:L66" si="245">SUMPRODUCT((OP_FEDER=A35)*(Bdgt_FEDER))</f>
        <v>0</v>
      </c>
      <c r="M35" s="910">
        <f t="shared" si="234"/>
        <v>0</v>
      </c>
      <c r="N35" s="910">
        <f t="shared" si="235"/>
        <v>0</v>
      </c>
      <c r="O35" s="910">
        <f t="shared" si="236"/>
        <v>34402.42</v>
      </c>
      <c r="P35" s="910">
        <f t="shared" ref="P35:P66" si="246">SUMPRODUCT((OP_EAU=A35)*(Bdgt_EAU))</f>
        <v>0</v>
      </c>
      <c r="Q35" s="910">
        <f t="shared" si="237"/>
        <v>0</v>
      </c>
      <c r="R35" s="910">
        <f t="shared" si="238"/>
        <v>162750</v>
      </c>
      <c r="S35" s="910">
        <f t="shared" si="239"/>
        <v>890983.42</v>
      </c>
      <c r="T35" s="1037">
        <f t="shared" ref="T35:T66" si="247">S35-AG35</f>
        <v>0.10999999998603016</v>
      </c>
      <c r="U35" s="1034">
        <f t="shared" si="117"/>
        <v>0</v>
      </c>
      <c r="V35" s="1034">
        <f t="shared" si="118"/>
        <v>0</v>
      </c>
      <c r="W35" s="1034">
        <f t="shared" si="119"/>
        <v>0</v>
      </c>
      <c r="X35" s="1034">
        <f t="shared" si="120"/>
        <v>0</v>
      </c>
      <c r="Y35" s="1034">
        <f t="shared" si="121"/>
        <v>0</v>
      </c>
      <c r="Z35" s="1034">
        <f t="shared" si="122"/>
        <v>0</v>
      </c>
      <c r="AA35" s="1034">
        <f t="shared" si="123"/>
        <v>0</v>
      </c>
      <c r="AB35" s="1034">
        <f t="shared" si="124"/>
        <v>0</v>
      </c>
      <c r="AC35" s="1034">
        <f t="shared" si="125"/>
        <v>0</v>
      </c>
      <c r="AD35" s="1034">
        <f t="shared" si="126"/>
        <v>498035.36</v>
      </c>
      <c r="AE35" s="1034">
        <f t="shared" si="127"/>
        <v>670842.11</v>
      </c>
      <c r="AF35" s="1034">
        <f t="shared" si="128"/>
        <v>890983.31</v>
      </c>
      <c r="AG35" s="1034">
        <f t="shared" si="129"/>
        <v>890983.31</v>
      </c>
      <c r="AH35" s="1041">
        <f t="shared" si="130"/>
        <v>0.99999987654091249</v>
      </c>
      <c r="AI35" s="1014">
        <f t="shared" ref="AI35:AI66" si="248">SUMPRODUCT((OP_FRAFU=A35)*(DatePmt&lt;&gt;"")*(DatePmt&lt;&gt;"en attente")*(YEAR(DatePmt)=$AI$1)*(ISNUMBER(MontantPaye)),MontantPaye)</f>
        <v>0</v>
      </c>
      <c r="AJ35" s="1025">
        <f t="shared" si="131"/>
        <v>0</v>
      </c>
      <c r="AK35" s="1014">
        <f t="shared" ref="AK35:AK66" si="249">SUMPRODUCT((OP_FRAFU=A35)*(DatePmt&lt;&gt;"")*(DatePmt&lt;&gt;"en attente")*(YEAR(DatePmt)=$AK$1)*(ISNUMBER(MontantPaye)),MontantPaye)</f>
        <v>0</v>
      </c>
      <c r="AL35" s="1025">
        <f t="shared" si="132"/>
        <v>0</v>
      </c>
      <c r="AM35" s="1014">
        <f t="shared" ref="AM35:AM66" si="250">SUMPRODUCT((OP_LBU=A35)*(DatePmt_LBU&lt;&gt;"")*(DatePmt_LBU&lt;&gt;"en attente")*(YEAR(DatePmt_LBU)=$AM$1)*(ISNUMBER(MtntPaye_LBU)),MtntPaye_LBU)</f>
        <v>0</v>
      </c>
      <c r="AN35" s="1025">
        <f t="shared" si="133"/>
        <v>0</v>
      </c>
      <c r="AO35" s="1014">
        <f t="shared" ref="AO35:AO66" si="251">SUMPRODUCT((OP_FRAFU=A35)*(DatePmt&lt;&gt;"")*(DatePmt&lt;&gt;"en attente")*(YEAR(DatePmt)=$AO$1)*(ISNUMBER(MontantPaye)),MontantPaye)</f>
        <v>0</v>
      </c>
      <c r="AP35" s="1014">
        <f t="shared" ref="AP35:AP66" si="252">SUMPRODUCT((OP_LBU=A35)*(DatePmt_LBU&lt;&gt;"")*(DatePmt_LBU&lt;&gt;"en attente")*(YEAR(DatePmt_LBU)=$AO$1)*(ISNUMBER(MtntPaye_LBU)),MtntPaye_LBU)</f>
        <v>0</v>
      </c>
      <c r="AQ35" s="1014">
        <f t="shared" ref="AQ35:AQ66" si="253">SUMPRODUCT((OP_TCO=A35)*(DatePmt_TCO&lt;&gt;"")*(DatePmt_TCO&lt;&gt;"en attente")*(YEAR(DatePmt_TCO)=$AO$1)*(ISNUMBER(MtntPaye_TCO)),MtntPaye_TCO)</f>
        <v>0</v>
      </c>
      <c r="AR35" s="1015">
        <f t="shared" ref="AR35:AR66" si="254">SUMPRODUCT((OP_EAU=A35)*(DatePmt_EAU&lt;&gt;"")*(DatePmt_EAU&lt;&gt;"en attente")*(YEAR(DatePmt_EAU)=$AO$1)*(ISNUMBER(MtntPaye_EAU)),MtntPaye_EAU)</f>
        <v>0</v>
      </c>
      <c r="AS35" s="1025">
        <f t="shared" ref="AS35:AS66" si="255">SUM(AO35:AR35)</f>
        <v>0</v>
      </c>
      <c r="AT35" s="1014">
        <f t="shared" ref="AT35:AT66" si="256">SUMPRODUCT((OP_FRAFU=A35)*(DatePmt&lt;&gt;"")*(DatePmt&lt;&gt;"en attente")*(YEAR(DatePmt)=$AT$1)*(ISNUMBER(MontantPaye)),MontantPaye)</f>
        <v>0</v>
      </c>
      <c r="AU35" s="1014">
        <f t="shared" ref="AU35:AU66" si="257">SUMPRODUCT((OP_LBU=A35)*(DatePmt_LBU&lt;&gt;"")*(DatePmt_LBU&lt;&gt;"en attente")*(YEAR(DatePmt_LBU)=$AT$1)*(ISNUMBER(MtntPaye_LBU)),MtntPaye_LBU)</f>
        <v>0</v>
      </c>
      <c r="AV35" s="1014">
        <f t="shared" ref="AV35:AV66" si="258">SUMPRODUCT((OP_Region=A35)*(DatePmt_Region&lt;&gt;"")*(DatePmt_Region&lt;&gt;"en attente")*(YEAR(DatePmt_Region)=$AT$1)*(ISNUMBER(MtntPaye_Region)),MtntPaye_Region)</f>
        <v>0</v>
      </c>
      <c r="AW35" s="1014">
        <f t="shared" ref="AW35:AW66" si="259">SUMPRODUCT((OP_FEDER=A35)*(DatePmt_FEDER&lt;&gt;"")*(DatePmt_FEDER&lt;&gt;"en attente")*(YEAR(DatePmt_FEDER)=$AT$1)*(ISNUMBER(MtntPaye_FEDER)),MtntPaye_FEDER)</f>
        <v>0</v>
      </c>
      <c r="AX35" s="1014">
        <f t="shared" ref="AX35:AX66" si="260">SUMPRODUCT((OP_ADEME=A35)*(DatePmt_ADEME&lt;&gt;"")*(DatePmt_ADEME&lt;&gt;"en attente")*(YEAR(DatePmt_ADEME)=$AT$1)*(ISNUMBER(MtntPaye_ADEME)),MtntPaye_ADEME)</f>
        <v>0</v>
      </c>
      <c r="AY35" s="1014">
        <f t="shared" ref="AY35:AY66" si="261">SUMPRODUCT((OP_P_Ile=A35)*(DatePmt_P_ILE&lt;&gt;"")*(DatePmt_P_ILE&lt;&gt;"en attente")*(YEAR(DatePmt_P_ILE)=$AT$1)*(ISNUMBER(MtntPaye_P_ILE)),MtntPaye_P_ILE)</f>
        <v>0</v>
      </c>
      <c r="AZ35" s="1025">
        <f t="shared" ref="AZ35:AZ66" si="262">SUM(AT35:AY35)</f>
        <v>0</v>
      </c>
      <c r="BA35" s="1014">
        <f t="shared" ref="BA35:BA66" si="263">SUMPRODUCT((OP_FRAFU=A35)*(DatePmt&lt;&gt;"")*(DatePmt&lt;&gt;"en attente")*(YEAR(DatePmt)=$BA$1)*(ISNUMBER(MontantPaye)),MontantPaye)</f>
        <v>0</v>
      </c>
      <c r="BB35" s="1014">
        <f t="shared" ref="BB35:BB66" si="264">SUMPRODUCT((OP_LBU=A35)*(DatePmt_LBU&lt;&gt;"")*(DatePmt_LBU&lt;&gt;"en attente")*(YEAR(DatePmt_LBU)=$BA$1)*(ISNUMBER(MtntPaye_LBU)),MtntPaye_LBU)</f>
        <v>0</v>
      </c>
      <c r="BC35" s="1014">
        <f t="shared" ref="BC35:BC66" si="265">SUMPRODUCT((OP_ST_LEU=A35)*(DatePmt_ST_LEU&lt;&gt;"")*(DatePmt_ST_LEU&lt;&gt;"en attente")*(YEAR(DatePmt_ST_LEU)=$BA$1)*(ISNUMBER(MtntPaye_ST_LEU)),MtntPaye_ST_LEU)</f>
        <v>0</v>
      </c>
      <c r="BD35" s="1014">
        <f t="shared" ref="BD35:BD66" si="266">SUMPRODUCT((OP_CAF=A35)*(DatePmt_caf&lt;&gt;"")*(DatePmt_caf&lt;&gt;"en attente")*(YEAR(DatePmt_caf)=$BA$1)*(ISNUMBER(MtntPaye_CAF)),MtntPaye_CAF)</f>
        <v>0</v>
      </c>
      <c r="BE35" s="1014">
        <f t="shared" ref="BE35:BE66" si="267">SUMPRODUCT((OP_TCO=A35)*(DatePmt_TCO&lt;&gt;"")*(DatePmt_TCO&lt;&gt;"en attente")*(YEAR(DatePmt_TCO)=$BA$1)*(ISNUMBER(MtntPaye_TCO)),MtntPaye_TCO)</f>
        <v>0</v>
      </c>
      <c r="BF35" s="1014">
        <f t="shared" ref="BF35:BF66" si="268">SUMPRODUCT((OP_P_Ile=A35)*(DatePmt_P_ILE&lt;&gt;"")*(DatePmt_P_ILE&lt;&gt;"en attente")*(YEAR(DatePmt_P_ILE)=$BA$1)*(ISNUMBER(MtntPaye_P_ILE)),MtntPaye_P_ILE)</f>
        <v>0</v>
      </c>
      <c r="BG35" s="1025">
        <f t="shared" ref="BG35:BG66" si="269">SUM(BA35:BF35)</f>
        <v>0</v>
      </c>
      <c r="BH35" s="1014">
        <f t="shared" ref="BH35:BH66" si="270">SUMPRODUCT((OP_FRAFU=A35)*(DatePmt&lt;&gt;"")*(DatePmt&lt;&gt;"en attente")*(YEAR(DatePmt)=$BH$1)*(ISNUMBER(MontantPaye)),MontantPaye)</f>
        <v>0</v>
      </c>
      <c r="BI35" s="1014">
        <f t="shared" ref="BI35:BI66" si="271">SUMPRODUCT((OP_LBU=A35)*(DatePmt_LBU&lt;&gt;"")*(DatePmt_LBU&lt;&gt;"en attente")*(YEAR(DatePmt_LBU)=$BH$1)*(ISNUMBER(MtntPaye_LBU)),MtntPaye_LBU)</f>
        <v>0</v>
      </c>
      <c r="BJ35" s="1014">
        <f t="shared" ref="BJ35:BJ66" si="272">SUMPRODUCT((OP_ST_LEU=A35)*(DatePmt_ST_LEU&lt;&gt;"")*(DatePmt_ST_LEU&lt;&gt;"en attente")*(YEAR(DatePmt_ST_LEU)=$BH$1)*(ISNUMBER(MtntPaye_ST_LEU)),MtntPaye_ST_LEU)</f>
        <v>0</v>
      </c>
      <c r="BK35" s="1014">
        <f t="shared" ref="BK35:BK66" si="273">SUMPRODUCT((OP_CAF=A35)*(DatePmt_caf&lt;&gt;"")*(DatePmt_caf&lt;&gt;"en attente")*(YEAR(DatePmt_caf)=$BH$1)*(ISNUMBER(MtntPaye_CAF)),MtntPaye_CAF)</f>
        <v>0</v>
      </c>
      <c r="BL35" s="1014">
        <f t="shared" ref="BL35:BL66" si="274">SUMPRODUCT((OP_Region=A35)*(DatePmt_Region&lt;&gt;"")*(DatePmt_Region&lt;&gt;"en attente")*(YEAR(DatePmt_Region)=$BH$1)*(ISNUMBER(MtntPaye_Region)),MtntPaye_Region)</f>
        <v>0</v>
      </c>
      <c r="BM35" s="1014">
        <f t="shared" ref="BM35:BM66" si="275">SUMPRODUCT((OP_TCO=A35)*(DatePmt_TCO&lt;&gt;"")*(DatePmt_TCO&lt;&gt;"en attente")*(YEAR(DatePmt_TCO)=$BH$1)*(ISNUMBER(MtntPaye_TCO)),MtntPaye_TCO)</f>
        <v>0</v>
      </c>
      <c r="BN35" s="1025">
        <f t="shared" ref="BN35:BN66" si="276">SUM(BH35:BM35)</f>
        <v>0</v>
      </c>
      <c r="BO35" s="1014">
        <f t="shared" ref="BO35:BO66" si="277">SUMPRODUCT((OP_FRAFU=A35)*(DatePmt&lt;&gt;"")*(DatePmt&lt;&gt;"en attente")*(YEAR(DatePmt)=$BO$1)*(ISNUMBER(MontantPaye)),MontantPaye)</f>
        <v>0</v>
      </c>
      <c r="BP35" s="1014">
        <f t="shared" ref="BP35:BP66" si="278">SUMPRODUCT((OP_LBU=A35)*(DatePmt_LBU&lt;&gt;"")*(DatePmt_LBU&lt;&gt;"en attente")*(YEAR(DatePmt_LBU)=$BO$1)*(ISNUMBER(MtntPaye_LBU)),MtntPaye_LBU)</f>
        <v>0</v>
      </c>
      <c r="BQ35" s="1014">
        <f t="shared" ref="BQ35:BQ66" si="279">SUMPRODUCT((OP_ST_LEU=A35)*(DatePmt_ST_LEU&lt;&gt;"")*(DatePmt_ST_LEU&lt;&gt;"en attente")*(YEAR(DatePmt_ST_LEU)=$BO$1)*(ISNUMBER(MtntPaye_ST_LEU)),MtntPaye_ST_LEU)</f>
        <v>0</v>
      </c>
      <c r="BR35" s="1014">
        <f t="shared" ref="BR35:BR66" si="280">SUMPRODUCT((OP_CAF=A35)*(DatePmt_caf&lt;&gt;"")*(DatePmt_caf&lt;&gt;"en attente")*(YEAR(DatePmt_caf)=$BO$1)*(ISNUMBER(MtntPaye_CAF)),MtntPaye_CAF)</f>
        <v>0</v>
      </c>
      <c r="BS35" s="1014">
        <f t="shared" ref="BS35:BS66" si="281">SUMPRODUCT((OP_ADEME=A35)*(DatePmt_ADEME&lt;&gt;"")*(DatePmt_ADEME&lt;&gt;"en attente")*(YEAR(DatePmt_ADEME)=$BO$1)*(ISNUMBER(MtntPaye_ADEME)),MtntPaye_ADEME)</f>
        <v>0</v>
      </c>
      <c r="BT35" s="1025">
        <f t="shared" ref="BT35:BT66" si="282">SUM(BO35:BS35)</f>
        <v>0</v>
      </c>
      <c r="BU35" s="1014">
        <f t="shared" ref="BU35:BU66" si="283">SUMPRODUCT((OP_FRAFU=A35)*(DatePmt&lt;&gt;"")*(DatePmt&lt;&gt;"en attente")*(YEAR(DatePmt)=$BU$1)*(ISNUMBER(MontantPaye)),MontantPaye)</f>
        <v>0</v>
      </c>
      <c r="BV35" s="1014">
        <f t="shared" ref="BV35:BV66" si="284">SUMPRODUCT((OP_LBU=A35)*(DatePmt_LBU&lt;&gt;"")*(DatePmt_LBU&lt;&gt;"en attente")*(YEAR(DatePmt_LBU)=$BU$1)*(ISNUMBER(MtntPaye_LBU)),MtntPaye_LBU)</f>
        <v>0</v>
      </c>
      <c r="BW35" s="1014">
        <f t="shared" ref="BW35:BW66" si="285">SUMPRODUCT((OP_ST_LEU=A35)*(DatePmt_ST_LEU&lt;&gt;"")*(DatePmt_ST_LEU&lt;&gt;"en attente")*(YEAR(DatePmt_ST_LEU)=$BU$1)*(ISNUMBER(MtntPaye_ST_LEU)),MtntPaye_ST_LEU)</f>
        <v>0</v>
      </c>
      <c r="BX35" s="1014">
        <f t="shared" ref="BX35:BX66" si="286">SUMPRODUCT((OP_CAF=A35)*(DatePmt_caf&lt;&gt;"")*(DatePmt_caf&lt;&gt;"en attente")*(YEAR(DatePmt_caf)=$BU$1)*(ISNUMBER(MtntPaye_CAF)),MtntPaye_CAF)</f>
        <v>0</v>
      </c>
      <c r="BY35" s="1014">
        <f t="shared" ref="BY35:BY66" si="287">SUMPRODUCT((OP_Region=A35)*(DatePmt_Region&lt;&gt;"")*(DatePmt_Region&lt;&gt;"en attente")*(YEAR(DatePmt_Region)=$BU$1)*(ISNUMBER(MtntPaye_Region)),MtntPaye_Region)</f>
        <v>0</v>
      </c>
      <c r="BZ35" s="1014">
        <f t="shared" ref="BZ35:BZ66" si="288">SUMPRODUCT((OP_DIECCTE=A35)*(DatePmt_DIECCTE&lt;&gt;"")*(DatePmt_DIECCTE&lt;&gt;"en attente")*(YEAR(DatePmt_DIECCTE)=$BU$1)*(ISNUMBER(MtntPaye_DIECCTE)),MtntPaye_DIECCTE)</f>
        <v>0</v>
      </c>
      <c r="CA35" s="1014">
        <f t="shared" ref="CA35:CA66" si="289">SUMPRODUCT((OP_FEDER=A35)*(DatePmt_FEDER&lt;&gt;"")*(DatePmt_FEDER&lt;&gt;"en attente")*(YEAR(DatePmt_FEDER)=$BU$1)*(ISNUMBER(MtntPaye_FEDER)),MtntPaye_FEDER)</f>
        <v>0</v>
      </c>
      <c r="CB35" s="1014">
        <f t="shared" ref="CB35:CB66" si="290">SUMPRODUCT((OP_ADEME=A35)*(DatePmt_ADEME&lt;&gt;"")*(DatePmt_ADEME&lt;&gt;"en attente")*(YEAR(DatePmt_ADEME)=$BU$1)*(ISNUMBER(MtntPaye_ADEME)),MtntPaye_ADEME)</f>
        <v>0</v>
      </c>
      <c r="CC35" s="1014">
        <f t="shared" ref="CC35:CC66" si="291">SUMPRODUCT((OP_P_Ile=A35)*(DatePmt_P_ILE&lt;&gt;"")*(DatePmt_P_ILE&lt;&gt;"en attente")*(YEAR(DatePmt_P_ILE)=$BU$1)*(ISNUMBER(MtntPaye_P_ILE)),MtntPaye_P_ILE)</f>
        <v>0</v>
      </c>
      <c r="CD35" s="1015">
        <f t="shared" ref="CD35:CD66" si="292">SUMPRODUCT((OP_EAU=A35)*(DatePmt_EAU&lt;&gt;"")*(DatePmt_EAU&lt;&gt;"en attente")*(YEAR(DatePmt_EAU)=$BU$1)*(ISNUMBER(MtntPaye_EAU)),MtntPaye_EAU)</f>
        <v>0</v>
      </c>
      <c r="CE35" s="1014">
        <f t="shared" ref="CE35:CE66" si="293">SUMPRODUCT((OP_ETG_SALE=A35)*(DatePmt_ETG_SALE&lt;&gt;"")*(DatePmt_ETG_SALE&lt;&gt;"en attente")*(YEAR(DatePmt_ETG_SALE)=$BU$1)*(ISNUMBER(MtntPaye_ETG_SALE)),MtntPaye_ETG_SALE)</f>
        <v>0</v>
      </c>
      <c r="CF35" s="1025">
        <f t="shared" ref="CF35:CF66" si="294">SUM(BU35:CE35)</f>
        <v>0</v>
      </c>
      <c r="CG35" s="1014">
        <f t="shared" ref="CG35:CG66" si="295">SUMPRODUCT((OP_FRAFU=A35)*(DatePmt&lt;&gt;"")*(DatePmt&lt;&gt;"en attente")*(YEAR(DatePmt)=$CG$1)*(ISNUMBER(MontantPaye)),MontantPaye)</f>
        <v>157086.35</v>
      </c>
      <c r="CH35" s="1014">
        <f t="shared" ref="CH35:CH66" si="296">SUMPRODUCT((OP_LBU=A35)*(DatePmt_LBU&lt;&gt;"")*(DatePmt_LBU&lt;&gt;"en attente")*(YEAR(DatePmt_LBU)=$CG$1)*(ISNUMBER(MtntPaye_LBU)),MtntPaye_LBU)</f>
        <v>259574.01</v>
      </c>
      <c r="CI35" s="1014">
        <f t="shared" ref="CI35:CI66" si="297">SUMPRODUCT((OP_ST_LEU=A35)*(DatePmt_ST_LEU&lt;&gt;"")*(DatePmt_ST_LEU&lt;&gt;"en attente")*(YEAR(DatePmt_ST_LEU)=$CG$1)*(ISNUMBER(MtntPaye_ST_LEU)),MtntPaye_ST_LEU)</f>
        <v>0</v>
      </c>
      <c r="CJ35" s="1014">
        <f t="shared" ref="CJ35:CJ66" si="298">SUMPRODUCT((OP_CAF=A35)*(DatePmt_caf&lt;&gt;"")*(DatePmt_caf&lt;&gt;"en attente")*(YEAR(DatePmt_caf)=$CG$1)*(ISNUMBER(MtntPaye_CAF)),MtntPaye_CAF)</f>
        <v>0</v>
      </c>
      <c r="CK35" s="1014">
        <f t="shared" ref="CK35:CK66" si="299">SUMPRODUCT((OP_Region=A35)*(DatePmt_Region&lt;&gt;"")*(DatePmt_Region&lt;&gt;"en attente")*(YEAR(DatePmt_Region)=$CG$1)*(ISNUMBER(MtntPaye_Region)),MtntPaye_Region)</f>
        <v>0</v>
      </c>
      <c r="CL35" s="1014">
        <f t="shared" ref="CL35:CL66" si="300">SUMPRODUCT((OP_FEDER=A35)*(DatePmt_FEDER&lt;&gt;"")*(DatePmt_FEDER&lt;&gt;"en attente")*(YEAR(DatePmt_FEDER)=$CG$1)*(ISNUMBER(MtntPaye_FEDER)),MtntPaye_FEDER)</f>
        <v>0</v>
      </c>
      <c r="CM35" s="1014">
        <f t="shared" ref="CM35:CM66" si="301">SUMPRODUCT((OP_P_Ile=A35)*(DatePmt_P_ILE&lt;&gt;"")*(DatePmt_P_ILE&lt;&gt;"en attente")*(YEAR(DatePmt_P_ILE)=$CG$1)*(ISNUMBER(MtntPaye_P_ILE)),MtntPaye_P_ILE)</f>
        <v>0</v>
      </c>
      <c r="CN35" s="1015">
        <f t="shared" ref="CN35:CN66" si="302">SUMPRODUCT((OP_EDF=A35)*(DatePmt_EDF&lt;&gt;"")*(DatePmt_EDF&lt;&gt;"en attente")*(YEAR(DatePmt_EDF)=$CG$1)*(ISNUMBER(MtntPaye_EDF)),MtntPaye_EDF)</f>
        <v>0</v>
      </c>
      <c r="CO35" s="1014">
        <f t="shared" ref="CO35:CO66" si="303">SUMPRODUCT((OP_ST_JO=A35)*(DatePmt_ST_JOSEPH&lt;&gt;"")*(DatePmt_ST_JOSEPH&lt;&gt;"en attente")*(YEAR(DatePmt_ST_JOSEPH)=$CG$1)*(ISNUMBER(MtntPaye_ST_JOSEPH)),MtntPaye_ST_JOSEPH)</f>
        <v>81375</v>
      </c>
      <c r="CP35" s="1025">
        <f t="shared" ref="CP35:CP66" si="304">SUM(CG35:CO35)</f>
        <v>498035.36</v>
      </c>
      <c r="CQ35" s="1014">
        <f t="shared" ref="CQ35:CQ66" si="305">SUMPRODUCT((OP_FRAFU=A35)*(DatePmt&lt;&gt;"")*(DatePmt&lt;&gt;"en attente")*(YEAR(DatePmt)=$CQ$1)*(ISNUMBER(MontantPaye)),MontantPaye)</f>
        <v>82913.55</v>
      </c>
      <c r="CR35" s="1014">
        <f t="shared" ref="CR35:CR66" si="306">SUMPRODUCT((OP_LBU=A35)*(DatePmt_LBU&lt;&gt;"")*(DatePmt_LBU&lt;&gt;"en attente")*(YEAR(DatePmt_LBU)=$CQ$1)*(ISNUMBER(MtntPaye_LBU)),MtntPaye_LBU)</f>
        <v>55490.79</v>
      </c>
      <c r="CS35" s="1014">
        <f t="shared" ref="CS35:CS66" si="307">SUMPRODUCT((OP_CAF=A35)*(DatePmt_caf&lt;&gt;"")*(DatePmt_caf&lt;&gt;"en attente")*(YEAR(DatePmt_caf)=$CQ$1)*(ISNUMBER(MtntPaye_CAF)),MtntPaye_CAF)</f>
        <v>0</v>
      </c>
      <c r="CT35" s="1014">
        <f t="shared" ref="CT35:CT66" si="308">SUMPRODUCT((OP_Region=A35)*(DatePmt_Region&lt;&gt;"")*(DatePmt_Region&lt;&gt;"en attente")*(YEAR(DatePmt_Region)=$CQ$1)*(ISNUMBER(MtntPaye_Region)),MtntPaye_Region)</f>
        <v>0</v>
      </c>
      <c r="CU35" s="1015">
        <f t="shared" ref="CU35:CU66" si="309">SUMPRODUCT((OP_EDF=A35)*(DatePmt_EDF&lt;&gt;"")*(DatePmt_EDF&lt;&gt;"en attente")*(YEAR(DatePmt_EDF)=$CQ$1)*(ISNUMBER(MtntPaye_EDF)),MtntPaye_EDF)</f>
        <v>34402.410000000003</v>
      </c>
      <c r="CV35" s="1030">
        <f t="shared" ref="CV35:CV66" si="310">SUM(CQ35:CU35)</f>
        <v>172806.75</v>
      </c>
      <c r="CW35" s="1014">
        <f t="shared" ref="CW35:CW66" si="311">SUMPRODUCT((OP_FRAFU=A35)*(DatePmt&lt;&gt;"")*(DatePmt&lt;&gt;"en attente")*(YEAR(DatePmt)=$CW$1)*(ISNUMBER(MontantPaye)),MontantPaye)</f>
        <v>60000</v>
      </c>
      <c r="CX35" s="1014">
        <f t="shared" ref="CX35:CX66" si="312">SUMPRODUCT((OP_Rehab=A35)*(DatePmtRehab&lt;&gt;"")*(DatePmtRehab&lt;&gt;"en attente")*(YEAR(DatePmtRehab)=$CW$1)*(ISNUMBER(MontantPayeRehab)),MontantPayeRehab)</f>
        <v>0</v>
      </c>
      <c r="CY35" s="1014">
        <f t="shared" ref="CY35:CY66" si="313">SUMPRODUCT((OP_LBU=A35)*(DatePmt_LBU&lt;&gt;"")*(DatePmt_LBU&lt;&gt;"en attente")*(YEAR(DatePmt_LBU)=$CW$1)*(ISNUMBER(MtntPaye_LBU)),MtntPaye_LBU)</f>
        <v>78766.2</v>
      </c>
      <c r="CZ35" s="1014">
        <f t="shared" ref="CZ35:CZ66" si="314">SUMPRODUCT((OP_CAF=A35)*(DatePmt_caf&lt;&gt;"")*(DatePmt_caf&lt;&gt;"en attente")*(YEAR(DatePmt_caf)=$CW$1)*(ISNUMBER(MtntPaye_CAF)),MtntPaye_CAF)</f>
        <v>0</v>
      </c>
      <c r="DA35" s="1014">
        <f t="shared" ref="DA35:DA66" si="315">SUMPRODUCT((OP_Region=A35)*(DatePmt_Region&lt;&gt;"")*(DatePmt_Region&lt;&gt;"en attente")*(YEAR(DatePmt_Region)=$CW$1)*(ISNUMBER(MtntPaye_Region)),MtntPaye_Region)</f>
        <v>0</v>
      </c>
      <c r="DB35" s="1014">
        <f t="shared" ref="DB35:DB66" si="316">SUMPRODUCT((OP_Rectorat=A35)*(DatePmt_Rectorat&lt;&gt;"")*(DatePmt_Rectorat&lt;&gt;"en attente")*(YEAR(DatePmt_Rectorat)=$CW$1)*(ISNUMBER(MtntPaye_Rectorat)),MtntPaye_Rectorat)</f>
        <v>0</v>
      </c>
      <c r="DC35" s="1014">
        <f t="shared" ref="DC35:DC66" si="317">SUMPRODUCT((OP_ADEME=A35)*(DatePmt_ADEME&lt;&gt;"")*(DatePmt_ADEME&lt;&gt;"en attente")*(YEAR(DatePmt_ADEME)=$CW$1)*(ISNUMBER(MtntPaye_ADEME)),MtntPaye_ADEME)</f>
        <v>0</v>
      </c>
      <c r="DD35" s="1014">
        <f t="shared" ref="DD35:DD66" si="318">SUMPRODUCT((OP_P_Ile=A35)*(DatePmt_P_ILE&lt;&gt;"")*(DatePmt_P_ILE&lt;&gt;"en attente")*(YEAR(DatePmt_P_ILE)=$CW$1)*(ISNUMBER(MtntPaye_P_ILE)),MtntPaye_P_ILE)</f>
        <v>0</v>
      </c>
      <c r="DE35" s="1015">
        <f t="shared" ref="DE35:DE66" si="319">SUMPRODUCT((OP_EDF=A35)*(DatePmt_EDF&lt;&gt;"")*(DatePmt_EDF&lt;&gt;"en attente")*(YEAR(DatePmt_EDF)=$CW$1)*(ISNUMBER(MtntPaye_EDF)),MtntPaye_EDF)</f>
        <v>0</v>
      </c>
      <c r="DF35" s="1014">
        <f t="shared" ref="DF35:DF66" si="320">SUMPRODUCT((OP_ETG_SALE=A35)*(DatePmt_ETG_SALE&lt;&gt;"")*(DatePmt_ETG_SALE&lt;&gt;"en attente")*(YEAR(DatePmt_ETG_SALE)=$CW$1)*(ISNUMBER(MtntPaye_ETG_SALE)),MtntPaye_ETG_SALE)</f>
        <v>0</v>
      </c>
      <c r="DG35" s="1014">
        <f t="shared" ref="DG35:DG66" si="321">SUMPRODUCT((OP_ST_JO=A35)*(DatePmt_ST_JOSEPH&lt;&gt;"")*(DatePmt_ST_JOSEPH&lt;&gt;"en attente")*(YEAR(DatePmt_ST_JOSEPH)=$CW$1)*(ISNUMBER(MtntPaye_ST_JOSEPH)),MtntPaye_ST_JOSEPH)</f>
        <v>81375</v>
      </c>
      <c r="DH35" s="1012">
        <f t="shared" si="240"/>
        <v>220141.2</v>
      </c>
      <c r="DI35" s="1014">
        <f t="shared" ref="DI35:DI66" si="322">SUMPRODUCT((OP_FRAFU=A35)*(DatePmt&lt;&gt;"")*(DatePmt&lt;&gt;"en attente")*(YEAR(DatePmt)=$DI$1)*(ISNUMBER(MontantPaye)),MontantPaye)</f>
        <v>0</v>
      </c>
      <c r="DJ35" s="1014">
        <f t="shared" ref="DJ35:DJ66" si="323">SUMPRODUCT((OP_Rehab=A35)*(DatePmtRehab&lt;&gt;"")*(DatePmtRehab&lt;&gt;"en attente")*(YEAR(DatePmtRehab)=$DI$1)*(ISNUMBER(MontantPayeRehab)),MontantPayeRehab)</f>
        <v>0</v>
      </c>
      <c r="DK35" s="1014">
        <f t="shared" ref="DK35:DK66" si="324">SUMPRODUCT((OP_LBU=A35)*(DatePmt_LBU&lt;&gt;"")*(DatePmt_LBU&lt;&gt;"en attente")*(YEAR(DatePmt_LBU)=$DI$1)*(ISNUMBER(MtntPaye_LBU)),MtntPaye_LBU)</f>
        <v>0</v>
      </c>
      <c r="DL35" s="1014">
        <f t="shared" ref="DL35:DL66" si="325">SUMPRODUCT((OP_CAF=A35)*(DatePmt_caf&lt;&gt;"")*(DatePmt_caf&lt;&gt;"en attente")*(YEAR(DatePmt_caf)=$DI$1)*(ISNUMBER(MtntPaye_CAF)),MtntPaye_CAF)</f>
        <v>0</v>
      </c>
      <c r="DM35" s="1014">
        <f t="shared" ref="DM35:DM66" si="326">SUMPRODUCT((OP_Region=A35)*(DatePmt_Region&lt;&gt;"")*(DatePmt_Region&lt;&gt;"en attente")*(YEAR(DatePmt_Region)=$DI$1)*(ISNUMBER(MtntPaye_Region)),MtntPaye_Region)</f>
        <v>0</v>
      </c>
      <c r="DN35" s="1014">
        <f t="shared" ref="DN35:DN66" si="327">SUMPRODUCT((OP_Rectorat=A35)*(DatePmt_Rectorat&lt;&gt;"")*(DatePmt_Rectorat&lt;&gt;"en attente")*(YEAR(DatePmt_Rectorat)=$DI$1)*(ISNUMBER(MtntPaye_Rectorat)),MtntPaye_Rectorat)</f>
        <v>0</v>
      </c>
      <c r="DO35" s="1014">
        <f t="shared" ref="DO35:DO66" si="328">SUMPRODUCT((OP_ADEME=A35)*(DatePmt_ADEME&lt;&gt;"")*(DatePmt_ADEME&lt;&gt;"en attente")*(YEAR(DatePmt_ADEME)=$DI$1)*(ISNUMBER(MtntPaye_ADEME)),MtntPaye_ADEME)</f>
        <v>0</v>
      </c>
      <c r="DP35" s="1014">
        <f t="shared" ref="DP35:DP66" si="329">SUMPRODUCT((OP_P_Ile=A35)*(DatePmt_P_ILE&lt;&gt;"")*(DatePmt_P_ILE&lt;&gt;"en attente")*(YEAR(DatePmt_P_ILE)=$DI$1)*(ISNUMBER(MtntPaye_P_ILE)),MtntPaye_P_ILE)</f>
        <v>0</v>
      </c>
      <c r="DQ35" s="1020">
        <f t="shared" ref="DQ35:DQ66" si="330">SUMPRODUCT((OP_EDF=A35)*(DatePmt_EDF&lt;&gt;"")*(DatePmt_EDF&lt;&gt;"en attente")*(YEAR(DatePmt_EDF)=$DI$1)*(ISNUMBER(MtntPaye_EDF)),MtntPaye_EDF)</f>
        <v>0</v>
      </c>
      <c r="DR35" s="1014">
        <f t="shared" ref="DR35:DR66" si="331">SUMPRODUCT((OP_ETG_SALE=A35)*(DatePmt_ETG_SALE&lt;&gt;"")*(DatePmt_ETG_SALE&lt;&gt;"en attente")*(YEAR(DatePmt_ETG_SALE)=$DI$1)*(ISNUMBER(MtntPaye_ETG_SALE)),MtntPaye_ETG_SALE)</f>
        <v>0</v>
      </c>
      <c r="DS35" s="1014">
        <f t="shared" ref="DS35:DS66" si="332">SUMPRODUCT((OP_ST_JO=A35)*(DatePmt_ST_JOSEPH&lt;&gt;"")*(DatePmt_ST_JOSEPH&lt;&gt;"en attente")*(YEAR(DatePmt_ST_JOSEPH)=$DI$1)*(ISNUMBER(MtntPaye_ST_JOSEPH)),MtntPaye_ST_JOSEPH)</f>
        <v>0</v>
      </c>
      <c r="DT35" s="1025">
        <f t="shared" si="241"/>
        <v>0</v>
      </c>
    </row>
    <row r="36" spans="1:124" x14ac:dyDescent="0.2">
      <c r="A36" s="908" t="s">
        <v>251</v>
      </c>
      <c r="B36" s="908">
        <v>2018</v>
      </c>
      <c r="C36" s="910">
        <f t="shared" si="228"/>
        <v>0</v>
      </c>
      <c r="D36" s="910">
        <f t="shared" si="229"/>
        <v>0</v>
      </c>
      <c r="E36" s="910">
        <f t="shared" si="230"/>
        <v>600000</v>
      </c>
      <c r="F36" s="910">
        <f t="shared" si="242"/>
        <v>0</v>
      </c>
      <c r="G36" s="910">
        <f t="shared" si="231"/>
        <v>0</v>
      </c>
      <c r="H36" s="910">
        <f t="shared" si="232"/>
        <v>0</v>
      </c>
      <c r="I36" s="910">
        <f t="shared" si="233"/>
        <v>0</v>
      </c>
      <c r="J36" s="910">
        <f t="shared" si="243"/>
        <v>0</v>
      </c>
      <c r="K36" s="910">
        <f t="shared" si="244"/>
        <v>0</v>
      </c>
      <c r="L36" s="910">
        <f t="shared" si="245"/>
        <v>0</v>
      </c>
      <c r="M36" s="910">
        <f t="shared" si="234"/>
        <v>0</v>
      </c>
      <c r="N36" s="910">
        <f t="shared" si="235"/>
        <v>0</v>
      </c>
      <c r="O36" s="910">
        <f t="shared" si="236"/>
        <v>38342.75</v>
      </c>
      <c r="P36" s="910">
        <f t="shared" si="246"/>
        <v>0</v>
      </c>
      <c r="Q36" s="910">
        <f t="shared" si="237"/>
        <v>0</v>
      </c>
      <c r="R36" s="910">
        <f t="shared" si="238"/>
        <v>0</v>
      </c>
      <c r="S36" s="910">
        <f t="shared" si="239"/>
        <v>638342.75</v>
      </c>
      <c r="T36" s="1037">
        <f t="shared" si="247"/>
        <v>158342.75</v>
      </c>
      <c r="U36" s="1034">
        <f t="shared" si="117"/>
        <v>0</v>
      </c>
      <c r="V36" s="1034">
        <f t="shared" si="118"/>
        <v>0</v>
      </c>
      <c r="W36" s="1034">
        <f t="shared" si="119"/>
        <v>0</v>
      </c>
      <c r="X36" s="1034">
        <f t="shared" si="120"/>
        <v>0</v>
      </c>
      <c r="Y36" s="1034">
        <f t="shared" si="121"/>
        <v>0</v>
      </c>
      <c r="Z36" s="1034">
        <f t="shared" si="122"/>
        <v>0</v>
      </c>
      <c r="AA36" s="1034">
        <f t="shared" si="123"/>
        <v>0</v>
      </c>
      <c r="AB36" s="1034">
        <f t="shared" si="124"/>
        <v>0</v>
      </c>
      <c r="AC36" s="1034">
        <f t="shared" si="125"/>
        <v>0</v>
      </c>
      <c r="AD36" s="1034">
        <f t="shared" si="126"/>
        <v>0</v>
      </c>
      <c r="AE36" s="1034">
        <f t="shared" si="127"/>
        <v>227760</v>
      </c>
      <c r="AF36" s="1034">
        <f t="shared" si="128"/>
        <v>425280</v>
      </c>
      <c r="AG36" s="1034">
        <f t="shared" si="129"/>
        <v>480000</v>
      </c>
      <c r="AH36" s="1041">
        <f t="shared" si="130"/>
        <v>0.75194713185040485</v>
      </c>
      <c r="AI36" s="1014">
        <f t="shared" si="248"/>
        <v>0</v>
      </c>
      <c r="AJ36" s="1025">
        <f t="shared" si="131"/>
        <v>0</v>
      </c>
      <c r="AK36" s="1014">
        <f t="shared" si="249"/>
        <v>0</v>
      </c>
      <c r="AL36" s="1025">
        <f t="shared" si="132"/>
        <v>0</v>
      </c>
      <c r="AM36" s="1014">
        <f t="shared" si="250"/>
        <v>0</v>
      </c>
      <c r="AN36" s="1025">
        <f t="shared" si="133"/>
        <v>0</v>
      </c>
      <c r="AO36" s="1014">
        <f t="shared" si="251"/>
        <v>0</v>
      </c>
      <c r="AP36" s="1014">
        <f t="shared" si="252"/>
        <v>0</v>
      </c>
      <c r="AQ36" s="1014">
        <f t="shared" si="253"/>
        <v>0</v>
      </c>
      <c r="AR36" s="1015">
        <f t="shared" si="254"/>
        <v>0</v>
      </c>
      <c r="AS36" s="1025">
        <f t="shared" si="255"/>
        <v>0</v>
      </c>
      <c r="AT36" s="1014">
        <f t="shared" si="256"/>
        <v>0</v>
      </c>
      <c r="AU36" s="1014">
        <f t="shared" si="257"/>
        <v>0</v>
      </c>
      <c r="AV36" s="1014">
        <f t="shared" si="258"/>
        <v>0</v>
      </c>
      <c r="AW36" s="1014">
        <f t="shared" si="259"/>
        <v>0</v>
      </c>
      <c r="AX36" s="1014">
        <f t="shared" si="260"/>
        <v>0</v>
      </c>
      <c r="AY36" s="1014">
        <f t="shared" si="261"/>
        <v>0</v>
      </c>
      <c r="AZ36" s="1025">
        <f t="shared" si="262"/>
        <v>0</v>
      </c>
      <c r="BA36" s="1014">
        <f t="shared" si="263"/>
        <v>0</v>
      </c>
      <c r="BB36" s="1014">
        <f t="shared" si="264"/>
        <v>0</v>
      </c>
      <c r="BC36" s="1014">
        <f t="shared" si="265"/>
        <v>0</v>
      </c>
      <c r="BD36" s="1014">
        <f t="shared" si="266"/>
        <v>0</v>
      </c>
      <c r="BE36" s="1014">
        <f t="shared" si="267"/>
        <v>0</v>
      </c>
      <c r="BF36" s="1014">
        <f t="shared" si="268"/>
        <v>0</v>
      </c>
      <c r="BG36" s="1025">
        <f t="shared" si="269"/>
        <v>0</v>
      </c>
      <c r="BH36" s="1014">
        <f t="shared" si="270"/>
        <v>0</v>
      </c>
      <c r="BI36" s="1014">
        <f t="shared" si="271"/>
        <v>0</v>
      </c>
      <c r="BJ36" s="1014">
        <f t="shared" si="272"/>
        <v>0</v>
      </c>
      <c r="BK36" s="1014">
        <f t="shared" si="273"/>
        <v>0</v>
      </c>
      <c r="BL36" s="1014">
        <f t="shared" si="274"/>
        <v>0</v>
      </c>
      <c r="BM36" s="1014">
        <f t="shared" si="275"/>
        <v>0</v>
      </c>
      <c r="BN36" s="1025">
        <f t="shared" si="276"/>
        <v>0</v>
      </c>
      <c r="BO36" s="1014">
        <f t="shared" si="277"/>
        <v>0</v>
      </c>
      <c r="BP36" s="1014">
        <f t="shared" si="278"/>
        <v>0</v>
      </c>
      <c r="BQ36" s="1014">
        <f t="shared" si="279"/>
        <v>0</v>
      </c>
      <c r="BR36" s="1014">
        <f t="shared" si="280"/>
        <v>0</v>
      </c>
      <c r="BS36" s="1014">
        <f t="shared" si="281"/>
        <v>0</v>
      </c>
      <c r="BT36" s="1025">
        <f t="shared" si="282"/>
        <v>0</v>
      </c>
      <c r="BU36" s="1014">
        <f t="shared" si="283"/>
        <v>0</v>
      </c>
      <c r="BV36" s="1014">
        <f t="shared" si="284"/>
        <v>0</v>
      </c>
      <c r="BW36" s="1014">
        <f t="shared" si="285"/>
        <v>0</v>
      </c>
      <c r="BX36" s="1014">
        <f t="shared" si="286"/>
        <v>0</v>
      </c>
      <c r="BY36" s="1014">
        <f t="shared" si="287"/>
        <v>0</v>
      </c>
      <c r="BZ36" s="1014">
        <f t="shared" si="288"/>
        <v>0</v>
      </c>
      <c r="CA36" s="1014">
        <f t="shared" si="289"/>
        <v>0</v>
      </c>
      <c r="CB36" s="1014">
        <f t="shared" si="290"/>
        <v>0</v>
      </c>
      <c r="CC36" s="1014">
        <f t="shared" si="291"/>
        <v>0</v>
      </c>
      <c r="CD36" s="1015">
        <f t="shared" si="292"/>
        <v>0</v>
      </c>
      <c r="CE36" s="1014">
        <f t="shared" si="293"/>
        <v>0</v>
      </c>
      <c r="CF36" s="1025">
        <f t="shared" si="294"/>
        <v>0</v>
      </c>
      <c r="CG36" s="1014">
        <f t="shared" si="295"/>
        <v>0</v>
      </c>
      <c r="CH36" s="1014">
        <f t="shared" si="296"/>
        <v>0</v>
      </c>
      <c r="CI36" s="1014">
        <f t="shared" si="297"/>
        <v>0</v>
      </c>
      <c r="CJ36" s="1014">
        <f t="shared" si="298"/>
        <v>0</v>
      </c>
      <c r="CK36" s="1014">
        <f t="shared" si="299"/>
        <v>0</v>
      </c>
      <c r="CL36" s="1014">
        <f t="shared" si="300"/>
        <v>0</v>
      </c>
      <c r="CM36" s="1014">
        <f t="shared" si="301"/>
        <v>0</v>
      </c>
      <c r="CN36" s="1015">
        <f t="shared" si="302"/>
        <v>0</v>
      </c>
      <c r="CO36" s="1014">
        <f t="shared" si="303"/>
        <v>0</v>
      </c>
      <c r="CP36" s="1025">
        <f t="shared" si="304"/>
        <v>0</v>
      </c>
      <c r="CQ36" s="1014">
        <f t="shared" si="305"/>
        <v>0</v>
      </c>
      <c r="CR36" s="1014">
        <f t="shared" si="306"/>
        <v>227760</v>
      </c>
      <c r="CS36" s="1014">
        <f t="shared" si="307"/>
        <v>0</v>
      </c>
      <c r="CT36" s="1014">
        <f t="shared" si="308"/>
        <v>0</v>
      </c>
      <c r="CU36" s="1015">
        <f t="shared" si="309"/>
        <v>0</v>
      </c>
      <c r="CV36" s="1030">
        <f t="shared" si="310"/>
        <v>227760</v>
      </c>
      <c r="CW36" s="1014">
        <f t="shared" si="311"/>
        <v>0</v>
      </c>
      <c r="CX36" s="1014">
        <f t="shared" si="312"/>
        <v>0</v>
      </c>
      <c r="CY36" s="1014">
        <f t="shared" si="313"/>
        <v>197520</v>
      </c>
      <c r="CZ36" s="1014">
        <f t="shared" si="314"/>
        <v>0</v>
      </c>
      <c r="DA36" s="1014">
        <f t="shared" si="315"/>
        <v>0</v>
      </c>
      <c r="DB36" s="1014">
        <f t="shared" si="316"/>
        <v>0</v>
      </c>
      <c r="DC36" s="1014">
        <f t="shared" si="317"/>
        <v>0</v>
      </c>
      <c r="DD36" s="1014">
        <f t="shared" si="318"/>
        <v>0</v>
      </c>
      <c r="DE36" s="1015">
        <f t="shared" si="319"/>
        <v>0</v>
      </c>
      <c r="DF36" s="1014">
        <f t="shared" si="320"/>
        <v>0</v>
      </c>
      <c r="DG36" s="1014">
        <f t="shared" si="321"/>
        <v>0</v>
      </c>
      <c r="DH36" s="1012">
        <f t="shared" si="240"/>
        <v>197520</v>
      </c>
      <c r="DI36" s="1014">
        <f t="shared" si="322"/>
        <v>0</v>
      </c>
      <c r="DJ36" s="1014">
        <f t="shared" si="323"/>
        <v>0</v>
      </c>
      <c r="DK36" s="1014">
        <f t="shared" si="324"/>
        <v>54720</v>
      </c>
      <c r="DL36" s="1014">
        <f t="shared" si="325"/>
        <v>0</v>
      </c>
      <c r="DM36" s="1014">
        <f t="shared" si="326"/>
        <v>0</v>
      </c>
      <c r="DN36" s="1014">
        <f t="shared" si="327"/>
        <v>0</v>
      </c>
      <c r="DO36" s="1014">
        <f t="shared" si="328"/>
        <v>0</v>
      </c>
      <c r="DP36" s="1014">
        <f t="shared" si="329"/>
        <v>0</v>
      </c>
      <c r="DQ36" s="1020">
        <f t="shared" si="330"/>
        <v>0</v>
      </c>
      <c r="DR36" s="1014">
        <f t="shared" si="331"/>
        <v>0</v>
      </c>
      <c r="DS36" s="1014">
        <f t="shared" si="332"/>
        <v>0</v>
      </c>
      <c r="DT36" s="1025">
        <f t="shared" si="241"/>
        <v>54720</v>
      </c>
    </row>
    <row r="37" spans="1:124" x14ac:dyDescent="0.2">
      <c r="A37" s="908" t="s">
        <v>117</v>
      </c>
      <c r="B37" s="908">
        <v>2018</v>
      </c>
      <c r="C37" s="910">
        <f t="shared" si="228"/>
        <v>0</v>
      </c>
      <c r="D37" s="910">
        <f t="shared" si="229"/>
        <v>0</v>
      </c>
      <c r="E37" s="910">
        <f t="shared" si="230"/>
        <v>400000</v>
      </c>
      <c r="F37" s="910">
        <f t="shared" si="242"/>
        <v>0</v>
      </c>
      <c r="G37" s="910">
        <f t="shared" si="231"/>
        <v>0</v>
      </c>
      <c r="H37" s="910">
        <f t="shared" si="232"/>
        <v>0</v>
      </c>
      <c r="I37" s="910">
        <f t="shared" si="233"/>
        <v>0</v>
      </c>
      <c r="J37" s="910">
        <f t="shared" si="243"/>
        <v>0</v>
      </c>
      <c r="K37" s="910">
        <f t="shared" si="244"/>
        <v>0</v>
      </c>
      <c r="L37" s="910">
        <f t="shared" si="245"/>
        <v>0</v>
      </c>
      <c r="M37" s="910">
        <f t="shared" si="234"/>
        <v>0</v>
      </c>
      <c r="N37" s="910">
        <f t="shared" si="235"/>
        <v>0</v>
      </c>
      <c r="O37" s="910">
        <f t="shared" si="236"/>
        <v>30128.059999999998</v>
      </c>
      <c r="P37" s="910">
        <f t="shared" si="246"/>
        <v>0</v>
      </c>
      <c r="Q37" s="910">
        <f t="shared" si="237"/>
        <v>0</v>
      </c>
      <c r="R37" s="910">
        <f t="shared" si="238"/>
        <v>0</v>
      </c>
      <c r="S37" s="910">
        <f t="shared" si="239"/>
        <v>430128.06</v>
      </c>
      <c r="T37" s="1037">
        <f t="shared" si="247"/>
        <v>104597.06</v>
      </c>
      <c r="U37" s="1034">
        <f t="shared" si="117"/>
        <v>0</v>
      </c>
      <c r="V37" s="1034">
        <f t="shared" si="118"/>
        <v>0</v>
      </c>
      <c r="W37" s="1034">
        <f t="shared" si="119"/>
        <v>0</v>
      </c>
      <c r="X37" s="1034">
        <f t="shared" si="120"/>
        <v>0</v>
      </c>
      <c r="Y37" s="1034">
        <f t="shared" si="121"/>
        <v>0</v>
      </c>
      <c r="Z37" s="1034">
        <f t="shared" si="122"/>
        <v>0</v>
      </c>
      <c r="AA37" s="1034">
        <f t="shared" si="123"/>
        <v>0</v>
      </c>
      <c r="AB37" s="1034">
        <f t="shared" si="124"/>
        <v>0</v>
      </c>
      <c r="AC37" s="1034">
        <f t="shared" si="125"/>
        <v>0</v>
      </c>
      <c r="AD37" s="1034">
        <f t="shared" si="126"/>
        <v>0</v>
      </c>
      <c r="AE37" s="1034">
        <f t="shared" si="127"/>
        <v>178480</v>
      </c>
      <c r="AF37" s="1034">
        <f t="shared" si="128"/>
        <v>325531</v>
      </c>
      <c r="AG37" s="1034">
        <f t="shared" si="129"/>
        <v>325531</v>
      </c>
      <c r="AH37" s="1041">
        <f t="shared" si="130"/>
        <v>0.75682344462716522</v>
      </c>
      <c r="AI37" s="1014">
        <f t="shared" si="248"/>
        <v>0</v>
      </c>
      <c r="AJ37" s="1025">
        <f t="shared" si="131"/>
        <v>0</v>
      </c>
      <c r="AK37" s="1014">
        <f t="shared" si="249"/>
        <v>0</v>
      </c>
      <c r="AL37" s="1025">
        <f t="shared" si="132"/>
        <v>0</v>
      </c>
      <c r="AM37" s="1014">
        <f t="shared" si="250"/>
        <v>0</v>
      </c>
      <c r="AN37" s="1025">
        <f t="shared" si="133"/>
        <v>0</v>
      </c>
      <c r="AO37" s="1014">
        <f t="shared" si="251"/>
        <v>0</v>
      </c>
      <c r="AP37" s="1014">
        <f t="shared" si="252"/>
        <v>0</v>
      </c>
      <c r="AQ37" s="1014">
        <f t="shared" si="253"/>
        <v>0</v>
      </c>
      <c r="AR37" s="1015">
        <f t="shared" si="254"/>
        <v>0</v>
      </c>
      <c r="AS37" s="1025">
        <f t="shared" si="255"/>
        <v>0</v>
      </c>
      <c r="AT37" s="1014">
        <f t="shared" si="256"/>
        <v>0</v>
      </c>
      <c r="AU37" s="1014">
        <f t="shared" si="257"/>
        <v>0</v>
      </c>
      <c r="AV37" s="1014">
        <f t="shared" si="258"/>
        <v>0</v>
      </c>
      <c r="AW37" s="1014">
        <f t="shared" si="259"/>
        <v>0</v>
      </c>
      <c r="AX37" s="1014">
        <f t="shared" si="260"/>
        <v>0</v>
      </c>
      <c r="AY37" s="1014">
        <f t="shared" si="261"/>
        <v>0</v>
      </c>
      <c r="AZ37" s="1025">
        <f t="shared" si="262"/>
        <v>0</v>
      </c>
      <c r="BA37" s="1014">
        <f t="shared" si="263"/>
        <v>0</v>
      </c>
      <c r="BB37" s="1014">
        <f t="shared" si="264"/>
        <v>0</v>
      </c>
      <c r="BC37" s="1014">
        <f t="shared" si="265"/>
        <v>0</v>
      </c>
      <c r="BD37" s="1014">
        <f t="shared" si="266"/>
        <v>0</v>
      </c>
      <c r="BE37" s="1014">
        <f t="shared" si="267"/>
        <v>0</v>
      </c>
      <c r="BF37" s="1014">
        <f t="shared" si="268"/>
        <v>0</v>
      </c>
      <c r="BG37" s="1025">
        <f t="shared" si="269"/>
        <v>0</v>
      </c>
      <c r="BH37" s="1014">
        <f t="shared" si="270"/>
        <v>0</v>
      </c>
      <c r="BI37" s="1014">
        <f t="shared" si="271"/>
        <v>0</v>
      </c>
      <c r="BJ37" s="1014">
        <f t="shared" si="272"/>
        <v>0</v>
      </c>
      <c r="BK37" s="1014">
        <f t="shared" si="273"/>
        <v>0</v>
      </c>
      <c r="BL37" s="1014">
        <f t="shared" si="274"/>
        <v>0</v>
      </c>
      <c r="BM37" s="1014">
        <f t="shared" si="275"/>
        <v>0</v>
      </c>
      <c r="BN37" s="1025">
        <f t="shared" si="276"/>
        <v>0</v>
      </c>
      <c r="BO37" s="1014">
        <f t="shared" si="277"/>
        <v>0</v>
      </c>
      <c r="BP37" s="1014">
        <f t="shared" si="278"/>
        <v>0</v>
      </c>
      <c r="BQ37" s="1014">
        <f t="shared" si="279"/>
        <v>0</v>
      </c>
      <c r="BR37" s="1014">
        <f t="shared" si="280"/>
        <v>0</v>
      </c>
      <c r="BS37" s="1014">
        <f t="shared" si="281"/>
        <v>0</v>
      </c>
      <c r="BT37" s="1025">
        <f t="shared" si="282"/>
        <v>0</v>
      </c>
      <c r="BU37" s="1014">
        <f t="shared" si="283"/>
        <v>0</v>
      </c>
      <c r="BV37" s="1014">
        <f t="shared" si="284"/>
        <v>0</v>
      </c>
      <c r="BW37" s="1014">
        <f t="shared" si="285"/>
        <v>0</v>
      </c>
      <c r="BX37" s="1014">
        <f t="shared" si="286"/>
        <v>0</v>
      </c>
      <c r="BY37" s="1014">
        <f t="shared" si="287"/>
        <v>0</v>
      </c>
      <c r="BZ37" s="1014">
        <f t="shared" si="288"/>
        <v>0</v>
      </c>
      <c r="CA37" s="1014">
        <f t="shared" si="289"/>
        <v>0</v>
      </c>
      <c r="CB37" s="1014">
        <f t="shared" si="290"/>
        <v>0</v>
      </c>
      <c r="CC37" s="1014">
        <f t="shared" si="291"/>
        <v>0</v>
      </c>
      <c r="CD37" s="1015">
        <f t="shared" si="292"/>
        <v>0</v>
      </c>
      <c r="CE37" s="1014">
        <f t="shared" si="293"/>
        <v>0</v>
      </c>
      <c r="CF37" s="1025">
        <f t="shared" si="294"/>
        <v>0</v>
      </c>
      <c r="CG37" s="1014">
        <f t="shared" si="295"/>
        <v>0</v>
      </c>
      <c r="CH37" s="1014">
        <f t="shared" si="296"/>
        <v>0</v>
      </c>
      <c r="CI37" s="1014">
        <f t="shared" si="297"/>
        <v>0</v>
      </c>
      <c r="CJ37" s="1014">
        <f t="shared" si="298"/>
        <v>0</v>
      </c>
      <c r="CK37" s="1014">
        <f t="shared" si="299"/>
        <v>0</v>
      </c>
      <c r="CL37" s="1014">
        <f t="shared" si="300"/>
        <v>0</v>
      </c>
      <c r="CM37" s="1014">
        <f t="shared" si="301"/>
        <v>0</v>
      </c>
      <c r="CN37" s="1015">
        <f t="shared" si="302"/>
        <v>0</v>
      </c>
      <c r="CO37" s="1014">
        <f t="shared" si="303"/>
        <v>0</v>
      </c>
      <c r="CP37" s="1025">
        <f t="shared" si="304"/>
        <v>0</v>
      </c>
      <c r="CQ37" s="1014">
        <f t="shared" si="305"/>
        <v>0</v>
      </c>
      <c r="CR37" s="1014">
        <f t="shared" si="306"/>
        <v>178480</v>
      </c>
      <c r="CS37" s="1014">
        <f t="shared" si="307"/>
        <v>0</v>
      </c>
      <c r="CT37" s="1014">
        <f t="shared" si="308"/>
        <v>0</v>
      </c>
      <c r="CU37" s="1015">
        <f t="shared" si="309"/>
        <v>0</v>
      </c>
      <c r="CV37" s="1030">
        <f t="shared" si="310"/>
        <v>178480</v>
      </c>
      <c r="CW37" s="1014">
        <f t="shared" si="311"/>
        <v>0</v>
      </c>
      <c r="CX37" s="1014">
        <f t="shared" si="312"/>
        <v>0</v>
      </c>
      <c r="CY37" s="1014">
        <f t="shared" si="313"/>
        <v>128680</v>
      </c>
      <c r="CZ37" s="1014">
        <f t="shared" si="314"/>
        <v>0</v>
      </c>
      <c r="DA37" s="1014">
        <f t="shared" si="315"/>
        <v>0</v>
      </c>
      <c r="DB37" s="1014">
        <f t="shared" si="316"/>
        <v>0</v>
      </c>
      <c r="DC37" s="1014">
        <f t="shared" si="317"/>
        <v>0</v>
      </c>
      <c r="DD37" s="1014">
        <f t="shared" si="318"/>
        <v>0</v>
      </c>
      <c r="DE37" s="1015">
        <f t="shared" si="319"/>
        <v>18371</v>
      </c>
      <c r="DF37" s="1014">
        <f t="shared" si="320"/>
        <v>0</v>
      </c>
      <c r="DG37" s="1014">
        <f t="shared" si="321"/>
        <v>0</v>
      </c>
      <c r="DH37" s="1012">
        <f t="shared" si="240"/>
        <v>147051</v>
      </c>
      <c r="DI37" s="1014">
        <f t="shared" si="322"/>
        <v>0</v>
      </c>
      <c r="DJ37" s="1014">
        <f t="shared" si="323"/>
        <v>0</v>
      </c>
      <c r="DK37" s="1014">
        <f t="shared" si="324"/>
        <v>0</v>
      </c>
      <c r="DL37" s="1014">
        <f t="shared" si="325"/>
        <v>0</v>
      </c>
      <c r="DM37" s="1014">
        <f t="shared" si="326"/>
        <v>0</v>
      </c>
      <c r="DN37" s="1014">
        <f t="shared" si="327"/>
        <v>0</v>
      </c>
      <c r="DO37" s="1014">
        <f t="shared" si="328"/>
        <v>0</v>
      </c>
      <c r="DP37" s="1014">
        <f t="shared" si="329"/>
        <v>0</v>
      </c>
      <c r="DQ37" s="1020">
        <f t="shared" si="330"/>
        <v>0</v>
      </c>
      <c r="DR37" s="1014">
        <f t="shared" si="331"/>
        <v>0</v>
      </c>
      <c r="DS37" s="1014">
        <f t="shared" si="332"/>
        <v>0</v>
      </c>
      <c r="DT37" s="1025">
        <f t="shared" si="241"/>
        <v>0</v>
      </c>
    </row>
    <row r="38" spans="1:124" x14ac:dyDescent="0.2">
      <c r="A38" s="908" t="s">
        <v>54</v>
      </c>
      <c r="B38" s="908">
        <v>2017</v>
      </c>
      <c r="C38" s="910">
        <f t="shared" si="228"/>
        <v>0</v>
      </c>
      <c r="D38" s="910">
        <f t="shared" si="229"/>
        <v>0</v>
      </c>
      <c r="E38" s="910">
        <f t="shared" si="230"/>
        <v>432000</v>
      </c>
      <c r="F38" s="910">
        <f t="shared" si="242"/>
        <v>0</v>
      </c>
      <c r="G38" s="910">
        <f t="shared" si="231"/>
        <v>0</v>
      </c>
      <c r="H38" s="910">
        <f t="shared" si="232"/>
        <v>0</v>
      </c>
      <c r="I38" s="910">
        <f t="shared" si="233"/>
        <v>0</v>
      </c>
      <c r="J38" s="910">
        <f t="shared" si="243"/>
        <v>0</v>
      </c>
      <c r="K38" s="910">
        <f t="shared" si="244"/>
        <v>0</v>
      </c>
      <c r="L38" s="910">
        <f t="shared" si="245"/>
        <v>0</v>
      </c>
      <c r="M38" s="910">
        <f t="shared" si="234"/>
        <v>0</v>
      </c>
      <c r="N38" s="910">
        <f t="shared" si="235"/>
        <v>0</v>
      </c>
      <c r="O38" s="910">
        <f t="shared" si="236"/>
        <v>19296.941999999999</v>
      </c>
      <c r="P38" s="910">
        <f t="shared" si="246"/>
        <v>0</v>
      </c>
      <c r="Q38" s="910">
        <f t="shared" si="237"/>
        <v>0</v>
      </c>
      <c r="R38" s="910">
        <f t="shared" si="238"/>
        <v>0</v>
      </c>
      <c r="S38" s="910">
        <f t="shared" si="239"/>
        <v>451296.94199999998</v>
      </c>
      <c r="T38" s="1037">
        <f t="shared" si="247"/>
        <v>1.9999999203719199E-3</v>
      </c>
      <c r="U38" s="1034">
        <f t="shared" si="117"/>
        <v>0</v>
      </c>
      <c r="V38" s="1034">
        <f t="shared" si="118"/>
        <v>0</v>
      </c>
      <c r="W38" s="1034">
        <f t="shared" si="119"/>
        <v>0</v>
      </c>
      <c r="X38" s="1034">
        <f t="shared" si="120"/>
        <v>0</v>
      </c>
      <c r="Y38" s="1034">
        <f t="shared" si="121"/>
        <v>0</v>
      </c>
      <c r="Z38" s="1034">
        <f t="shared" si="122"/>
        <v>0</v>
      </c>
      <c r="AA38" s="1034">
        <f t="shared" si="123"/>
        <v>0</v>
      </c>
      <c r="AB38" s="1034">
        <f t="shared" si="124"/>
        <v>129600</v>
      </c>
      <c r="AC38" s="1034">
        <f t="shared" si="125"/>
        <v>139881.60000000001</v>
      </c>
      <c r="AD38" s="1034">
        <f t="shared" si="126"/>
        <v>327974.40000000002</v>
      </c>
      <c r="AE38" s="1034">
        <f t="shared" si="127"/>
        <v>327974.40000000002</v>
      </c>
      <c r="AF38" s="1034">
        <f t="shared" si="128"/>
        <v>451296.94000000006</v>
      </c>
      <c r="AG38" s="1034">
        <f t="shared" si="129"/>
        <v>451296.94000000006</v>
      </c>
      <c r="AH38" s="1041">
        <f t="shared" si="130"/>
        <v>0.99999999556832819</v>
      </c>
      <c r="AI38" s="1014">
        <f t="shared" si="248"/>
        <v>0</v>
      </c>
      <c r="AJ38" s="1025">
        <f t="shared" si="131"/>
        <v>0</v>
      </c>
      <c r="AK38" s="1014">
        <f t="shared" si="249"/>
        <v>0</v>
      </c>
      <c r="AL38" s="1025">
        <f t="shared" si="132"/>
        <v>0</v>
      </c>
      <c r="AM38" s="1014">
        <f t="shared" si="250"/>
        <v>0</v>
      </c>
      <c r="AN38" s="1025">
        <f t="shared" si="133"/>
        <v>0</v>
      </c>
      <c r="AO38" s="1014">
        <f t="shared" si="251"/>
        <v>0</v>
      </c>
      <c r="AP38" s="1014">
        <f t="shared" si="252"/>
        <v>0</v>
      </c>
      <c r="AQ38" s="1014">
        <f t="shared" si="253"/>
        <v>0</v>
      </c>
      <c r="AR38" s="1015">
        <f t="shared" si="254"/>
        <v>0</v>
      </c>
      <c r="AS38" s="1025">
        <f t="shared" si="255"/>
        <v>0</v>
      </c>
      <c r="AT38" s="1014">
        <f t="shared" si="256"/>
        <v>0</v>
      </c>
      <c r="AU38" s="1014">
        <f t="shared" si="257"/>
        <v>0</v>
      </c>
      <c r="AV38" s="1014">
        <f t="shared" si="258"/>
        <v>0</v>
      </c>
      <c r="AW38" s="1014">
        <f t="shared" si="259"/>
        <v>0</v>
      </c>
      <c r="AX38" s="1014">
        <f t="shared" si="260"/>
        <v>0</v>
      </c>
      <c r="AY38" s="1014">
        <f t="shared" si="261"/>
        <v>0</v>
      </c>
      <c r="AZ38" s="1025">
        <f t="shared" si="262"/>
        <v>0</v>
      </c>
      <c r="BA38" s="1014">
        <f t="shared" si="263"/>
        <v>0</v>
      </c>
      <c r="BB38" s="1014">
        <f t="shared" si="264"/>
        <v>0</v>
      </c>
      <c r="BC38" s="1014">
        <f t="shared" si="265"/>
        <v>0</v>
      </c>
      <c r="BD38" s="1014">
        <f t="shared" si="266"/>
        <v>0</v>
      </c>
      <c r="BE38" s="1014">
        <f t="shared" si="267"/>
        <v>0</v>
      </c>
      <c r="BF38" s="1014">
        <f t="shared" si="268"/>
        <v>0</v>
      </c>
      <c r="BG38" s="1025">
        <f t="shared" si="269"/>
        <v>0</v>
      </c>
      <c r="BH38" s="1014">
        <f t="shared" si="270"/>
        <v>0</v>
      </c>
      <c r="BI38" s="1014">
        <f t="shared" si="271"/>
        <v>0</v>
      </c>
      <c r="BJ38" s="1014">
        <f t="shared" si="272"/>
        <v>0</v>
      </c>
      <c r="BK38" s="1014">
        <f t="shared" si="273"/>
        <v>0</v>
      </c>
      <c r="BL38" s="1014">
        <f t="shared" si="274"/>
        <v>0</v>
      </c>
      <c r="BM38" s="1014">
        <f t="shared" si="275"/>
        <v>0</v>
      </c>
      <c r="BN38" s="1025">
        <f t="shared" si="276"/>
        <v>0</v>
      </c>
      <c r="BO38" s="1014">
        <f t="shared" si="277"/>
        <v>0</v>
      </c>
      <c r="BP38" s="1014">
        <f t="shared" si="278"/>
        <v>129600</v>
      </c>
      <c r="BQ38" s="1014">
        <f t="shared" si="279"/>
        <v>0</v>
      </c>
      <c r="BR38" s="1014">
        <f t="shared" si="280"/>
        <v>0</v>
      </c>
      <c r="BS38" s="1014">
        <f t="shared" si="281"/>
        <v>0</v>
      </c>
      <c r="BT38" s="1025">
        <f t="shared" si="282"/>
        <v>129600</v>
      </c>
      <c r="BU38" s="1014">
        <f t="shared" si="283"/>
        <v>0</v>
      </c>
      <c r="BV38" s="1014">
        <f t="shared" si="284"/>
        <v>10281.6</v>
      </c>
      <c r="BW38" s="1014">
        <f t="shared" si="285"/>
        <v>0</v>
      </c>
      <c r="BX38" s="1014">
        <f t="shared" si="286"/>
        <v>0</v>
      </c>
      <c r="BY38" s="1014">
        <f t="shared" si="287"/>
        <v>0</v>
      </c>
      <c r="BZ38" s="1014">
        <f t="shared" si="288"/>
        <v>0</v>
      </c>
      <c r="CA38" s="1014">
        <f t="shared" si="289"/>
        <v>0</v>
      </c>
      <c r="CB38" s="1014">
        <f t="shared" si="290"/>
        <v>0</v>
      </c>
      <c r="CC38" s="1014">
        <f t="shared" si="291"/>
        <v>0</v>
      </c>
      <c r="CD38" s="1015">
        <f t="shared" si="292"/>
        <v>0</v>
      </c>
      <c r="CE38" s="1014">
        <f t="shared" si="293"/>
        <v>0</v>
      </c>
      <c r="CF38" s="1025">
        <f t="shared" si="294"/>
        <v>10281.6</v>
      </c>
      <c r="CG38" s="1014">
        <f t="shared" si="295"/>
        <v>0</v>
      </c>
      <c r="CH38" s="1014">
        <f t="shared" si="296"/>
        <v>188092.79999999999</v>
      </c>
      <c r="CI38" s="1014">
        <f t="shared" si="297"/>
        <v>0</v>
      </c>
      <c r="CJ38" s="1014">
        <f t="shared" si="298"/>
        <v>0</v>
      </c>
      <c r="CK38" s="1014">
        <f t="shared" si="299"/>
        <v>0</v>
      </c>
      <c r="CL38" s="1014">
        <f t="shared" si="300"/>
        <v>0</v>
      </c>
      <c r="CM38" s="1014">
        <f t="shared" si="301"/>
        <v>0</v>
      </c>
      <c r="CN38" s="1015">
        <f t="shared" si="302"/>
        <v>0</v>
      </c>
      <c r="CO38" s="1014">
        <f t="shared" si="303"/>
        <v>0</v>
      </c>
      <c r="CP38" s="1025">
        <f t="shared" si="304"/>
        <v>188092.79999999999</v>
      </c>
      <c r="CQ38" s="1014">
        <f t="shared" si="305"/>
        <v>0</v>
      </c>
      <c r="CR38" s="1014">
        <f t="shared" si="306"/>
        <v>0</v>
      </c>
      <c r="CS38" s="1014">
        <f t="shared" si="307"/>
        <v>0</v>
      </c>
      <c r="CT38" s="1014">
        <f t="shared" si="308"/>
        <v>0</v>
      </c>
      <c r="CU38" s="1015">
        <f t="shared" si="309"/>
        <v>0</v>
      </c>
      <c r="CV38" s="1030">
        <f t="shared" si="310"/>
        <v>0</v>
      </c>
      <c r="CW38" s="1014">
        <f t="shared" si="311"/>
        <v>0</v>
      </c>
      <c r="CX38" s="1014">
        <f t="shared" si="312"/>
        <v>0</v>
      </c>
      <c r="CY38" s="1014">
        <f t="shared" si="313"/>
        <v>104025.60000000001</v>
      </c>
      <c r="CZ38" s="1014">
        <f t="shared" si="314"/>
        <v>0</v>
      </c>
      <c r="DA38" s="1014">
        <f t="shared" si="315"/>
        <v>0</v>
      </c>
      <c r="DB38" s="1014">
        <f t="shared" si="316"/>
        <v>0</v>
      </c>
      <c r="DC38" s="1014">
        <f t="shared" si="317"/>
        <v>0</v>
      </c>
      <c r="DD38" s="1014">
        <f t="shared" si="318"/>
        <v>0</v>
      </c>
      <c r="DE38" s="1015">
        <f t="shared" si="319"/>
        <v>19296.939999999999</v>
      </c>
      <c r="DF38" s="1014">
        <f t="shared" si="320"/>
        <v>0</v>
      </c>
      <c r="DG38" s="1014">
        <f t="shared" si="321"/>
        <v>0</v>
      </c>
      <c r="DH38" s="1012">
        <f t="shared" si="240"/>
        <v>123322.54000000001</v>
      </c>
      <c r="DI38" s="1014">
        <f t="shared" si="322"/>
        <v>0</v>
      </c>
      <c r="DJ38" s="1014">
        <f t="shared" si="323"/>
        <v>0</v>
      </c>
      <c r="DK38" s="1014">
        <f t="shared" si="324"/>
        <v>0</v>
      </c>
      <c r="DL38" s="1014">
        <f t="shared" si="325"/>
        <v>0</v>
      </c>
      <c r="DM38" s="1014">
        <f t="shared" si="326"/>
        <v>0</v>
      </c>
      <c r="DN38" s="1014">
        <f t="shared" si="327"/>
        <v>0</v>
      </c>
      <c r="DO38" s="1014">
        <f t="shared" si="328"/>
        <v>0</v>
      </c>
      <c r="DP38" s="1014">
        <f t="shared" si="329"/>
        <v>0</v>
      </c>
      <c r="DQ38" s="1020">
        <f t="shared" si="330"/>
        <v>0</v>
      </c>
      <c r="DR38" s="1014">
        <f t="shared" si="331"/>
        <v>0</v>
      </c>
      <c r="DS38" s="1014">
        <f t="shared" si="332"/>
        <v>0</v>
      </c>
      <c r="DT38" s="1025">
        <f t="shared" si="241"/>
        <v>0</v>
      </c>
    </row>
    <row r="39" spans="1:124" x14ac:dyDescent="0.2">
      <c r="A39" s="908" t="s">
        <v>49</v>
      </c>
      <c r="B39" s="908">
        <v>2017</v>
      </c>
      <c r="C39" s="910">
        <f t="shared" si="228"/>
        <v>680000</v>
      </c>
      <c r="D39" s="910">
        <f t="shared" si="229"/>
        <v>0</v>
      </c>
      <c r="E39" s="910">
        <f t="shared" si="230"/>
        <v>680000</v>
      </c>
      <c r="F39" s="910">
        <f t="shared" si="242"/>
        <v>0</v>
      </c>
      <c r="G39" s="910">
        <f t="shared" si="231"/>
        <v>0</v>
      </c>
      <c r="H39" s="910">
        <f t="shared" si="232"/>
        <v>0</v>
      </c>
      <c r="I39" s="910">
        <f t="shared" si="233"/>
        <v>0</v>
      </c>
      <c r="J39" s="910">
        <f t="shared" si="243"/>
        <v>0</v>
      </c>
      <c r="K39" s="910">
        <f t="shared" si="244"/>
        <v>0</v>
      </c>
      <c r="L39" s="910">
        <f t="shared" si="245"/>
        <v>0</v>
      </c>
      <c r="M39" s="910">
        <f t="shared" si="234"/>
        <v>0</v>
      </c>
      <c r="N39" s="910">
        <f t="shared" si="235"/>
        <v>0</v>
      </c>
      <c r="O39" s="910">
        <f t="shared" si="236"/>
        <v>120804.55</v>
      </c>
      <c r="P39" s="910">
        <f t="shared" si="246"/>
        <v>0</v>
      </c>
      <c r="Q39" s="910">
        <f t="shared" si="237"/>
        <v>0</v>
      </c>
      <c r="R39" s="910">
        <f t="shared" si="238"/>
        <v>55743.18</v>
      </c>
      <c r="S39" s="910">
        <f t="shared" si="239"/>
        <v>1536547.73</v>
      </c>
      <c r="T39" s="1037">
        <f t="shared" si="247"/>
        <v>136265.43999999994</v>
      </c>
      <c r="U39" s="1034">
        <f t="shared" si="117"/>
        <v>0</v>
      </c>
      <c r="V39" s="1034">
        <f t="shared" si="118"/>
        <v>0</v>
      </c>
      <c r="W39" s="1034">
        <f t="shared" si="119"/>
        <v>0</v>
      </c>
      <c r="X39" s="1034">
        <f t="shared" si="120"/>
        <v>0</v>
      </c>
      <c r="Y39" s="1034">
        <f t="shared" si="121"/>
        <v>0</v>
      </c>
      <c r="Z39" s="1034">
        <f t="shared" si="122"/>
        <v>0</v>
      </c>
      <c r="AA39" s="1034">
        <f t="shared" si="123"/>
        <v>0</v>
      </c>
      <c r="AB39" s="1034">
        <f t="shared" si="124"/>
        <v>527481.17999999993</v>
      </c>
      <c r="AC39" s="1034">
        <f t="shared" si="125"/>
        <v>821106.55999999994</v>
      </c>
      <c r="AD39" s="1034">
        <f t="shared" si="126"/>
        <v>1018366.1499999999</v>
      </c>
      <c r="AE39" s="1034">
        <f t="shared" si="127"/>
        <v>1115266.1499999999</v>
      </c>
      <c r="AF39" s="1034">
        <f t="shared" si="128"/>
        <v>1400282.29</v>
      </c>
      <c r="AG39" s="1034">
        <f t="shared" si="129"/>
        <v>1400282.29</v>
      </c>
      <c r="AH39" s="1041">
        <f t="shared" si="130"/>
        <v>0.91131714470073766</v>
      </c>
      <c r="AI39" s="1014">
        <f t="shared" si="248"/>
        <v>0</v>
      </c>
      <c r="AJ39" s="1025">
        <f t="shared" si="131"/>
        <v>0</v>
      </c>
      <c r="AK39" s="1014">
        <f t="shared" si="249"/>
        <v>0</v>
      </c>
      <c r="AL39" s="1025">
        <f t="shared" si="132"/>
        <v>0</v>
      </c>
      <c r="AM39" s="1014">
        <f t="shared" si="250"/>
        <v>0</v>
      </c>
      <c r="AN39" s="1025">
        <f t="shared" si="133"/>
        <v>0</v>
      </c>
      <c r="AO39" s="1014">
        <f t="shared" si="251"/>
        <v>0</v>
      </c>
      <c r="AP39" s="1014">
        <f t="shared" si="252"/>
        <v>0</v>
      </c>
      <c r="AQ39" s="1014">
        <f t="shared" si="253"/>
        <v>0</v>
      </c>
      <c r="AR39" s="1015">
        <f t="shared" si="254"/>
        <v>0</v>
      </c>
      <c r="AS39" s="1025">
        <f t="shared" si="255"/>
        <v>0</v>
      </c>
      <c r="AT39" s="1014">
        <f t="shared" si="256"/>
        <v>0</v>
      </c>
      <c r="AU39" s="1014">
        <f t="shared" si="257"/>
        <v>0</v>
      </c>
      <c r="AV39" s="1014">
        <f t="shared" si="258"/>
        <v>0</v>
      </c>
      <c r="AW39" s="1014">
        <f t="shared" si="259"/>
        <v>0</v>
      </c>
      <c r="AX39" s="1014">
        <f t="shared" si="260"/>
        <v>0</v>
      </c>
      <c r="AY39" s="1014">
        <f t="shared" si="261"/>
        <v>0</v>
      </c>
      <c r="AZ39" s="1025">
        <f t="shared" si="262"/>
        <v>0</v>
      </c>
      <c r="BA39" s="1014">
        <f t="shared" si="263"/>
        <v>0</v>
      </c>
      <c r="BB39" s="1014">
        <f t="shared" si="264"/>
        <v>0</v>
      </c>
      <c r="BC39" s="1014">
        <f t="shared" si="265"/>
        <v>0</v>
      </c>
      <c r="BD39" s="1014">
        <f t="shared" si="266"/>
        <v>0</v>
      </c>
      <c r="BE39" s="1014">
        <f t="shared" si="267"/>
        <v>0</v>
      </c>
      <c r="BF39" s="1014">
        <f t="shared" si="268"/>
        <v>0</v>
      </c>
      <c r="BG39" s="1025">
        <f t="shared" si="269"/>
        <v>0</v>
      </c>
      <c r="BH39" s="1014">
        <f t="shared" si="270"/>
        <v>0</v>
      </c>
      <c r="BI39" s="1014">
        <f t="shared" si="271"/>
        <v>0</v>
      </c>
      <c r="BJ39" s="1014">
        <f t="shared" si="272"/>
        <v>0</v>
      </c>
      <c r="BK39" s="1014">
        <f t="shared" si="273"/>
        <v>0</v>
      </c>
      <c r="BL39" s="1014">
        <f t="shared" si="274"/>
        <v>0</v>
      </c>
      <c r="BM39" s="1014">
        <f t="shared" si="275"/>
        <v>0</v>
      </c>
      <c r="BN39" s="1025">
        <f t="shared" si="276"/>
        <v>0</v>
      </c>
      <c r="BO39" s="1014">
        <f t="shared" si="277"/>
        <v>323481.18</v>
      </c>
      <c r="BP39" s="1014">
        <f t="shared" si="278"/>
        <v>204000</v>
      </c>
      <c r="BQ39" s="1014">
        <f t="shared" si="279"/>
        <v>0</v>
      </c>
      <c r="BR39" s="1014">
        <f t="shared" si="280"/>
        <v>0</v>
      </c>
      <c r="BS39" s="1014">
        <f t="shared" si="281"/>
        <v>0</v>
      </c>
      <c r="BT39" s="1025">
        <f t="shared" si="282"/>
        <v>527481.17999999993</v>
      </c>
      <c r="BU39" s="1014">
        <f t="shared" si="283"/>
        <v>220253.38</v>
      </c>
      <c r="BV39" s="1014">
        <f t="shared" si="284"/>
        <v>73372</v>
      </c>
      <c r="BW39" s="1014">
        <f t="shared" si="285"/>
        <v>0</v>
      </c>
      <c r="BX39" s="1014">
        <f t="shared" si="286"/>
        <v>0</v>
      </c>
      <c r="BY39" s="1014">
        <f t="shared" si="287"/>
        <v>0</v>
      </c>
      <c r="BZ39" s="1014">
        <f t="shared" si="288"/>
        <v>0</v>
      </c>
      <c r="CA39" s="1014">
        <f t="shared" si="289"/>
        <v>0</v>
      </c>
      <c r="CB39" s="1014">
        <f t="shared" si="290"/>
        <v>0</v>
      </c>
      <c r="CC39" s="1014">
        <f t="shared" si="291"/>
        <v>0</v>
      </c>
      <c r="CD39" s="1015">
        <f t="shared" si="292"/>
        <v>0</v>
      </c>
      <c r="CE39" s="1014">
        <f t="shared" si="293"/>
        <v>0</v>
      </c>
      <c r="CF39" s="1025">
        <f t="shared" si="294"/>
        <v>293625.38</v>
      </c>
      <c r="CG39" s="1014">
        <f t="shared" si="295"/>
        <v>0</v>
      </c>
      <c r="CH39" s="1014">
        <f t="shared" si="296"/>
        <v>169388</v>
      </c>
      <c r="CI39" s="1014">
        <f t="shared" si="297"/>
        <v>0</v>
      </c>
      <c r="CJ39" s="1014">
        <f t="shared" si="298"/>
        <v>0</v>
      </c>
      <c r="CK39" s="1014">
        <f t="shared" si="299"/>
        <v>0</v>
      </c>
      <c r="CL39" s="1014">
        <f t="shared" si="300"/>
        <v>0</v>
      </c>
      <c r="CM39" s="1014">
        <f t="shared" si="301"/>
        <v>0</v>
      </c>
      <c r="CN39" s="1015">
        <f t="shared" si="302"/>
        <v>0</v>
      </c>
      <c r="CO39" s="1014">
        <f t="shared" si="303"/>
        <v>27871.59</v>
      </c>
      <c r="CP39" s="1025">
        <f t="shared" si="304"/>
        <v>197259.59</v>
      </c>
      <c r="CQ39" s="1014">
        <f t="shared" si="305"/>
        <v>0</v>
      </c>
      <c r="CR39" s="1014">
        <f t="shared" si="306"/>
        <v>96900</v>
      </c>
      <c r="CS39" s="1014">
        <f t="shared" si="307"/>
        <v>0</v>
      </c>
      <c r="CT39" s="1014">
        <f t="shared" si="308"/>
        <v>0</v>
      </c>
      <c r="CU39" s="1015">
        <f t="shared" si="309"/>
        <v>0</v>
      </c>
      <c r="CV39" s="1030">
        <f t="shared" si="310"/>
        <v>96900</v>
      </c>
      <c r="CW39" s="1014">
        <f t="shared" si="311"/>
        <v>0</v>
      </c>
      <c r="CX39" s="1014">
        <f t="shared" si="312"/>
        <v>0</v>
      </c>
      <c r="CY39" s="1014">
        <f t="shared" si="313"/>
        <v>136340</v>
      </c>
      <c r="CZ39" s="1014">
        <f t="shared" si="314"/>
        <v>0</v>
      </c>
      <c r="DA39" s="1014">
        <f t="shared" si="315"/>
        <v>0</v>
      </c>
      <c r="DB39" s="1014">
        <f t="shared" si="316"/>
        <v>0</v>
      </c>
      <c r="DC39" s="1014">
        <f t="shared" si="317"/>
        <v>0</v>
      </c>
      <c r="DD39" s="1014">
        <f t="shared" si="318"/>
        <v>0</v>
      </c>
      <c r="DE39" s="1015">
        <f t="shared" si="319"/>
        <v>120804.55</v>
      </c>
      <c r="DF39" s="1014">
        <f t="shared" si="320"/>
        <v>0</v>
      </c>
      <c r="DG39" s="1014">
        <f t="shared" si="321"/>
        <v>27871.59</v>
      </c>
      <c r="DH39" s="1012">
        <f t="shared" si="240"/>
        <v>285016.14</v>
      </c>
      <c r="DI39" s="1014">
        <f t="shared" si="322"/>
        <v>0</v>
      </c>
      <c r="DJ39" s="1014">
        <f t="shared" si="323"/>
        <v>0</v>
      </c>
      <c r="DK39" s="1014">
        <f t="shared" si="324"/>
        <v>0</v>
      </c>
      <c r="DL39" s="1014">
        <f t="shared" si="325"/>
        <v>0</v>
      </c>
      <c r="DM39" s="1014">
        <f t="shared" si="326"/>
        <v>0</v>
      </c>
      <c r="DN39" s="1014">
        <f t="shared" si="327"/>
        <v>0</v>
      </c>
      <c r="DO39" s="1014">
        <f t="shared" si="328"/>
        <v>0</v>
      </c>
      <c r="DP39" s="1014">
        <f t="shared" si="329"/>
        <v>0</v>
      </c>
      <c r="DQ39" s="1020">
        <f t="shared" si="330"/>
        <v>0</v>
      </c>
      <c r="DR39" s="1014">
        <f t="shared" si="331"/>
        <v>0</v>
      </c>
      <c r="DS39" s="1014">
        <f t="shared" si="332"/>
        <v>0</v>
      </c>
      <c r="DT39" s="1025">
        <f t="shared" si="241"/>
        <v>0</v>
      </c>
    </row>
    <row r="40" spans="1:124" x14ac:dyDescent="0.2">
      <c r="A40" s="908" t="s">
        <v>53</v>
      </c>
      <c r="B40" s="908">
        <v>2017</v>
      </c>
      <c r="C40" s="910">
        <f t="shared" si="228"/>
        <v>0</v>
      </c>
      <c r="D40" s="910">
        <f t="shared" si="229"/>
        <v>0</v>
      </c>
      <c r="E40" s="910">
        <f t="shared" si="230"/>
        <v>1</v>
      </c>
      <c r="F40" s="910">
        <f t="shared" si="242"/>
        <v>0</v>
      </c>
      <c r="G40" s="910">
        <f t="shared" si="231"/>
        <v>0</v>
      </c>
      <c r="H40" s="910">
        <f t="shared" si="232"/>
        <v>0</v>
      </c>
      <c r="I40" s="910">
        <f t="shared" si="233"/>
        <v>0</v>
      </c>
      <c r="J40" s="910">
        <f t="shared" si="243"/>
        <v>0</v>
      </c>
      <c r="K40" s="910">
        <f t="shared" si="244"/>
        <v>0</v>
      </c>
      <c r="L40" s="910">
        <f t="shared" si="245"/>
        <v>0</v>
      </c>
      <c r="M40" s="910">
        <f t="shared" si="234"/>
        <v>0</v>
      </c>
      <c r="N40" s="910">
        <f t="shared" si="235"/>
        <v>0</v>
      </c>
      <c r="O40" s="910">
        <f t="shared" si="236"/>
        <v>57669.912850000001</v>
      </c>
      <c r="P40" s="910">
        <f t="shared" si="246"/>
        <v>0</v>
      </c>
      <c r="Q40" s="910">
        <f t="shared" si="237"/>
        <v>0</v>
      </c>
      <c r="R40" s="910">
        <f t="shared" si="238"/>
        <v>0</v>
      </c>
      <c r="S40" s="910">
        <f t="shared" si="239"/>
        <v>57670.912850000001</v>
      </c>
      <c r="T40" s="1037">
        <f t="shared" si="247"/>
        <v>17351.002849999997</v>
      </c>
      <c r="U40" s="1034">
        <f t="shared" si="117"/>
        <v>0</v>
      </c>
      <c r="V40" s="1034">
        <f t="shared" si="118"/>
        <v>0</v>
      </c>
      <c r="W40" s="1034">
        <f t="shared" si="119"/>
        <v>0</v>
      </c>
      <c r="X40" s="1034">
        <f t="shared" si="120"/>
        <v>0</v>
      </c>
      <c r="Y40" s="1034">
        <f t="shared" si="121"/>
        <v>0</v>
      </c>
      <c r="Z40" s="1034">
        <f t="shared" si="122"/>
        <v>0</v>
      </c>
      <c r="AA40" s="1034">
        <f t="shared" si="123"/>
        <v>0</v>
      </c>
      <c r="AB40" s="1034">
        <f t="shared" si="124"/>
        <v>0</v>
      </c>
      <c r="AC40" s="1034">
        <f t="shared" si="125"/>
        <v>0</v>
      </c>
      <c r="AD40" s="1034">
        <f t="shared" si="126"/>
        <v>0</v>
      </c>
      <c r="AE40" s="1034">
        <f t="shared" si="127"/>
        <v>0</v>
      </c>
      <c r="AF40" s="1034">
        <f t="shared" si="128"/>
        <v>40319.910000000003</v>
      </c>
      <c r="AG40" s="1034">
        <f t="shared" si="129"/>
        <v>40319.910000000003</v>
      </c>
      <c r="AH40" s="1041">
        <f t="shared" si="130"/>
        <v>0.69913771097868105</v>
      </c>
      <c r="AI40" s="1014">
        <f t="shared" si="248"/>
        <v>0</v>
      </c>
      <c r="AJ40" s="1025">
        <f t="shared" si="131"/>
        <v>0</v>
      </c>
      <c r="AK40" s="1014">
        <f t="shared" si="249"/>
        <v>0</v>
      </c>
      <c r="AL40" s="1025">
        <f t="shared" si="132"/>
        <v>0</v>
      </c>
      <c r="AM40" s="1014">
        <f t="shared" si="250"/>
        <v>0</v>
      </c>
      <c r="AN40" s="1025">
        <f t="shared" si="133"/>
        <v>0</v>
      </c>
      <c r="AO40" s="1014">
        <f t="shared" si="251"/>
        <v>0</v>
      </c>
      <c r="AP40" s="1014">
        <f t="shared" si="252"/>
        <v>0</v>
      </c>
      <c r="AQ40" s="1014">
        <f t="shared" si="253"/>
        <v>0</v>
      </c>
      <c r="AR40" s="1015">
        <f t="shared" si="254"/>
        <v>0</v>
      </c>
      <c r="AS40" s="1025">
        <f t="shared" si="255"/>
        <v>0</v>
      </c>
      <c r="AT40" s="1014">
        <f t="shared" si="256"/>
        <v>0</v>
      </c>
      <c r="AU40" s="1014">
        <f t="shared" si="257"/>
        <v>0</v>
      </c>
      <c r="AV40" s="1014">
        <f t="shared" si="258"/>
        <v>0</v>
      </c>
      <c r="AW40" s="1014">
        <f t="shared" si="259"/>
        <v>0</v>
      </c>
      <c r="AX40" s="1014">
        <f t="shared" si="260"/>
        <v>0</v>
      </c>
      <c r="AY40" s="1014">
        <f t="shared" si="261"/>
        <v>0</v>
      </c>
      <c r="AZ40" s="1025">
        <f t="shared" si="262"/>
        <v>0</v>
      </c>
      <c r="BA40" s="1014">
        <f t="shared" si="263"/>
        <v>0</v>
      </c>
      <c r="BB40" s="1014">
        <f t="shared" si="264"/>
        <v>0</v>
      </c>
      <c r="BC40" s="1014">
        <f t="shared" si="265"/>
        <v>0</v>
      </c>
      <c r="BD40" s="1014">
        <f t="shared" si="266"/>
        <v>0</v>
      </c>
      <c r="BE40" s="1014">
        <f t="shared" si="267"/>
        <v>0</v>
      </c>
      <c r="BF40" s="1014">
        <f t="shared" si="268"/>
        <v>0</v>
      </c>
      <c r="BG40" s="1025">
        <f t="shared" si="269"/>
        <v>0</v>
      </c>
      <c r="BH40" s="1014">
        <f t="shared" si="270"/>
        <v>0</v>
      </c>
      <c r="BI40" s="1014">
        <f t="shared" si="271"/>
        <v>0</v>
      </c>
      <c r="BJ40" s="1014">
        <f t="shared" si="272"/>
        <v>0</v>
      </c>
      <c r="BK40" s="1014">
        <f t="shared" si="273"/>
        <v>0</v>
      </c>
      <c r="BL40" s="1014">
        <f t="shared" si="274"/>
        <v>0</v>
      </c>
      <c r="BM40" s="1014">
        <f t="shared" si="275"/>
        <v>0</v>
      </c>
      <c r="BN40" s="1025">
        <f t="shared" si="276"/>
        <v>0</v>
      </c>
      <c r="BO40" s="1014">
        <f t="shared" si="277"/>
        <v>0</v>
      </c>
      <c r="BP40" s="1014">
        <f t="shared" si="278"/>
        <v>0</v>
      </c>
      <c r="BQ40" s="1014">
        <f t="shared" si="279"/>
        <v>0</v>
      </c>
      <c r="BR40" s="1014">
        <f t="shared" si="280"/>
        <v>0</v>
      </c>
      <c r="BS40" s="1014">
        <f t="shared" si="281"/>
        <v>0</v>
      </c>
      <c r="BT40" s="1025">
        <f t="shared" si="282"/>
        <v>0</v>
      </c>
      <c r="BU40" s="1014">
        <f t="shared" si="283"/>
        <v>0</v>
      </c>
      <c r="BV40" s="1014">
        <f t="shared" si="284"/>
        <v>0</v>
      </c>
      <c r="BW40" s="1014">
        <f t="shared" si="285"/>
        <v>0</v>
      </c>
      <c r="BX40" s="1014">
        <f t="shared" si="286"/>
        <v>0</v>
      </c>
      <c r="BY40" s="1014">
        <f t="shared" si="287"/>
        <v>0</v>
      </c>
      <c r="BZ40" s="1014">
        <f t="shared" si="288"/>
        <v>0</v>
      </c>
      <c r="CA40" s="1014">
        <f t="shared" si="289"/>
        <v>0</v>
      </c>
      <c r="CB40" s="1014">
        <f t="shared" si="290"/>
        <v>0</v>
      </c>
      <c r="CC40" s="1014">
        <f t="shared" si="291"/>
        <v>0</v>
      </c>
      <c r="CD40" s="1015">
        <f t="shared" si="292"/>
        <v>0</v>
      </c>
      <c r="CE40" s="1014">
        <f t="shared" si="293"/>
        <v>0</v>
      </c>
      <c r="CF40" s="1025">
        <f t="shared" si="294"/>
        <v>0</v>
      </c>
      <c r="CG40" s="1014">
        <f t="shared" si="295"/>
        <v>0</v>
      </c>
      <c r="CH40" s="1014">
        <f t="shared" si="296"/>
        <v>0</v>
      </c>
      <c r="CI40" s="1014">
        <f t="shared" si="297"/>
        <v>0</v>
      </c>
      <c r="CJ40" s="1014">
        <f t="shared" si="298"/>
        <v>0</v>
      </c>
      <c r="CK40" s="1014">
        <f t="shared" si="299"/>
        <v>0</v>
      </c>
      <c r="CL40" s="1014">
        <f t="shared" si="300"/>
        <v>0</v>
      </c>
      <c r="CM40" s="1014">
        <f t="shared" si="301"/>
        <v>0</v>
      </c>
      <c r="CN40" s="1015">
        <f t="shared" si="302"/>
        <v>0</v>
      </c>
      <c r="CO40" s="1014">
        <f t="shared" si="303"/>
        <v>0</v>
      </c>
      <c r="CP40" s="1025">
        <f t="shared" si="304"/>
        <v>0</v>
      </c>
      <c r="CQ40" s="1014">
        <f t="shared" si="305"/>
        <v>0</v>
      </c>
      <c r="CR40" s="1014">
        <f t="shared" si="306"/>
        <v>0</v>
      </c>
      <c r="CS40" s="1014">
        <f t="shared" si="307"/>
        <v>0</v>
      </c>
      <c r="CT40" s="1014">
        <f t="shared" si="308"/>
        <v>0</v>
      </c>
      <c r="CU40" s="1015">
        <f t="shared" si="309"/>
        <v>0</v>
      </c>
      <c r="CV40" s="1030">
        <f t="shared" si="310"/>
        <v>0</v>
      </c>
      <c r="CW40" s="1014">
        <f t="shared" si="311"/>
        <v>0</v>
      </c>
      <c r="CX40" s="1014">
        <f t="shared" si="312"/>
        <v>0</v>
      </c>
      <c r="CY40" s="1014">
        <f t="shared" si="313"/>
        <v>0</v>
      </c>
      <c r="CZ40" s="1014">
        <f t="shared" si="314"/>
        <v>0</v>
      </c>
      <c r="DA40" s="1014">
        <f t="shared" si="315"/>
        <v>0</v>
      </c>
      <c r="DB40" s="1014">
        <f t="shared" si="316"/>
        <v>0</v>
      </c>
      <c r="DC40" s="1014">
        <f t="shared" si="317"/>
        <v>0</v>
      </c>
      <c r="DD40" s="1014">
        <f t="shared" si="318"/>
        <v>0</v>
      </c>
      <c r="DE40" s="1015">
        <f t="shared" si="319"/>
        <v>40319.910000000003</v>
      </c>
      <c r="DF40" s="1014">
        <f t="shared" si="320"/>
        <v>0</v>
      </c>
      <c r="DG40" s="1014">
        <f t="shared" si="321"/>
        <v>0</v>
      </c>
      <c r="DH40" s="1012">
        <f t="shared" si="240"/>
        <v>40319.910000000003</v>
      </c>
      <c r="DI40" s="1014">
        <f t="shared" si="322"/>
        <v>0</v>
      </c>
      <c r="DJ40" s="1014">
        <f t="shared" si="323"/>
        <v>0</v>
      </c>
      <c r="DK40" s="1014">
        <f t="shared" si="324"/>
        <v>0</v>
      </c>
      <c r="DL40" s="1014">
        <f t="shared" si="325"/>
        <v>0</v>
      </c>
      <c r="DM40" s="1014">
        <f t="shared" si="326"/>
        <v>0</v>
      </c>
      <c r="DN40" s="1014">
        <f t="shared" si="327"/>
        <v>0</v>
      </c>
      <c r="DO40" s="1014">
        <f t="shared" si="328"/>
        <v>0</v>
      </c>
      <c r="DP40" s="1014">
        <f t="shared" si="329"/>
        <v>0</v>
      </c>
      <c r="DQ40" s="1020">
        <f t="shared" si="330"/>
        <v>0</v>
      </c>
      <c r="DR40" s="1014">
        <f t="shared" si="331"/>
        <v>0</v>
      </c>
      <c r="DS40" s="1014">
        <f t="shared" si="332"/>
        <v>0</v>
      </c>
      <c r="DT40" s="1025">
        <f t="shared" si="241"/>
        <v>0</v>
      </c>
    </row>
    <row r="41" spans="1:124" x14ac:dyDescent="0.2">
      <c r="A41" s="908" t="s">
        <v>128</v>
      </c>
      <c r="B41" s="908">
        <v>2018</v>
      </c>
      <c r="C41" s="910">
        <f t="shared" si="228"/>
        <v>0</v>
      </c>
      <c r="D41" s="910">
        <f t="shared" si="229"/>
        <v>0</v>
      </c>
      <c r="E41" s="910">
        <f t="shared" si="230"/>
        <v>360000</v>
      </c>
      <c r="F41" s="910">
        <f t="shared" si="242"/>
        <v>0</v>
      </c>
      <c r="G41" s="910">
        <f t="shared" si="231"/>
        <v>0</v>
      </c>
      <c r="H41" s="910">
        <f t="shared" si="232"/>
        <v>0</v>
      </c>
      <c r="I41" s="910">
        <f t="shared" si="233"/>
        <v>0</v>
      </c>
      <c r="J41" s="910">
        <f t="shared" si="243"/>
        <v>0</v>
      </c>
      <c r="K41" s="910">
        <f t="shared" si="244"/>
        <v>0</v>
      </c>
      <c r="L41" s="910">
        <f t="shared" si="245"/>
        <v>0</v>
      </c>
      <c r="M41" s="910">
        <f t="shared" si="234"/>
        <v>0</v>
      </c>
      <c r="N41" s="910">
        <f t="shared" si="235"/>
        <v>0</v>
      </c>
      <c r="O41" s="910">
        <f t="shared" si="236"/>
        <v>28277.031300000002</v>
      </c>
      <c r="P41" s="910">
        <f t="shared" si="246"/>
        <v>0</v>
      </c>
      <c r="Q41" s="910">
        <f t="shared" si="237"/>
        <v>0</v>
      </c>
      <c r="R41" s="910">
        <f t="shared" si="238"/>
        <v>0</v>
      </c>
      <c r="S41" s="910">
        <f t="shared" si="239"/>
        <v>388277.03130000003</v>
      </c>
      <c r="T41" s="1037">
        <f t="shared" si="247"/>
        <v>84846.401300000027</v>
      </c>
      <c r="U41" s="1034">
        <f t="shared" si="117"/>
        <v>0</v>
      </c>
      <c r="V41" s="1034">
        <f t="shared" si="118"/>
        <v>0</v>
      </c>
      <c r="W41" s="1034">
        <f t="shared" si="119"/>
        <v>0</v>
      </c>
      <c r="X41" s="1034">
        <f t="shared" si="120"/>
        <v>0</v>
      </c>
      <c r="Y41" s="1034">
        <f t="shared" si="121"/>
        <v>0</v>
      </c>
      <c r="Z41" s="1034">
        <f t="shared" si="122"/>
        <v>0</v>
      </c>
      <c r="AA41" s="1034">
        <f t="shared" si="123"/>
        <v>0</v>
      </c>
      <c r="AB41" s="1034">
        <f t="shared" si="124"/>
        <v>0</v>
      </c>
      <c r="AC41" s="1034">
        <f t="shared" si="125"/>
        <v>0</v>
      </c>
      <c r="AD41" s="1034">
        <f t="shared" si="126"/>
        <v>0</v>
      </c>
      <c r="AE41" s="1034">
        <f t="shared" si="127"/>
        <v>138564</v>
      </c>
      <c r="AF41" s="1034">
        <f t="shared" si="128"/>
        <v>288000</v>
      </c>
      <c r="AG41" s="1034">
        <f t="shared" si="129"/>
        <v>303430.63</v>
      </c>
      <c r="AH41" s="1041">
        <f t="shared" si="130"/>
        <v>0.78147973106747093</v>
      </c>
      <c r="AI41" s="1014">
        <f t="shared" si="248"/>
        <v>0</v>
      </c>
      <c r="AJ41" s="1025">
        <f t="shared" si="131"/>
        <v>0</v>
      </c>
      <c r="AK41" s="1014">
        <f t="shared" si="249"/>
        <v>0</v>
      </c>
      <c r="AL41" s="1025">
        <f t="shared" si="132"/>
        <v>0</v>
      </c>
      <c r="AM41" s="1014">
        <f t="shared" si="250"/>
        <v>0</v>
      </c>
      <c r="AN41" s="1025">
        <f t="shared" si="133"/>
        <v>0</v>
      </c>
      <c r="AO41" s="1014">
        <f t="shared" si="251"/>
        <v>0</v>
      </c>
      <c r="AP41" s="1014">
        <f t="shared" si="252"/>
        <v>0</v>
      </c>
      <c r="AQ41" s="1014">
        <f t="shared" si="253"/>
        <v>0</v>
      </c>
      <c r="AR41" s="1015">
        <f t="shared" si="254"/>
        <v>0</v>
      </c>
      <c r="AS41" s="1025">
        <f t="shared" si="255"/>
        <v>0</v>
      </c>
      <c r="AT41" s="1014">
        <f t="shared" si="256"/>
        <v>0</v>
      </c>
      <c r="AU41" s="1014">
        <f t="shared" si="257"/>
        <v>0</v>
      </c>
      <c r="AV41" s="1014">
        <f t="shared" si="258"/>
        <v>0</v>
      </c>
      <c r="AW41" s="1014">
        <f t="shared" si="259"/>
        <v>0</v>
      </c>
      <c r="AX41" s="1014">
        <f t="shared" si="260"/>
        <v>0</v>
      </c>
      <c r="AY41" s="1014">
        <f t="shared" si="261"/>
        <v>0</v>
      </c>
      <c r="AZ41" s="1025">
        <f t="shared" si="262"/>
        <v>0</v>
      </c>
      <c r="BA41" s="1014">
        <f t="shared" si="263"/>
        <v>0</v>
      </c>
      <c r="BB41" s="1014">
        <f t="shared" si="264"/>
        <v>0</v>
      </c>
      <c r="BC41" s="1014">
        <f t="shared" si="265"/>
        <v>0</v>
      </c>
      <c r="BD41" s="1014">
        <f t="shared" si="266"/>
        <v>0</v>
      </c>
      <c r="BE41" s="1014">
        <f t="shared" si="267"/>
        <v>0</v>
      </c>
      <c r="BF41" s="1014">
        <f t="shared" si="268"/>
        <v>0</v>
      </c>
      <c r="BG41" s="1025">
        <f t="shared" si="269"/>
        <v>0</v>
      </c>
      <c r="BH41" s="1014">
        <f t="shared" si="270"/>
        <v>0</v>
      </c>
      <c r="BI41" s="1014">
        <f t="shared" si="271"/>
        <v>0</v>
      </c>
      <c r="BJ41" s="1014">
        <f t="shared" si="272"/>
        <v>0</v>
      </c>
      <c r="BK41" s="1014">
        <f t="shared" si="273"/>
        <v>0</v>
      </c>
      <c r="BL41" s="1014">
        <f t="shared" si="274"/>
        <v>0</v>
      </c>
      <c r="BM41" s="1014">
        <f t="shared" si="275"/>
        <v>0</v>
      </c>
      <c r="BN41" s="1025">
        <f t="shared" si="276"/>
        <v>0</v>
      </c>
      <c r="BO41" s="1014">
        <f t="shared" si="277"/>
        <v>0</v>
      </c>
      <c r="BP41" s="1014">
        <f t="shared" si="278"/>
        <v>0</v>
      </c>
      <c r="BQ41" s="1014">
        <f t="shared" si="279"/>
        <v>0</v>
      </c>
      <c r="BR41" s="1014">
        <f t="shared" si="280"/>
        <v>0</v>
      </c>
      <c r="BS41" s="1014">
        <f t="shared" si="281"/>
        <v>0</v>
      </c>
      <c r="BT41" s="1025">
        <f t="shared" si="282"/>
        <v>0</v>
      </c>
      <c r="BU41" s="1014">
        <f t="shared" si="283"/>
        <v>0</v>
      </c>
      <c r="BV41" s="1014">
        <f t="shared" si="284"/>
        <v>0</v>
      </c>
      <c r="BW41" s="1014">
        <f t="shared" si="285"/>
        <v>0</v>
      </c>
      <c r="BX41" s="1014">
        <f t="shared" si="286"/>
        <v>0</v>
      </c>
      <c r="BY41" s="1014">
        <f t="shared" si="287"/>
        <v>0</v>
      </c>
      <c r="BZ41" s="1014">
        <f t="shared" si="288"/>
        <v>0</v>
      </c>
      <c r="CA41" s="1014">
        <f t="shared" si="289"/>
        <v>0</v>
      </c>
      <c r="CB41" s="1014">
        <f t="shared" si="290"/>
        <v>0</v>
      </c>
      <c r="CC41" s="1014">
        <f t="shared" si="291"/>
        <v>0</v>
      </c>
      <c r="CD41" s="1015">
        <f t="shared" si="292"/>
        <v>0</v>
      </c>
      <c r="CE41" s="1014">
        <f t="shared" si="293"/>
        <v>0</v>
      </c>
      <c r="CF41" s="1025">
        <f t="shared" si="294"/>
        <v>0</v>
      </c>
      <c r="CG41" s="1014">
        <f t="shared" si="295"/>
        <v>0</v>
      </c>
      <c r="CH41" s="1014">
        <f t="shared" si="296"/>
        <v>0</v>
      </c>
      <c r="CI41" s="1014">
        <f t="shared" si="297"/>
        <v>0</v>
      </c>
      <c r="CJ41" s="1014">
        <f t="shared" si="298"/>
        <v>0</v>
      </c>
      <c r="CK41" s="1014">
        <f t="shared" si="299"/>
        <v>0</v>
      </c>
      <c r="CL41" s="1014">
        <f t="shared" si="300"/>
        <v>0</v>
      </c>
      <c r="CM41" s="1014">
        <f t="shared" si="301"/>
        <v>0</v>
      </c>
      <c r="CN41" s="1015">
        <f t="shared" si="302"/>
        <v>0</v>
      </c>
      <c r="CO41" s="1014">
        <f t="shared" si="303"/>
        <v>0</v>
      </c>
      <c r="CP41" s="1025">
        <f t="shared" si="304"/>
        <v>0</v>
      </c>
      <c r="CQ41" s="1014">
        <f t="shared" si="305"/>
        <v>0</v>
      </c>
      <c r="CR41" s="1014">
        <f t="shared" si="306"/>
        <v>138564</v>
      </c>
      <c r="CS41" s="1014">
        <f t="shared" si="307"/>
        <v>0</v>
      </c>
      <c r="CT41" s="1014">
        <f t="shared" si="308"/>
        <v>0</v>
      </c>
      <c r="CU41" s="1015">
        <f t="shared" si="309"/>
        <v>0</v>
      </c>
      <c r="CV41" s="1030">
        <f t="shared" si="310"/>
        <v>138564</v>
      </c>
      <c r="CW41" s="1014">
        <f t="shared" si="311"/>
        <v>0</v>
      </c>
      <c r="CX41" s="1014">
        <f t="shared" si="312"/>
        <v>0</v>
      </c>
      <c r="CY41" s="1014">
        <f t="shared" si="313"/>
        <v>149436</v>
      </c>
      <c r="CZ41" s="1014">
        <f t="shared" si="314"/>
        <v>0</v>
      </c>
      <c r="DA41" s="1014">
        <f t="shared" si="315"/>
        <v>0</v>
      </c>
      <c r="DB41" s="1014">
        <f t="shared" si="316"/>
        <v>0</v>
      </c>
      <c r="DC41" s="1014">
        <f t="shared" si="317"/>
        <v>0</v>
      </c>
      <c r="DD41" s="1014">
        <f t="shared" si="318"/>
        <v>0</v>
      </c>
      <c r="DE41" s="1015">
        <f t="shared" si="319"/>
        <v>0</v>
      </c>
      <c r="DF41" s="1014">
        <f t="shared" si="320"/>
        <v>0</v>
      </c>
      <c r="DG41" s="1014">
        <f t="shared" si="321"/>
        <v>0</v>
      </c>
      <c r="DH41" s="1012">
        <f t="shared" si="240"/>
        <v>149436</v>
      </c>
      <c r="DI41" s="1014">
        <f t="shared" si="322"/>
        <v>0</v>
      </c>
      <c r="DJ41" s="1014">
        <f t="shared" si="323"/>
        <v>0</v>
      </c>
      <c r="DK41" s="1014">
        <f t="shared" si="324"/>
        <v>0</v>
      </c>
      <c r="DL41" s="1014">
        <f t="shared" si="325"/>
        <v>0</v>
      </c>
      <c r="DM41" s="1014">
        <f t="shared" si="326"/>
        <v>0</v>
      </c>
      <c r="DN41" s="1014">
        <f t="shared" si="327"/>
        <v>0</v>
      </c>
      <c r="DO41" s="1014">
        <f t="shared" si="328"/>
        <v>0</v>
      </c>
      <c r="DP41" s="1014">
        <f t="shared" si="329"/>
        <v>0</v>
      </c>
      <c r="DQ41" s="1020">
        <f t="shared" si="330"/>
        <v>15430.63</v>
      </c>
      <c r="DR41" s="1014">
        <f t="shared" si="331"/>
        <v>0</v>
      </c>
      <c r="DS41" s="1014">
        <f t="shared" si="332"/>
        <v>0</v>
      </c>
      <c r="DT41" s="1025">
        <f t="shared" si="241"/>
        <v>15430.63</v>
      </c>
    </row>
    <row r="42" spans="1:124" x14ac:dyDescent="0.2">
      <c r="A42" s="908" t="s">
        <v>52</v>
      </c>
      <c r="B42" s="908">
        <v>2016</v>
      </c>
      <c r="C42" s="910">
        <f t="shared" si="228"/>
        <v>0</v>
      </c>
      <c r="D42" s="910">
        <f t="shared" si="229"/>
        <v>0</v>
      </c>
      <c r="E42" s="910">
        <f t="shared" si="230"/>
        <v>1</v>
      </c>
      <c r="F42" s="910">
        <f t="shared" si="242"/>
        <v>0</v>
      </c>
      <c r="G42" s="910">
        <f t="shared" si="231"/>
        <v>0</v>
      </c>
      <c r="H42" s="910">
        <f t="shared" si="232"/>
        <v>0</v>
      </c>
      <c r="I42" s="910">
        <f t="shared" si="233"/>
        <v>0</v>
      </c>
      <c r="J42" s="910">
        <f t="shared" si="243"/>
        <v>0</v>
      </c>
      <c r="K42" s="910">
        <f t="shared" si="244"/>
        <v>0</v>
      </c>
      <c r="L42" s="910">
        <f t="shared" si="245"/>
        <v>0</v>
      </c>
      <c r="M42" s="910">
        <f t="shared" si="234"/>
        <v>0</v>
      </c>
      <c r="N42" s="910">
        <f t="shared" si="235"/>
        <v>0</v>
      </c>
      <c r="O42" s="910">
        <f t="shared" si="236"/>
        <v>44263.48575</v>
      </c>
      <c r="P42" s="910">
        <f t="shared" si="246"/>
        <v>0</v>
      </c>
      <c r="Q42" s="910">
        <f t="shared" si="237"/>
        <v>0</v>
      </c>
      <c r="R42" s="910">
        <f t="shared" si="238"/>
        <v>0</v>
      </c>
      <c r="S42" s="910">
        <f t="shared" si="239"/>
        <v>44264.48575</v>
      </c>
      <c r="T42" s="1037">
        <f t="shared" si="247"/>
        <v>15486.00575</v>
      </c>
      <c r="U42" s="1034">
        <f t="shared" si="117"/>
        <v>0</v>
      </c>
      <c r="V42" s="1034">
        <f t="shared" si="118"/>
        <v>0</v>
      </c>
      <c r="W42" s="1034">
        <f t="shared" si="119"/>
        <v>0</v>
      </c>
      <c r="X42" s="1034">
        <f t="shared" si="120"/>
        <v>0</v>
      </c>
      <c r="Y42" s="1034">
        <f t="shared" si="121"/>
        <v>0</v>
      </c>
      <c r="Z42" s="1034">
        <f t="shared" si="122"/>
        <v>0</v>
      </c>
      <c r="AA42" s="1034">
        <f t="shared" si="123"/>
        <v>0</v>
      </c>
      <c r="AB42" s="1034">
        <f t="shared" si="124"/>
        <v>0</v>
      </c>
      <c r="AC42" s="1034">
        <f t="shared" si="125"/>
        <v>0</v>
      </c>
      <c r="AD42" s="1034">
        <f t="shared" si="126"/>
        <v>0</v>
      </c>
      <c r="AE42" s="1034">
        <f t="shared" si="127"/>
        <v>28778.48</v>
      </c>
      <c r="AF42" s="1034">
        <f t="shared" si="128"/>
        <v>28778.48</v>
      </c>
      <c r="AG42" s="1034">
        <f t="shared" si="129"/>
        <v>28778.48</v>
      </c>
      <c r="AH42" s="1041">
        <f t="shared" si="130"/>
        <v>0.6501482963687204</v>
      </c>
      <c r="AI42" s="1014">
        <f t="shared" si="248"/>
        <v>0</v>
      </c>
      <c r="AJ42" s="1025">
        <f t="shared" si="131"/>
        <v>0</v>
      </c>
      <c r="AK42" s="1014">
        <f t="shared" si="249"/>
        <v>0</v>
      </c>
      <c r="AL42" s="1025">
        <f t="shared" si="132"/>
        <v>0</v>
      </c>
      <c r="AM42" s="1014">
        <f t="shared" si="250"/>
        <v>0</v>
      </c>
      <c r="AN42" s="1025">
        <f t="shared" si="133"/>
        <v>0</v>
      </c>
      <c r="AO42" s="1014">
        <f t="shared" si="251"/>
        <v>0</v>
      </c>
      <c r="AP42" s="1014">
        <f t="shared" si="252"/>
        <v>0</v>
      </c>
      <c r="AQ42" s="1014">
        <f t="shared" si="253"/>
        <v>0</v>
      </c>
      <c r="AR42" s="1015">
        <f t="shared" si="254"/>
        <v>0</v>
      </c>
      <c r="AS42" s="1025">
        <f t="shared" si="255"/>
        <v>0</v>
      </c>
      <c r="AT42" s="1014">
        <f t="shared" si="256"/>
        <v>0</v>
      </c>
      <c r="AU42" s="1014">
        <f t="shared" si="257"/>
        <v>0</v>
      </c>
      <c r="AV42" s="1014">
        <f t="shared" si="258"/>
        <v>0</v>
      </c>
      <c r="AW42" s="1014">
        <f t="shared" si="259"/>
        <v>0</v>
      </c>
      <c r="AX42" s="1014">
        <f t="shared" si="260"/>
        <v>0</v>
      </c>
      <c r="AY42" s="1014">
        <f t="shared" si="261"/>
        <v>0</v>
      </c>
      <c r="AZ42" s="1025">
        <f t="shared" si="262"/>
        <v>0</v>
      </c>
      <c r="BA42" s="1014">
        <f t="shared" si="263"/>
        <v>0</v>
      </c>
      <c r="BB42" s="1014">
        <f t="shared" si="264"/>
        <v>0</v>
      </c>
      <c r="BC42" s="1014">
        <f t="shared" si="265"/>
        <v>0</v>
      </c>
      <c r="BD42" s="1014">
        <f t="shared" si="266"/>
        <v>0</v>
      </c>
      <c r="BE42" s="1014">
        <f t="shared" si="267"/>
        <v>0</v>
      </c>
      <c r="BF42" s="1014">
        <f t="shared" si="268"/>
        <v>0</v>
      </c>
      <c r="BG42" s="1025">
        <f t="shared" si="269"/>
        <v>0</v>
      </c>
      <c r="BH42" s="1014">
        <f t="shared" si="270"/>
        <v>0</v>
      </c>
      <c r="BI42" s="1014">
        <f t="shared" si="271"/>
        <v>0</v>
      </c>
      <c r="BJ42" s="1014">
        <f t="shared" si="272"/>
        <v>0</v>
      </c>
      <c r="BK42" s="1014">
        <f t="shared" si="273"/>
        <v>0</v>
      </c>
      <c r="BL42" s="1014">
        <f t="shared" si="274"/>
        <v>0</v>
      </c>
      <c r="BM42" s="1014">
        <f t="shared" si="275"/>
        <v>0</v>
      </c>
      <c r="BN42" s="1025">
        <f t="shared" si="276"/>
        <v>0</v>
      </c>
      <c r="BO42" s="1014">
        <f t="shared" si="277"/>
        <v>0</v>
      </c>
      <c r="BP42" s="1014">
        <f t="shared" si="278"/>
        <v>0</v>
      </c>
      <c r="BQ42" s="1014">
        <f t="shared" si="279"/>
        <v>0</v>
      </c>
      <c r="BR42" s="1014">
        <f t="shared" si="280"/>
        <v>0</v>
      </c>
      <c r="BS42" s="1014">
        <f t="shared" si="281"/>
        <v>0</v>
      </c>
      <c r="BT42" s="1025">
        <f t="shared" si="282"/>
        <v>0</v>
      </c>
      <c r="BU42" s="1014">
        <f t="shared" si="283"/>
        <v>0</v>
      </c>
      <c r="BV42" s="1014">
        <f t="shared" si="284"/>
        <v>0</v>
      </c>
      <c r="BW42" s="1014">
        <f t="shared" si="285"/>
        <v>0</v>
      </c>
      <c r="BX42" s="1014">
        <f t="shared" si="286"/>
        <v>0</v>
      </c>
      <c r="BY42" s="1014">
        <f t="shared" si="287"/>
        <v>0</v>
      </c>
      <c r="BZ42" s="1014">
        <f t="shared" si="288"/>
        <v>0</v>
      </c>
      <c r="CA42" s="1014">
        <f t="shared" si="289"/>
        <v>0</v>
      </c>
      <c r="CB42" s="1014">
        <f t="shared" si="290"/>
        <v>0</v>
      </c>
      <c r="CC42" s="1014">
        <f t="shared" si="291"/>
        <v>0</v>
      </c>
      <c r="CD42" s="1015">
        <f t="shared" si="292"/>
        <v>0</v>
      </c>
      <c r="CE42" s="1014">
        <f t="shared" si="293"/>
        <v>0</v>
      </c>
      <c r="CF42" s="1025">
        <f t="shared" si="294"/>
        <v>0</v>
      </c>
      <c r="CG42" s="1014">
        <f t="shared" si="295"/>
        <v>0</v>
      </c>
      <c r="CH42" s="1014">
        <f t="shared" si="296"/>
        <v>0</v>
      </c>
      <c r="CI42" s="1014">
        <f t="shared" si="297"/>
        <v>0</v>
      </c>
      <c r="CJ42" s="1014">
        <f t="shared" si="298"/>
        <v>0</v>
      </c>
      <c r="CK42" s="1014">
        <f t="shared" si="299"/>
        <v>0</v>
      </c>
      <c r="CL42" s="1014">
        <f t="shared" si="300"/>
        <v>0</v>
      </c>
      <c r="CM42" s="1014">
        <f t="shared" si="301"/>
        <v>0</v>
      </c>
      <c r="CN42" s="1015">
        <f t="shared" si="302"/>
        <v>0</v>
      </c>
      <c r="CO42" s="1014">
        <f t="shared" si="303"/>
        <v>0</v>
      </c>
      <c r="CP42" s="1025">
        <f t="shared" si="304"/>
        <v>0</v>
      </c>
      <c r="CQ42" s="1014">
        <f t="shared" si="305"/>
        <v>0</v>
      </c>
      <c r="CR42" s="1014">
        <f t="shared" si="306"/>
        <v>0</v>
      </c>
      <c r="CS42" s="1014">
        <f t="shared" si="307"/>
        <v>0</v>
      </c>
      <c r="CT42" s="1014">
        <f t="shared" si="308"/>
        <v>0</v>
      </c>
      <c r="CU42" s="1015">
        <f t="shared" si="309"/>
        <v>28778.48</v>
      </c>
      <c r="CV42" s="1030">
        <f t="shared" si="310"/>
        <v>28778.48</v>
      </c>
      <c r="CW42" s="1014">
        <f t="shared" si="311"/>
        <v>0</v>
      </c>
      <c r="CX42" s="1014">
        <f t="shared" si="312"/>
        <v>0</v>
      </c>
      <c r="CY42" s="1014">
        <f t="shared" si="313"/>
        <v>0</v>
      </c>
      <c r="CZ42" s="1014">
        <f t="shared" si="314"/>
        <v>0</v>
      </c>
      <c r="DA42" s="1014">
        <f t="shared" si="315"/>
        <v>0</v>
      </c>
      <c r="DB42" s="1014">
        <f t="shared" si="316"/>
        <v>0</v>
      </c>
      <c r="DC42" s="1014">
        <f t="shared" si="317"/>
        <v>0</v>
      </c>
      <c r="DD42" s="1014">
        <f t="shared" si="318"/>
        <v>0</v>
      </c>
      <c r="DE42" s="1015">
        <f t="shared" si="319"/>
        <v>0</v>
      </c>
      <c r="DF42" s="1014">
        <f t="shared" si="320"/>
        <v>0</v>
      </c>
      <c r="DG42" s="1014">
        <f t="shared" si="321"/>
        <v>0</v>
      </c>
      <c r="DH42" s="1012">
        <f t="shared" si="240"/>
        <v>0</v>
      </c>
      <c r="DI42" s="1014">
        <f t="shared" si="322"/>
        <v>0</v>
      </c>
      <c r="DJ42" s="1014">
        <f t="shared" si="323"/>
        <v>0</v>
      </c>
      <c r="DK42" s="1014">
        <f t="shared" si="324"/>
        <v>0</v>
      </c>
      <c r="DL42" s="1014">
        <f t="shared" si="325"/>
        <v>0</v>
      </c>
      <c r="DM42" s="1014">
        <f t="shared" si="326"/>
        <v>0</v>
      </c>
      <c r="DN42" s="1014">
        <f t="shared" si="327"/>
        <v>0</v>
      </c>
      <c r="DO42" s="1014">
        <f t="shared" si="328"/>
        <v>0</v>
      </c>
      <c r="DP42" s="1014">
        <f t="shared" si="329"/>
        <v>0</v>
      </c>
      <c r="DQ42" s="1020">
        <f t="shared" si="330"/>
        <v>0</v>
      </c>
      <c r="DR42" s="1014">
        <f t="shared" si="331"/>
        <v>0</v>
      </c>
      <c r="DS42" s="1014">
        <f t="shared" si="332"/>
        <v>0</v>
      </c>
      <c r="DT42" s="1025">
        <f t="shared" si="241"/>
        <v>0</v>
      </c>
    </row>
    <row r="43" spans="1:124" x14ac:dyDescent="0.2">
      <c r="A43" s="908" t="s">
        <v>20</v>
      </c>
      <c r="B43" s="908"/>
      <c r="C43" s="910">
        <f t="shared" ref="C43" si="333">SUMPRODUCT((OP_FRAFU=A43)*(Bdgt_FRAFU))</f>
        <v>0</v>
      </c>
      <c r="D43" s="910">
        <f t="shared" ref="D43" si="334">SUMPRODUCT((OP_Rehab=A43)*(Bdgt_Rehab))</f>
        <v>0</v>
      </c>
      <c r="E43" s="910">
        <f t="shared" ref="E43" si="335">SUMPRODUCT((OP_LBU=A43)*(Bdgt_LBU))</f>
        <v>0</v>
      </c>
      <c r="F43" s="910">
        <f t="shared" si="242"/>
        <v>3152932.53</v>
      </c>
      <c r="G43" s="910">
        <f t="shared" ref="G43" si="336">SUMPRODUCT((OP_CAF=A43)*(Bdgt_CAF))</f>
        <v>0</v>
      </c>
      <c r="H43" s="910">
        <f t="shared" ref="H43" si="337">SUMPRODUCT((OP_Region=A43)*(Bdgt_Region))</f>
        <v>0</v>
      </c>
      <c r="I43" s="910">
        <f t="shared" ref="I43" si="338">SUMPRODUCT((OP_Rectorat=A43)*(Bdgt_Rectorat))</f>
        <v>0</v>
      </c>
      <c r="J43" s="910">
        <f t="shared" si="243"/>
        <v>0</v>
      </c>
      <c r="K43" s="910">
        <f t="shared" si="244"/>
        <v>0</v>
      </c>
      <c r="L43" s="910">
        <f t="shared" si="245"/>
        <v>0</v>
      </c>
      <c r="M43" s="910">
        <f t="shared" ref="M43" si="339">SUMPRODUCT((OP_ADEME=A43)*(Bdgt_ADEME))</f>
        <v>0</v>
      </c>
      <c r="N43" s="910">
        <f t="shared" ref="N43" si="340">SUMPRODUCT((OP_P_Ile=A43)*(Bdgt_P_Ile))</f>
        <v>0</v>
      </c>
      <c r="O43" s="910">
        <f t="shared" ref="O43" si="341">SUMPRODUCT((OP_EDF=A43)*(Bdgt_EDF))</f>
        <v>0</v>
      </c>
      <c r="P43" s="910">
        <f t="shared" si="246"/>
        <v>0</v>
      </c>
      <c r="Q43" s="910">
        <f t="shared" ref="Q43" si="342">SUMPRODUCT((OP_ETG_SALE=A43)*(Bdgt_ETG_SALE))</f>
        <v>0</v>
      </c>
      <c r="R43" s="910">
        <f t="shared" ref="R43" si="343">SUMPRODUCT((OP_ST_JO=A43)*(Bdgt_ST_JO))</f>
        <v>0</v>
      </c>
      <c r="S43" s="910">
        <f t="shared" ref="S43" si="344">SUM(C43:R43)</f>
        <v>3152932.53</v>
      </c>
      <c r="T43" s="1037">
        <f t="shared" si="247"/>
        <v>1298897.1599999997</v>
      </c>
      <c r="U43" s="1034">
        <f t="shared" si="117"/>
        <v>0</v>
      </c>
      <c r="V43" s="1034">
        <f t="shared" si="118"/>
        <v>0</v>
      </c>
      <c r="W43" s="1034">
        <f t="shared" si="119"/>
        <v>0</v>
      </c>
      <c r="X43" s="1034">
        <f t="shared" si="120"/>
        <v>0</v>
      </c>
      <c r="Y43" s="1034">
        <f t="shared" si="121"/>
        <v>0</v>
      </c>
      <c r="Z43" s="1034">
        <f t="shared" si="122"/>
        <v>0</v>
      </c>
      <c r="AA43" s="1034">
        <f t="shared" si="123"/>
        <v>91990.6</v>
      </c>
      <c r="AB43" s="1034">
        <f t="shared" si="124"/>
        <v>91990.6</v>
      </c>
      <c r="AC43" s="1034">
        <f t="shared" si="125"/>
        <v>411842.6</v>
      </c>
      <c r="AD43" s="1034">
        <f t="shared" si="126"/>
        <v>1854035.37</v>
      </c>
      <c r="AE43" s="1034">
        <f t="shared" si="127"/>
        <v>1854035.37</v>
      </c>
      <c r="AF43" s="1034">
        <f t="shared" si="128"/>
        <v>1854035.37</v>
      </c>
      <c r="AG43" s="1034">
        <f t="shared" si="129"/>
        <v>1854035.37</v>
      </c>
      <c r="AH43" s="1041">
        <f t="shared" si="130"/>
        <v>0.58803521875553744</v>
      </c>
      <c r="AI43" s="1014">
        <f t="shared" si="248"/>
        <v>0</v>
      </c>
      <c r="AJ43" s="1025">
        <f t="shared" si="131"/>
        <v>0</v>
      </c>
      <c r="AK43" s="1014">
        <f t="shared" si="249"/>
        <v>0</v>
      </c>
      <c r="AL43" s="1025">
        <f t="shared" si="132"/>
        <v>0</v>
      </c>
      <c r="AM43" s="1014">
        <f t="shared" si="250"/>
        <v>0</v>
      </c>
      <c r="AN43" s="1025">
        <f t="shared" si="133"/>
        <v>0</v>
      </c>
      <c r="AO43" s="1014">
        <f t="shared" si="251"/>
        <v>0</v>
      </c>
      <c r="AP43" s="1014">
        <f t="shared" si="252"/>
        <v>0</v>
      </c>
      <c r="AQ43" s="1014">
        <f t="shared" si="253"/>
        <v>0</v>
      </c>
      <c r="AR43" s="1015">
        <f t="shared" si="254"/>
        <v>0</v>
      </c>
      <c r="AS43" s="1025">
        <f t="shared" si="255"/>
        <v>0</v>
      </c>
      <c r="AT43" s="1014">
        <f t="shared" si="256"/>
        <v>0</v>
      </c>
      <c r="AU43" s="1014">
        <f t="shared" si="257"/>
        <v>0</v>
      </c>
      <c r="AV43" s="1014">
        <f t="shared" si="258"/>
        <v>0</v>
      </c>
      <c r="AW43" s="1014">
        <f t="shared" si="259"/>
        <v>0</v>
      </c>
      <c r="AX43" s="1014">
        <f t="shared" si="260"/>
        <v>0</v>
      </c>
      <c r="AY43" s="1014">
        <f t="shared" si="261"/>
        <v>0</v>
      </c>
      <c r="AZ43" s="1025">
        <f t="shared" si="262"/>
        <v>0</v>
      </c>
      <c r="BA43" s="1014">
        <f t="shared" si="263"/>
        <v>0</v>
      </c>
      <c r="BB43" s="1014">
        <f t="shared" si="264"/>
        <v>0</v>
      </c>
      <c r="BC43" s="1014">
        <f t="shared" si="265"/>
        <v>0</v>
      </c>
      <c r="BD43" s="1014">
        <f t="shared" si="266"/>
        <v>0</v>
      </c>
      <c r="BE43" s="1014">
        <f t="shared" si="267"/>
        <v>0</v>
      </c>
      <c r="BF43" s="1014">
        <f t="shared" si="268"/>
        <v>0</v>
      </c>
      <c r="BG43" s="1025">
        <f t="shared" si="269"/>
        <v>0</v>
      </c>
      <c r="BH43" s="1014">
        <f t="shared" si="270"/>
        <v>0</v>
      </c>
      <c r="BI43" s="1014">
        <f t="shared" si="271"/>
        <v>0</v>
      </c>
      <c r="BJ43" s="1014">
        <f t="shared" si="272"/>
        <v>91990.6</v>
      </c>
      <c r="BK43" s="1014">
        <f t="shared" si="273"/>
        <v>0</v>
      </c>
      <c r="BL43" s="1014">
        <f t="shared" si="274"/>
        <v>0</v>
      </c>
      <c r="BM43" s="1014">
        <f t="shared" si="275"/>
        <v>0</v>
      </c>
      <c r="BN43" s="1025">
        <f t="shared" si="276"/>
        <v>91990.6</v>
      </c>
      <c r="BO43" s="1014">
        <f t="shared" si="277"/>
        <v>0</v>
      </c>
      <c r="BP43" s="1014">
        <f t="shared" si="278"/>
        <v>0</v>
      </c>
      <c r="BQ43" s="1014">
        <f t="shared" si="279"/>
        <v>0</v>
      </c>
      <c r="BR43" s="1014">
        <f t="shared" si="280"/>
        <v>0</v>
      </c>
      <c r="BS43" s="1014">
        <f t="shared" si="281"/>
        <v>0</v>
      </c>
      <c r="BT43" s="1025">
        <f t="shared" si="282"/>
        <v>0</v>
      </c>
      <c r="BU43" s="1014">
        <f t="shared" si="283"/>
        <v>0</v>
      </c>
      <c r="BV43" s="1014">
        <f t="shared" si="284"/>
        <v>0</v>
      </c>
      <c r="BW43" s="1014">
        <f t="shared" si="285"/>
        <v>319852</v>
      </c>
      <c r="BX43" s="1014">
        <f t="shared" si="286"/>
        <v>0</v>
      </c>
      <c r="BY43" s="1014">
        <f t="shared" si="287"/>
        <v>0</v>
      </c>
      <c r="BZ43" s="1014">
        <f t="shared" si="288"/>
        <v>0</v>
      </c>
      <c r="CA43" s="1014">
        <f t="shared" si="289"/>
        <v>0</v>
      </c>
      <c r="CB43" s="1014">
        <f t="shared" si="290"/>
        <v>0</v>
      </c>
      <c r="CC43" s="1014">
        <f t="shared" si="291"/>
        <v>0</v>
      </c>
      <c r="CD43" s="1015">
        <f t="shared" si="292"/>
        <v>0</v>
      </c>
      <c r="CE43" s="1014">
        <f t="shared" si="293"/>
        <v>0</v>
      </c>
      <c r="CF43" s="1025">
        <f t="shared" si="294"/>
        <v>319852</v>
      </c>
      <c r="CG43" s="1014">
        <f t="shared" si="295"/>
        <v>0</v>
      </c>
      <c r="CH43" s="1014">
        <f t="shared" si="296"/>
        <v>0</v>
      </c>
      <c r="CI43" s="1014">
        <f t="shared" si="297"/>
        <v>1442192.77</v>
      </c>
      <c r="CJ43" s="1014">
        <f t="shared" si="298"/>
        <v>0</v>
      </c>
      <c r="CK43" s="1014">
        <f t="shared" si="299"/>
        <v>0</v>
      </c>
      <c r="CL43" s="1014">
        <f t="shared" si="300"/>
        <v>0</v>
      </c>
      <c r="CM43" s="1014">
        <f t="shared" si="301"/>
        <v>0</v>
      </c>
      <c r="CN43" s="1015">
        <f t="shared" si="302"/>
        <v>0</v>
      </c>
      <c r="CO43" s="1014">
        <f t="shared" si="303"/>
        <v>0</v>
      </c>
      <c r="CP43" s="1025">
        <f t="shared" si="304"/>
        <v>1442192.77</v>
      </c>
      <c r="CQ43" s="1014">
        <f t="shared" si="305"/>
        <v>0</v>
      </c>
      <c r="CR43" s="1014">
        <f t="shared" si="306"/>
        <v>0</v>
      </c>
      <c r="CS43" s="1014">
        <f t="shared" si="307"/>
        <v>0</v>
      </c>
      <c r="CT43" s="1014">
        <f t="shared" si="308"/>
        <v>0</v>
      </c>
      <c r="CU43" s="1015">
        <f t="shared" si="309"/>
        <v>0</v>
      </c>
      <c r="CV43" s="1030">
        <f t="shared" si="310"/>
        <v>0</v>
      </c>
      <c r="CW43" s="1014">
        <f t="shared" si="311"/>
        <v>0</v>
      </c>
      <c r="CX43" s="1014">
        <f t="shared" si="312"/>
        <v>0</v>
      </c>
      <c r="CY43" s="1014">
        <f t="shared" si="313"/>
        <v>0</v>
      </c>
      <c r="CZ43" s="1014">
        <f t="shared" si="314"/>
        <v>0</v>
      </c>
      <c r="DA43" s="1014">
        <f t="shared" si="315"/>
        <v>0</v>
      </c>
      <c r="DB43" s="1014">
        <f t="shared" si="316"/>
        <v>0</v>
      </c>
      <c r="DC43" s="1014">
        <f t="shared" si="317"/>
        <v>0</v>
      </c>
      <c r="DD43" s="1014">
        <f t="shared" si="318"/>
        <v>0</v>
      </c>
      <c r="DE43" s="1015">
        <f t="shared" si="319"/>
        <v>0</v>
      </c>
      <c r="DF43" s="1014">
        <f t="shared" si="320"/>
        <v>0</v>
      </c>
      <c r="DG43" s="1014">
        <f t="shared" si="321"/>
        <v>0</v>
      </c>
      <c r="DH43" s="1012">
        <f t="shared" ref="DH43" si="345">SUM(CW43:DG43)</f>
        <v>0</v>
      </c>
      <c r="DI43" s="1014">
        <f t="shared" si="322"/>
        <v>0</v>
      </c>
      <c r="DJ43" s="1014">
        <f t="shared" si="323"/>
        <v>0</v>
      </c>
      <c r="DK43" s="1014">
        <f t="shared" si="324"/>
        <v>0</v>
      </c>
      <c r="DL43" s="1014">
        <f t="shared" si="325"/>
        <v>0</v>
      </c>
      <c r="DM43" s="1014">
        <f t="shared" si="326"/>
        <v>0</v>
      </c>
      <c r="DN43" s="1014">
        <f t="shared" si="327"/>
        <v>0</v>
      </c>
      <c r="DO43" s="1014">
        <f t="shared" si="328"/>
        <v>0</v>
      </c>
      <c r="DP43" s="1014">
        <f t="shared" si="329"/>
        <v>0</v>
      </c>
      <c r="DQ43" s="1020">
        <f t="shared" si="330"/>
        <v>0</v>
      </c>
      <c r="DR43" s="1014">
        <f t="shared" si="331"/>
        <v>0</v>
      </c>
      <c r="DS43" s="1014">
        <f t="shared" si="332"/>
        <v>0</v>
      </c>
      <c r="DT43" s="1025">
        <f t="shared" ref="DT43" si="346">SUM(DI43:DS43)</f>
        <v>0</v>
      </c>
    </row>
    <row r="44" spans="1:124" x14ac:dyDescent="0.2">
      <c r="A44" s="908" t="s">
        <v>224</v>
      </c>
      <c r="B44" s="908">
        <v>2018</v>
      </c>
      <c r="C44" s="910">
        <f t="shared" si="228"/>
        <v>0</v>
      </c>
      <c r="D44" s="910">
        <f t="shared" si="229"/>
        <v>0</v>
      </c>
      <c r="E44" s="910">
        <f t="shared" si="230"/>
        <v>529000</v>
      </c>
      <c r="F44" s="910">
        <f t="shared" si="242"/>
        <v>0</v>
      </c>
      <c r="G44" s="910">
        <f t="shared" si="231"/>
        <v>0</v>
      </c>
      <c r="H44" s="910">
        <f t="shared" si="232"/>
        <v>0</v>
      </c>
      <c r="I44" s="910">
        <f t="shared" si="233"/>
        <v>0</v>
      </c>
      <c r="J44" s="910">
        <f t="shared" si="243"/>
        <v>0</v>
      </c>
      <c r="K44" s="910">
        <f t="shared" si="244"/>
        <v>0</v>
      </c>
      <c r="L44" s="910">
        <f t="shared" si="245"/>
        <v>0</v>
      </c>
      <c r="M44" s="910">
        <f>SUMPRODUCT((OP_ADEME=A44)*(Bdgt_ADEME))</f>
        <v>0</v>
      </c>
      <c r="N44" s="910">
        <f>SUMPRODUCT((OP_P_Ile=A44)*(Bdgt_P_Ile))</f>
        <v>0</v>
      </c>
      <c r="O44" s="910">
        <f>SUMPRODUCT((OP_EDF=A44)*(Bdgt_EDF))</f>
        <v>0</v>
      </c>
      <c r="P44" s="910">
        <f t="shared" si="246"/>
        <v>0</v>
      </c>
      <c r="Q44" s="910">
        <f>SUMPRODUCT((OP_ETG_SALE=A44)*(Bdgt_ETG_SALE))</f>
        <v>0</v>
      </c>
      <c r="R44" s="910">
        <f>SUMPRODUCT((OP_ST_JO=A44)*(Bdgt_ST_JO))</f>
        <v>0</v>
      </c>
      <c r="S44" s="910">
        <f>SUM(C44:R44)</f>
        <v>529000</v>
      </c>
      <c r="T44" s="1037">
        <f t="shared" si="247"/>
        <v>0</v>
      </c>
      <c r="U44" s="1034">
        <f t="shared" si="117"/>
        <v>0</v>
      </c>
      <c r="V44" s="1034">
        <f t="shared" si="118"/>
        <v>0</v>
      </c>
      <c r="W44" s="1034">
        <f t="shared" si="119"/>
        <v>0</v>
      </c>
      <c r="X44" s="1034">
        <f t="shared" si="120"/>
        <v>0</v>
      </c>
      <c r="Y44" s="1034">
        <f t="shared" si="121"/>
        <v>0</v>
      </c>
      <c r="Z44" s="1034">
        <f t="shared" si="122"/>
        <v>0</v>
      </c>
      <c r="AA44" s="1034">
        <f t="shared" si="123"/>
        <v>0</v>
      </c>
      <c r="AB44" s="1034">
        <f t="shared" si="124"/>
        <v>0</v>
      </c>
      <c r="AC44" s="1034">
        <f t="shared" si="125"/>
        <v>0</v>
      </c>
      <c r="AD44" s="1034">
        <f t="shared" si="126"/>
        <v>0</v>
      </c>
      <c r="AE44" s="1034">
        <f t="shared" si="127"/>
        <v>372098.6</v>
      </c>
      <c r="AF44" s="1034">
        <f t="shared" si="128"/>
        <v>529000</v>
      </c>
      <c r="AG44" s="1034">
        <f t="shared" si="129"/>
        <v>529000</v>
      </c>
      <c r="AH44" s="1041">
        <f t="shared" si="130"/>
        <v>1</v>
      </c>
      <c r="AI44" s="1014">
        <f t="shared" si="248"/>
        <v>0</v>
      </c>
      <c r="AJ44" s="1025">
        <f t="shared" si="131"/>
        <v>0</v>
      </c>
      <c r="AK44" s="1014">
        <f t="shared" si="249"/>
        <v>0</v>
      </c>
      <c r="AL44" s="1025">
        <f t="shared" si="132"/>
        <v>0</v>
      </c>
      <c r="AM44" s="1014">
        <f t="shared" si="250"/>
        <v>0</v>
      </c>
      <c r="AN44" s="1025">
        <f t="shared" si="133"/>
        <v>0</v>
      </c>
      <c r="AO44" s="1014">
        <f t="shared" si="251"/>
        <v>0</v>
      </c>
      <c r="AP44" s="1014">
        <f t="shared" si="252"/>
        <v>0</v>
      </c>
      <c r="AQ44" s="1014">
        <f t="shared" si="253"/>
        <v>0</v>
      </c>
      <c r="AR44" s="1015">
        <f t="shared" si="254"/>
        <v>0</v>
      </c>
      <c r="AS44" s="1025">
        <f t="shared" si="255"/>
        <v>0</v>
      </c>
      <c r="AT44" s="1014">
        <f t="shared" si="256"/>
        <v>0</v>
      </c>
      <c r="AU44" s="1014">
        <f t="shared" si="257"/>
        <v>0</v>
      </c>
      <c r="AV44" s="1014">
        <f t="shared" si="258"/>
        <v>0</v>
      </c>
      <c r="AW44" s="1014">
        <f t="shared" si="259"/>
        <v>0</v>
      </c>
      <c r="AX44" s="1014">
        <f t="shared" si="260"/>
        <v>0</v>
      </c>
      <c r="AY44" s="1014">
        <f t="shared" si="261"/>
        <v>0</v>
      </c>
      <c r="AZ44" s="1025">
        <f t="shared" si="262"/>
        <v>0</v>
      </c>
      <c r="BA44" s="1014">
        <f t="shared" si="263"/>
        <v>0</v>
      </c>
      <c r="BB44" s="1014">
        <f t="shared" si="264"/>
        <v>0</v>
      </c>
      <c r="BC44" s="1014">
        <f t="shared" si="265"/>
        <v>0</v>
      </c>
      <c r="BD44" s="1014">
        <f t="shared" si="266"/>
        <v>0</v>
      </c>
      <c r="BE44" s="1014">
        <f t="shared" si="267"/>
        <v>0</v>
      </c>
      <c r="BF44" s="1014">
        <f t="shared" si="268"/>
        <v>0</v>
      </c>
      <c r="BG44" s="1025">
        <f t="shared" si="269"/>
        <v>0</v>
      </c>
      <c r="BH44" s="1014">
        <f t="shared" si="270"/>
        <v>0</v>
      </c>
      <c r="BI44" s="1014">
        <f t="shared" si="271"/>
        <v>0</v>
      </c>
      <c r="BJ44" s="1014">
        <f t="shared" si="272"/>
        <v>0</v>
      </c>
      <c r="BK44" s="1014">
        <f t="shared" si="273"/>
        <v>0</v>
      </c>
      <c r="BL44" s="1014">
        <f t="shared" si="274"/>
        <v>0</v>
      </c>
      <c r="BM44" s="1014">
        <f t="shared" si="275"/>
        <v>0</v>
      </c>
      <c r="BN44" s="1025">
        <f t="shared" si="276"/>
        <v>0</v>
      </c>
      <c r="BO44" s="1014">
        <f t="shared" si="277"/>
        <v>0</v>
      </c>
      <c r="BP44" s="1014">
        <f t="shared" si="278"/>
        <v>0</v>
      </c>
      <c r="BQ44" s="1014">
        <f t="shared" si="279"/>
        <v>0</v>
      </c>
      <c r="BR44" s="1014">
        <f t="shared" si="280"/>
        <v>0</v>
      </c>
      <c r="BS44" s="1014">
        <f t="shared" si="281"/>
        <v>0</v>
      </c>
      <c r="BT44" s="1025">
        <f t="shared" si="282"/>
        <v>0</v>
      </c>
      <c r="BU44" s="1014">
        <f t="shared" si="283"/>
        <v>0</v>
      </c>
      <c r="BV44" s="1014">
        <f t="shared" si="284"/>
        <v>0</v>
      </c>
      <c r="BW44" s="1014">
        <f t="shared" si="285"/>
        <v>0</v>
      </c>
      <c r="BX44" s="1014">
        <f t="shared" si="286"/>
        <v>0</v>
      </c>
      <c r="BY44" s="1014">
        <f t="shared" si="287"/>
        <v>0</v>
      </c>
      <c r="BZ44" s="1014">
        <f t="shared" si="288"/>
        <v>0</v>
      </c>
      <c r="CA44" s="1014">
        <f t="shared" si="289"/>
        <v>0</v>
      </c>
      <c r="CB44" s="1014">
        <f t="shared" si="290"/>
        <v>0</v>
      </c>
      <c r="CC44" s="1014">
        <f t="shared" si="291"/>
        <v>0</v>
      </c>
      <c r="CD44" s="1015">
        <f t="shared" si="292"/>
        <v>0</v>
      </c>
      <c r="CE44" s="1014">
        <f t="shared" si="293"/>
        <v>0</v>
      </c>
      <c r="CF44" s="1025">
        <f t="shared" si="294"/>
        <v>0</v>
      </c>
      <c r="CG44" s="1014">
        <f t="shared" si="295"/>
        <v>0</v>
      </c>
      <c r="CH44" s="1014">
        <f t="shared" si="296"/>
        <v>0</v>
      </c>
      <c r="CI44" s="1014">
        <f t="shared" si="297"/>
        <v>0</v>
      </c>
      <c r="CJ44" s="1014">
        <f t="shared" si="298"/>
        <v>0</v>
      </c>
      <c r="CK44" s="1014">
        <f t="shared" si="299"/>
        <v>0</v>
      </c>
      <c r="CL44" s="1014">
        <f t="shared" si="300"/>
        <v>0</v>
      </c>
      <c r="CM44" s="1014">
        <f t="shared" si="301"/>
        <v>0</v>
      </c>
      <c r="CN44" s="1015">
        <f t="shared" si="302"/>
        <v>0</v>
      </c>
      <c r="CO44" s="1014">
        <f t="shared" si="303"/>
        <v>0</v>
      </c>
      <c r="CP44" s="1025">
        <f t="shared" si="304"/>
        <v>0</v>
      </c>
      <c r="CQ44" s="1014">
        <f t="shared" si="305"/>
        <v>0</v>
      </c>
      <c r="CR44" s="1014">
        <f t="shared" si="306"/>
        <v>372098.6</v>
      </c>
      <c r="CS44" s="1014">
        <f t="shared" si="307"/>
        <v>0</v>
      </c>
      <c r="CT44" s="1014">
        <f t="shared" si="308"/>
        <v>0</v>
      </c>
      <c r="CU44" s="1015">
        <f t="shared" si="309"/>
        <v>0</v>
      </c>
      <c r="CV44" s="1030">
        <f t="shared" si="310"/>
        <v>372098.6</v>
      </c>
      <c r="CW44" s="1014">
        <f t="shared" si="311"/>
        <v>0</v>
      </c>
      <c r="CX44" s="1014">
        <f t="shared" si="312"/>
        <v>0</v>
      </c>
      <c r="CY44" s="1014">
        <f t="shared" si="313"/>
        <v>156901.4</v>
      </c>
      <c r="CZ44" s="1014">
        <f t="shared" si="314"/>
        <v>0</v>
      </c>
      <c r="DA44" s="1014">
        <f t="shared" si="315"/>
        <v>0</v>
      </c>
      <c r="DB44" s="1014">
        <f t="shared" si="316"/>
        <v>0</v>
      </c>
      <c r="DC44" s="1014">
        <f t="shared" si="317"/>
        <v>0</v>
      </c>
      <c r="DD44" s="1014">
        <f t="shared" si="318"/>
        <v>0</v>
      </c>
      <c r="DE44" s="1015">
        <f t="shared" si="319"/>
        <v>0</v>
      </c>
      <c r="DF44" s="1014">
        <f t="shared" si="320"/>
        <v>0</v>
      </c>
      <c r="DG44" s="1014">
        <f t="shared" si="321"/>
        <v>0</v>
      </c>
      <c r="DH44" s="1012">
        <f t="shared" si="240"/>
        <v>156901.4</v>
      </c>
      <c r="DI44" s="1014">
        <f t="shared" si="322"/>
        <v>0</v>
      </c>
      <c r="DJ44" s="1014">
        <f t="shared" si="323"/>
        <v>0</v>
      </c>
      <c r="DK44" s="1014">
        <f t="shared" si="324"/>
        <v>0</v>
      </c>
      <c r="DL44" s="1014">
        <f t="shared" si="325"/>
        <v>0</v>
      </c>
      <c r="DM44" s="1014">
        <f t="shared" si="326"/>
        <v>0</v>
      </c>
      <c r="DN44" s="1014">
        <f t="shared" si="327"/>
        <v>0</v>
      </c>
      <c r="DO44" s="1014">
        <f t="shared" si="328"/>
        <v>0</v>
      </c>
      <c r="DP44" s="1014">
        <f t="shared" si="329"/>
        <v>0</v>
      </c>
      <c r="DQ44" s="1020">
        <f t="shared" si="330"/>
        <v>0</v>
      </c>
      <c r="DR44" s="1014">
        <f t="shared" si="331"/>
        <v>0</v>
      </c>
      <c r="DS44" s="1014">
        <f t="shared" si="332"/>
        <v>0</v>
      </c>
      <c r="DT44" s="1025">
        <f t="shared" si="241"/>
        <v>0</v>
      </c>
    </row>
    <row r="45" spans="1:124" x14ac:dyDescent="0.2">
      <c r="A45" s="908" t="s">
        <v>90</v>
      </c>
      <c r="B45" s="908">
        <v>2018</v>
      </c>
      <c r="C45" s="910">
        <f t="shared" si="228"/>
        <v>0</v>
      </c>
      <c r="D45" s="910">
        <f t="shared" si="229"/>
        <v>0</v>
      </c>
      <c r="E45" s="910">
        <f t="shared" si="230"/>
        <v>925000</v>
      </c>
      <c r="F45" s="910">
        <f t="shared" si="242"/>
        <v>0</v>
      </c>
      <c r="G45" s="910">
        <f t="shared" si="231"/>
        <v>0</v>
      </c>
      <c r="H45" s="910">
        <f t="shared" si="232"/>
        <v>0</v>
      </c>
      <c r="I45" s="910">
        <f t="shared" si="233"/>
        <v>0</v>
      </c>
      <c r="J45" s="910">
        <f t="shared" si="243"/>
        <v>0</v>
      </c>
      <c r="K45" s="910">
        <f t="shared" si="244"/>
        <v>0</v>
      </c>
      <c r="L45" s="910">
        <f t="shared" si="245"/>
        <v>0</v>
      </c>
      <c r="M45" s="910">
        <f>SUMPRODUCT((OP_ADEME=A45)*(Bdgt_ADEME))</f>
        <v>0</v>
      </c>
      <c r="N45" s="910">
        <f>SUMPRODUCT((OP_P_Ile=A45)*(Bdgt_P_Ile))</f>
        <v>0</v>
      </c>
      <c r="O45" s="910">
        <f>SUMPRODUCT((OP_EDF=A45)*(Bdgt_EDF))</f>
        <v>0</v>
      </c>
      <c r="P45" s="910">
        <f t="shared" si="246"/>
        <v>0</v>
      </c>
      <c r="Q45" s="910">
        <f>SUMPRODUCT((OP_ETG_SALE=A45)*(Bdgt_ETG_SALE))</f>
        <v>0</v>
      </c>
      <c r="R45" s="910">
        <f>SUMPRODUCT((OP_ST_JO=A45)*(Bdgt_ST_JO))</f>
        <v>0</v>
      </c>
      <c r="S45" s="910">
        <f>SUM(C45:R45)</f>
        <v>925000</v>
      </c>
      <c r="T45" s="1037">
        <f t="shared" si="247"/>
        <v>185000</v>
      </c>
      <c r="U45" s="1034">
        <f t="shared" si="117"/>
        <v>0</v>
      </c>
      <c r="V45" s="1034">
        <f t="shared" si="118"/>
        <v>0</v>
      </c>
      <c r="W45" s="1034">
        <f t="shared" si="119"/>
        <v>0</v>
      </c>
      <c r="X45" s="1034">
        <f t="shared" si="120"/>
        <v>0</v>
      </c>
      <c r="Y45" s="1034">
        <f t="shared" si="121"/>
        <v>0</v>
      </c>
      <c r="Z45" s="1034">
        <f t="shared" si="122"/>
        <v>0</v>
      </c>
      <c r="AA45" s="1034">
        <f t="shared" si="123"/>
        <v>0</v>
      </c>
      <c r="AB45" s="1034">
        <f t="shared" si="124"/>
        <v>0</v>
      </c>
      <c r="AC45" s="1034">
        <f t="shared" si="125"/>
        <v>0</v>
      </c>
      <c r="AD45" s="1034">
        <f t="shared" si="126"/>
        <v>277500</v>
      </c>
      <c r="AE45" s="1034">
        <f t="shared" si="127"/>
        <v>512727.5</v>
      </c>
      <c r="AF45" s="1034">
        <f t="shared" si="128"/>
        <v>740000</v>
      </c>
      <c r="AG45" s="1034">
        <f t="shared" si="129"/>
        <v>740000</v>
      </c>
      <c r="AH45" s="1041">
        <f t="shared" si="130"/>
        <v>0.8</v>
      </c>
      <c r="AI45" s="1014">
        <f t="shared" si="248"/>
        <v>0</v>
      </c>
      <c r="AJ45" s="1025">
        <f t="shared" si="131"/>
        <v>0</v>
      </c>
      <c r="AK45" s="1014">
        <f t="shared" si="249"/>
        <v>0</v>
      </c>
      <c r="AL45" s="1025">
        <f t="shared" si="132"/>
        <v>0</v>
      </c>
      <c r="AM45" s="1014">
        <f t="shared" si="250"/>
        <v>0</v>
      </c>
      <c r="AN45" s="1025">
        <f t="shared" si="133"/>
        <v>0</v>
      </c>
      <c r="AO45" s="1014">
        <f t="shared" si="251"/>
        <v>0</v>
      </c>
      <c r="AP45" s="1014">
        <f t="shared" si="252"/>
        <v>0</v>
      </c>
      <c r="AQ45" s="1014">
        <f t="shared" si="253"/>
        <v>0</v>
      </c>
      <c r="AR45" s="1015">
        <f t="shared" si="254"/>
        <v>0</v>
      </c>
      <c r="AS45" s="1025">
        <f t="shared" si="255"/>
        <v>0</v>
      </c>
      <c r="AT45" s="1014">
        <f t="shared" si="256"/>
        <v>0</v>
      </c>
      <c r="AU45" s="1014">
        <f t="shared" si="257"/>
        <v>0</v>
      </c>
      <c r="AV45" s="1014">
        <f t="shared" si="258"/>
        <v>0</v>
      </c>
      <c r="AW45" s="1014">
        <f t="shared" si="259"/>
        <v>0</v>
      </c>
      <c r="AX45" s="1014">
        <f t="shared" si="260"/>
        <v>0</v>
      </c>
      <c r="AY45" s="1014">
        <f t="shared" si="261"/>
        <v>0</v>
      </c>
      <c r="AZ45" s="1025">
        <f t="shared" si="262"/>
        <v>0</v>
      </c>
      <c r="BA45" s="1014">
        <f t="shared" si="263"/>
        <v>0</v>
      </c>
      <c r="BB45" s="1014">
        <f t="shared" si="264"/>
        <v>0</v>
      </c>
      <c r="BC45" s="1014">
        <f t="shared" si="265"/>
        <v>0</v>
      </c>
      <c r="BD45" s="1014">
        <f t="shared" si="266"/>
        <v>0</v>
      </c>
      <c r="BE45" s="1014">
        <f t="shared" si="267"/>
        <v>0</v>
      </c>
      <c r="BF45" s="1014">
        <f t="shared" si="268"/>
        <v>0</v>
      </c>
      <c r="BG45" s="1025">
        <f t="shared" si="269"/>
        <v>0</v>
      </c>
      <c r="BH45" s="1014">
        <f t="shared" si="270"/>
        <v>0</v>
      </c>
      <c r="BI45" s="1014">
        <f t="shared" si="271"/>
        <v>0</v>
      </c>
      <c r="BJ45" s="1014">
        <f t="shared" si="272"/>
        <v>0</v>
      </c>
      <c r="BK45" s="1014">
        <f t="shared" si="273"/>
        <v>0</v>
      </c>
      <c r="BL45" s="1014">
        <f t="shared" si="274"/>
        <v>0</v>
      </c>
      <c r="BM45" s="1014">
        <f t="shared" si="275"/>
        <v>0</v>
      </c>
      <c r="BN45" s="1025">
        <f t="shared" si="276"/>
        <v>0</v>
      </c>
      <c r="BO45" s="1014">
        <f t="shared" si="277"/>
        <v>0</v>
      </c>
      <c r="BP45" s="1014">
        <f t="shared" si="278"/>
        <v>0</v>
      </c>
      <c r="BQ45" s="1014">
        <f t="shared" si="279"/>
        <v>0</v>
      </c>
      <c r="BR45" s="1014">
        <f t="shared" si="280"/>
        <v>0</v>
      </c>
      <c r="BS45" s="1014">
        <f t="shared" si="281"/>
        <v>0</v>
      </c>
      <c r="BT45" s="1025">
        <f t="shared" si="282"/>
        <v>0</v>
      </c>
      <c r="BU45" s="1014">
        <f t="shared" si="283"/>
        <v>0</v>
      </c>
      <c r="BV45" s="1014">
        <f t="shared" si="284"/>
        <v>0</v>
      </c>
      <c r="BW45" s="1014">
        <f t="shared" si="285"/>
        <v>0</v>
      </c>
      <c r="BX45" s="1014">
        <f t="shared" si="286"/>
        <v>0</v>
      </c>
      <c r="BY45" s="1014">
        <f t="shared" si="287"/>
        <v>0</v>
      </c>
      <c r="BZ45" s="1014">
        <f t="shared" si="288"/>
        <v>0</v>
      </c>
      <c r="CA45" s="1014">
        <f t="shared" si="289"/>
        <v>0</v>
      </c>
      <c r="CB45" s="1014">
        <f t="shared" si="290"/>
        <v>0</v>
      </c>
      <c r="CC45" s="1014">
        <f t="shared" si="291"/>
        <v>0</v>
      </c>
      <c r="CD45" s="1015">
        <f t="shared" si="292"/>
        <v>0</v>
      </c>
      <c r="CE45" s="1014">
        <f t="shared" si="293"/>
        <v>0</v>
      </c>
      <c r="CF45" s="1025">
        <f t="shared" si="294"/>
        <v>0</v>
      </c>
      <c r="CG45" s="1014">
        <f t="shared" si="295"/>
        <v>0</v>
      </c>
      <c r="CH45" s="1014">
        <f t="shared" si="296"/>
        <v>277500</v>
      </c>
      <c r="CI45" s="1014">
        <f t="shared" si="297"/>
        <v>0</v>
      </c>
      <c r="CJ45" s="1014">
        <f t="shared" si="298"/>
        <v>0</v>
      </c>
      <c r="CK45" s="1014">
        <f t="shared" si="299"/>
        <v>0</v>
      </c>
      <c r="CL45" s="1014">
        <f t="shared" si="300"/>
        <v>0</v>
      </c>
      <c r="CM45" s="1014">
        <f t="shared" si="301"/>
        <v>0</v>
      </c>
      <c r="CN45" s="1015">
        <f t="shared" si="302"/>
        <v>0</v>
      </c>
      <c r="CO45" s="1014">
        <f t="shared" si="303"/>
        <v>0</v>
      </c>
      <c r="CP45" s="1025">
        <f t="shared" si="304"/>
        <v>277500</v>
      </c>
      <c r="CQ45" s="1014">
        <f t="shared" si="305"/>
        <v>0</v>
      </c>
      <c r="CR45" s="1014">
        <f t="shared" si="306"/>
        <v>235227.5</v>
      </c>
      <c r="CS45" s="1014">
        <f t="shared" si="307"/>
        <v>0</v>
      </c>
      <c r="CT45" s="1014">
        <f t="shared" si="308"/>
        <v>0</v>
      </c>
      <c r="CU45" s="1015">
        <f t="shared" si="309"/>
        <v>0</v>
      </c>
      <c r="CV45" s="1030">
        <f t="shared" si="310"/>
        <v>235227.5</v>
      </c>
      <c r="CW45" s="1014">
        <f t="shared" si="311"/>
        <v>0</v>
      </c>
      <c r="CX45" s="1014">
        <f t="shared" si="312"/>
        <v>0</v>
      </c>
      <c r="CY45" s="1014">
        <f t="shared" si="313"/>
        <v>227272.5</v>
      </c>
      <c r="CZ45" s="1014">
        <f t="shared" si="314"/>
        <v>0</v>
      </c>
      <c r="DA45" s="1014">
        <f t="shared" si="315"/>
        <v>0</v>
      </c>
      <c r="DB45" s="1014">
        <f t="shared" si="316"/>
        <v>0</v>
      </c>
      <c r="DC45" s="1014">
        <f t="shared" si="317"/>
        <v>0</v>
      </c>
      <c r="DD45" s="1014">
        <f t="shared" si="318"/>
        <v>0</v>
      </c>
      <c r="DE45" s="1015">
        <f t="shared" si="319"/>
        <v>0</v>
      </c>
      <c r="DF45" s="1014">
        <f t="shared" si="320"/>
        <v>0</v>
      </c>
      <c r="DG45" s="1014">
        <f t="shared" si="321"/>
        <v>0</v>
      </c>
      <c r="DH45" s="1012">
        <f t="shared" si="240"/>
        <v>227272.5</v>
      </c>
      <c r="DI45" s="1014">
        <f t="shared" si="322"/>
        <v>0</v>
      </c>
      <c r="DJ45" s="1014">
        <f t="shared" si="323"/>
        <v>0</v>
      </c>
      <c r="DK45" s="1014">
        <f t="shared" si="324"/>
        <v>0</v>
      </c>
      <c r="DL45" s="1014">
        <f t="shared" si="325"/>
        <v>0</v>
      </c>
      <c r="DM45" s="1014">
        <f t="shared" si="326"/>
        <v>0</v>
      </c>
      <c r="DN45" s="1014">
        <f t="shared" si="327"/>
        <v>0</v>
      </c>
      <c r="DO45" s="1014">
        <f t="shared" si="328"/>
        <v>0</v>
      </c>
      <c r="DP45" s="1014">
        <f t="shared" si="329"/>
        <v>0</v>
      </c>
      <c r="DQ45" s="1020">
        <f t="shared" si="330"/>
        <v>0</v>
      </c>
      <c r="DR45" s="1014">
        <f t="shared" si="331"/>
        <v>0</v>
      </c>
      <c r="DS45" s="1014">
        <f t="shared" si="332"/>
        <v>0</v>
      </c>
      <c r="DT45" s="1025">
        <f t="shared" si="241"/>
        <v>0</v>
      </c>
    </row>
    <row r="46" spans="1:124" x14ac:dyDescent="0.2">
      <c r="A46" s="908" t="s">
        <v>316</v>
      </c>
      <c r="B46" s="908">
        <v>2018</v>
      </c>
      <c r="C46" s="910">
        <f t="shared" si="228"/>
        <v>0</v>
      </c>
      <c r="D46" s="910">
        <f t="shared" si="229"/>
        <v>0</v>
      </c>
      <c r="E46" s="910">
        <f t="shared" si="230"/>
        <v>0</v>
      </c>
      <c r="F46" s="910">
        <f t="shared" si="242"/>
        <v>0</v>
      </c>
      <c r="G46" s="910">
        <f t="shared" si="231"/>
        <v>0</v>
      </c>
      <c r="H46" s="910">
        <f t="shared" si="232"/>
        <v>0</v>
      </c>
      <c r="I46" s="910">
        <f t="shared" si="233"/>
        <v>0</v>
      </c>
      <c r="J46" s="910">
        <f t="shared" si="243"/>
        <v>0</v>
      </c>
      <c r="K46" s="910">
        <f t="shared" si="244"/>
        <v>0</v>
      </c>
      <c r="L46" s="910">
        <f t="shared" si="245"/>
        <v>0</v>
      </c>
      <c r="M46" s="910">
        <f>SUMPRODUCT((OP_ADEME=A46)*(Bdgt_ADEME))</f>
        <v>0</v>
      </c>
      <c r="N46" s="910">
        <f>SUMPRODUCT((OP_P_Ile=A46)*(Bdgt_P_Ile))</f>
        <v>0</v>
      </c>
      <c r="O46" s="910">
        <f>SUMPRODUCT((OP_EDF=A46)*(Bdgt_EDF))</f>
        <v>27159.557249999998</v>
      </c>
      <c r="P46" s="910">
        <f t="shared" si="246"/>
        <v>0</v>
      </c>
      <c r="Q46" s="910">
        <f>SUMPRODUCT((OP_ETG_SALE=A46)*(Bdgt_ETG_SALE))</f>
        <v>0</v>
      </c>
      <c r="R46" s="910">
        <f>SUMPRODUCT((OP_ST_JO=A46)*(Bdgt_ST_JO))</f>
        <v>0</v>
      </c>
      <c r="S46" s="910">
        <f>SUM(C46:R46)</f>
        <v>27159.557249999998</v>
      </c>
      <c r="T46" s="1037">
        <f t="shared" si="247"/>
        <v>-2.7500000032887328E-3</v>
      </c>
      <c r="U46" s="1034">
        <f t="shared" si="117"/>
        <v>0</v>
      </c>
      <c r="V46" s="1034">
        <f t="shared" si="118"/>
        <v>0</v>
      </c>
      <c r="W46" s="1034">
        <f t="shared" si="119"/>
        <v>0</v>
      </c>
      <c r="X46" s="1034">
        <f t="shared" si="120"/>
        <v>0</v>
      </c>
      <c r="Y46" s="1034">
        <f t="shared" si="121"/>
        <v>0</v>
      </c>
      <c r="Z46" s="1034">
        <f t="shared" si="122"/>
        <v>0</v>
      </c>
      <c r="AA46" s="1034">
        <f t="shared" si="123"/>
        <v>0</v>
      </c>
      <c r="AB46" s="1034">
        <f t="shared" si="124"/>
        <v>0</v>
      </c>
      <c r="AC46" s="1034">
        <f t="shared" si="125"/>
        <v>0</v>
      </c>
      <c r="AD46" s="1034">
        <f t="shared" si="126"/>
        <v>0</v>
      </c>
      <c r="AE46" s="1034">
        <f t="shared" si="127"/>
        <v>0</v>
      </c>
      <c r="AF46" s="1034">
        <f t="shared" si="128"/>
        <v>27159.56</v>
      </c>
      <c r="AG46" s="1034">
        <f t="shared" si="129"/>
        <v>27159.56</v>
      </c>
      <c r="AH46" s="1041">
        <f t="shared" si="130"/>
        <v>1.0000001012534916</v>
      </c>
      <c r="AI46" s="1014">
        <f t="shared" si="248"/>
        <v>0</v>
      </c>
      <c r="AJ46" s="1025">
        <f t="shared" si="131"/>
        <v>0</v>
      </c>
      <c r="AK46" s="1014">
        <f t="shared" si="249"/>
        <v>0</v>
      </c>
      <c r="AL46" s="1025">
        <f t="shared" si="132"/>
        <v>0</v>
      </c>
      <c r="AM46" s="1014">
        <f t="shared" si="250"/>
        <v>0</v>
      </c>
      <c r="AN46" s="1025">
        <f t="shared" si="133"/>
        <v>0</v>
      </c>
      <c r="AO46" s="1014">
        <f t="shared" si="251"/>
        <v>0</v>
      </c>
      <c r="AP46" s="1014">
        <f t="shared" si="252"/>
        <v>0</v>
      </c>
      <c r="AQ46" s="1014">
        <f t="shared" si="253"/>
        <v>0</v>
      </c>
      <c r="AR46" s="1015">
        <f t="shared" si="254"/>
        <v>0</v>
      </c>
      <c r="AS46" s="1025">
        <f t="shared" si="255"/>
        <v>0</v>
      </c>
      <c r="AT46" s="1014">
        <f t="shared" si="256"/>
        <v>0</v>
      </c>
      <c r="AU46" s="1014">
        <f t="shared" si="257"/>
        <v>0</v>
      </c>
      <c r="AV46" s="1014">
        <f t="shared" si="258"/>
        <v>0</v>
      </c>
      <c r="AW46" s="1014">
        <f t="shared" si="259"/>
        <v>0</v>
      </c>
      <c r="AX46" s="1014">
        <f t="shared" si="260"/>
        <v>0</v>
      </c>
      <c r="AY46" s="1014">
        <f t="shared" si="261"/>
        <v>0</v>
      </c>
      <c r="AZ46" s="1025">
        <f t="shared" si="262"/>
        <v>0</v>
      </c>
      <c r="BA46" s="1014">
        <f t="shared" si="263"/>
        <v>0</v>
      </c>
      <c r="BB46" s="1014">
        <f t="shared" si="264"/>
        <v>0</v>
      </c>
      <c r="BC46" s="1014">
        <f t="shared" si="265"/>
        <v>0</v>
      </c>
      <c r="BD46" s="1014">
        <f t="shared" si="266"/>
        <v>0</v>
      </c>
      <c r="BE46" s="1014">
        <f t="shared" si="267"/>
        <v>0</v>
      </c>
      <c r="BF46" s="1014">
        <f t="shared" si="268"/>
        <v>0</v>
      </c>
      <c r="BG46" s="1025">
        <f t="shared" si="269"/>
        <v>0</v>
      </c>
      <c r="BH46" s="1014">
        <f t="shared" si="270"/>
        <v>0</v>
      </c>
      <c r="BI46" s="1014">
        <f t="shared" si="271"/>
        <v>0</v>
      </c>
      <c r="BJ46" s="1014">
        <f t="shared" si="272"/>
        <v>0</v>
      </c>
      <c r="BK46" s="1014">
        <f t="shared" si="273"/>
        <v>0</v>
      </c>
      <c r="BL46" s="1014">
        <f t="shared" si="274"/>
        <v>0</v>
      </c>
      <c r="BM46" s="1014">
        <f t="shared" si="275"/>
        <v>0</v>
      </c>
      <c r="BN46" s="1025">
        <f t="shared" si="276"/>
        <v>0</v>
      </c>
      <c r="BO46" s="1014">
        <f t="shared" si="277"/>
        <v>0</v>
      </c>
      <c r="BP46" s="1014">
        <f t="shared" si="278"/>
        <v>0</v>
      </c>
      <c r="BQ46" s="1014">
        <f t="shared" si="279"/>
        <v>0</v>
      </c>
      <c r="BR46" s="1014">
        <f t="shared" si="280"/>
        <v>0</v>
      </c>
      <c r="BS46" s="1014">
        <f t="shared" si="281"/>
        <v>0</v>
      </c>
      <c r="BT46" s="1025">
        <f t="shared" si="282"/>
        <v>0</v>
      </c>
      <c r="BU46" s="1014">
        <f t="shared" si="283"/>
        <v>0</v>
      </c>
      <c r="BV46" s="1014">
        <f t="shared" si="284"/>
        <v>0</v>
      </c>
      <c r="BW46" s="1014">
        <f t="shared" si="285"/>
        <v>0</v>
      </c>
      <c r="BX46" s="1014">
        <f t="shared" si="286"/>
        <v>0</v>
      </c>
      <c r="BY46" s="1014">
        <f t="shared" si="287"/>
        <v>0</v>
      </c>
      <c r="BZ46" s="1014">
        <f t="shared" si="288"/>
        <v>0</v>
      </c>
      <c r="CA46" s="1014">
        <f t="shared" si="289"/>
        <v>0</v>
      </c>
      <c r="CB46" s="1014">
        <f t="shared" si="290"/>
        <v>0</v>
      </c>
      <c r="CC46" s="1014">
        <f t="shared" si="291"/>
        <v>0</v>
      </c>
      <c r="CD46" s="1015">
        <f t="shared" si="292"/>
        <v>0</v>
      </c>
      <c r="CE46" s="1014">
        <f t="shared" si="293"/>
        <v>0</v>
      </c>
      <c r="CF46" s="1025">
        <f t="shared" si="294"/>
        <v>0</v>
      </c>
      <c r="CG46" s="1014">
        <f t="shared" si="295"/>
        <v>0</v>
      </c>
      <c r="CH46" s="1014">
        <f t="shared" si="296"/>
        <v>0</v>
      </c>
      <c r="CI46" s="1014">
        <f t="shared" si="297"/>
        <v>0</v>
      </c>
      <c r="CJ46" s="1014">
        <f t="shared" si="298"/>
        <v>0</v>
      </c>
      <c r="CK46" s="1014">
        <f t="shared" si="299"/>
        <v>0</v>
      </c>
      <c r="CL46" s="1014">
        <f t="shared" si="300"/>
        <v>0</v>
      </c>
      <c r="CM46" s="1014">
        <f t="shared" si="301"/>
        <v>0</v>
      </c>
      <c r="CN46" s="1015">
        <f t="shared" si="302"/>
        <v>0</v>
      </c>
      <c r="CO46" s="1014">
        <f t="shared" si="303"/>
        <v>0</v>
      </c>
      <c r="CP46" s="1025">
        <f t="shared" si="304"/>
        <v>0</v>
      </c>
      <c r="CQ46" s="1014">
        <f t="shared" si="305"/>
        <v>0</v>
      </c>
      <c r="CR46" s="1014">
        <f t="shared" si="306"/>
        <v>0</v>
      </c>
      <c r="CS46" s="1014">
        <f t="shared" si="307"/>
        <v>0</v>
      </c>
      <c r="CT46" s="1014">
        <f t="shared" si="308"/>
        <v>0</v>
      </c>
      <c r="CU46" s="1015">
        <f t="shared" si="309"/>
        <v>0</v>
      </c>
      <c r="CV46" s="1030">
        <f t="shared" si="310"/>
        <v>0</v>
      </c>
      <c r="CW46" s="1014">
        <f t="shared" si="311"/>
        <v>0</v>
      </c>
      <c r="CX46" s="1014">
        <f t="shared" si="312"/>
        <v>0</v>
      </c>
      <c r="CY46" s="1014">
        <f t="shared" si="313"/>
        <v>0</v>
      </c>
      <c r="CZ46" s="1014">
        <f t="shared" si="314"/>
        <v>0</v>
      </c>
      <c r="DA46" s="1014">
        <f t="shared" si="315"/>
        <v>0</v>
      </c>
      <c r="DB46" s="1014">
        <f t="shared" si="316"/>
        <v>0</v>
      </c>
      <c r="DC46" s="1014">
        <f t="shared" si="317"/>
        <v>0</v>
      </c>
      <c r="DD46" s="1014">
        <f t="shared" si="318"/>
        <v>0</v>
      </c>
      <c r="DE46" s="1015">
        <f t="shared" si="319"/>
        <v>27159.56</v>
      </c>
      <c r="DF46" s="1014">
        <f t="shared" si="320"/>
        <v>0</v>
      </c>
      <c r="DG46" s="1014">
        <f t="shared" si="321"/>
        <v>0</v>
      </c>
      <c r="DH46" s="1023">
        <f t="shared" si="240"/>
        <v>27159.56</v>
      </c>
      <c r="DI46" s="1014">
        <f t="shared" si="322"/>
        <v>0</v>
      </c>
      <c r="DJ46" s="1014">
        <f t="shared" si="323"/>
        <v>0</v>
      </c>
      <c r="DK46" s="1014">
        <f t="shared" si="324"/>
        <v>0</v>
      </c>
      <c r="DL46" s="1014">
        <f t="shared" si="325"/>
        <v>0</v>
      </c>
      <c r="DM46" s="1014">
        <f t="shared" si="326"/>
        <v>0</v>
      </c>
      <c r="DN46" s="1014">
        <f t="shared" si="327"/>
        <v>0</v>
      </c>
      <c r="DO46" s="1014">
        <f t="shared" si="328"/>
        <v>0</v>
      </c>
      <c r="DP46" s="1014">
        <f t="shared" si="329"/>
        <v>0</v>
      </c>
      <c r="DQ46" s="1020">
        <f t="shared" si="330"/>
        <v>0</v>
      </c>
      <c r="DR46" s="1014">
        <f t="shared" si="331"/>
        <v>0</v>
      </c>
      <c r="DS46" s="1014">
        <f t="shared" si="332"/>
        <v>0</v>
      </c>
      <c r="DT46" s="1025">
        <f t="shared" si="241"/>
        <v>0</v>
      </c>
    </row>
    <row r="47" spans="1:124" x14ac:dyDescent="0.2">
      <c r="A47" s="908" t="s">
        <v>241</v>
      </c>
      <c r="B47" s="908">
        <v>2019</v>
      </c>
      <c r="C47" s="910">
        <f t="shared" ref="C47:C77" si="347">SUMPRODUCT((OP_FRAFU=A47)*(Bdgt_FRAFU))</f>
        <v>0</v>
      </c>
      <c r="D47" s="910">
        <f t="shared" ref="D47:D77" si="348">SUMPRODUCT((OP_Rehab=A47)*(Bdgt_Rehab))</f>
        <v>0</v>
      </c>
      <c r="E47" s="910">
        <f t="shared" ref="E47:E77" si="349">SUMPRODUCT((OP_LBU=A47)*(Bdgt_LBU))</f>
        <v>672000</v>
      </c>
      <c r="F47" s="910">
        <f t="shared" si="242"/>
        <v>0</v>
      </c>
      <c r="G47" s="910">
        <f t="shared" ref="G47:G77" si="350">SUMPRODUCT((OP_CAF=A47)*(Bdgt_CAF))</f>
        <v>0</v>
      </c>
      <c r="H47" s="910">
        <f t="shared" ref="H47:H77" si="351">SUMPRODUCT((OP_Region=A47)*(Bdgt_Region))</f>
        <v>0</v>
      </c>
      <c r="I47" s="910">
        <f t="shared" ref="I47:I77" si="352">SUMPRODUCT((OP_Rectorat=A47)*(Bdgt_Rectorat))</f>
        <v>0</v>
      </c>
      <c r="J47" s="910">
        <f t="shared" si="243"/>
        <v>0</v>
      </c>
      <c r="K47" s="910">
        <f t="shared" si="244"/>
        <v>0</v>
      </c>
      <c r="L47" s="910">
        <f t="shared" si="245"/>
        <v>0</v>
      </c>
      <c r="M47" s="910">
        <f t="shared" ref="M47:M77" si="353">SUMPRODUCT((OP_ADEME=A47)*(Bdgt_ADEME))</f>
        <v>0</v>
      </c>
      <c r="N47" s="910">
        <f t="shared" ref="N47:N77" si="354">SUMPRODUCT((OP_P_Ile=A47)*(Bdgt_P_Ile))</f>
        <v>0</v>
      </c>
      <c r="O47" s="910">
        <f t="shared" ref="O47:O77" si="355">SUMPRODUCT((OP_EDF=A47)*(Bdgt_EDF))</f>
        <v>164216.22999999998</v>
      </c>
      <c r="P47" s="910">
        <f t="shared" si="246"/>
        <v>0</v>
      </c>
      <c r="Q47" s="910">
        <f t="shared" ref="Q47:Q77" si="356">SUMPRODUCT((OP_ETG_SALE=A47)*(Bdgt_ETG_SALE))</f>
        <v>0</v>
      </c>
      <c r="R47" s="910">
        <f t="shared" ref="R47:R77" si="357">SUMPRODUCT((OP_ST_JO=A47)*(Bdgt_ST_JO))</f>
        <v>0</v>
      </c>
      <c r="S47" s="910">
        <f t="shared" ref="S47:S77" si="358">SUM(C47:R47)</f>
        <v>836216.23</v>
      </c>
      <c r="T47" s="1037">
        <f t="shared" si="247"/>
        <v>206517.78000000003</v>
      </c>
      <c r="U47" s="1034">
        <f t="shared" si="117"/>
        <v>0</v>
      </c>
      <c r="V47" s="1034">
        <f t="shared" si="118"/>
        <v>0</v>
      </c>
      <c r="W47" s="1034">
        <f t="shared" si="119"/>
        <v>0</v>
      </c>
      <c r="X47" s="1034">
        <f t="shared" si="120"/>
        <v>0</v>
      </c>
      <c r="Y47" s="1034">
        <f t="shared" si="121"/>
        <v>0</v>
      </c>
      <c r="Z47" s="1034">
        <f t="shared" si="122"/>
        <v>0</v>
      </c>
      <c r="AA47" s="1034">
        <f t="shared" si="123"/>
        <v>0</v>
      </c>
      <c r="AB47" s="1034">
        <f t="shared" si="124"/>
        <v>0</v>
      </c>
      <c r="AC47" s="1034">
        <f t="shared" si="125"/>
        <v>0</v>
      </c>
      <c r="AD47" s="1034">
        <f t="shared" si="126"/>
        <v>0</v>
      </c>
      <c r="AE47" s="1034">
        <f t="shared" si="127"/>
        <v>201600</v>
      </c>
      <c r="AF47" s="1034">
        <f t="shared" si="128"/>
        <v>470563.8</v>
      </c>
      <c r="AG47" s="1034">
        <f t="shared" si="129"/>
        <v>629698.44999999995</v>
      </c>
      <c r="AH47" s="1041">
        <f t="shared" si="130"/>
        <v>0.75303304026997897</v>
      </c>
      <c r="AI47" s="1014">
        <f t="shared" si="248"/>
        <v>0</v>
      </c>
      <c r="AJ47" s="1025">
        <f t="shared" si="131"/>
        <v>0</v>
      </c>
      <c r="AK47" s="1014">
        <f t="shared" si="249"/>
        <v>0</v>
      </c>
      <c r="AL47" s="1025">
        <f t="shared" si="132"/>
        <v>0</v>
      </c>
      <c r="AM47" s="1014">
        <f t="shared" si="250"/>
        <v>0</v>
      </c>
      <c r="AN47" s="1025">
        <f t="shared" si="133"/>
        <v>0</v>
      </c>
      <c r="AO47" s="1014">
        <f t="shared" si="251"/>
        <v>0</v>
      </c>
      <c r="AP47" s="1014">
        <f t="shared" si="252"/>
        <v>0</v>
      </c>
      <c r="AQ47" s="1014">
        <f t="shared" si="253"/>
        <v>0</v>
      </c>
      <c r="AR47" s="1015">
        <f t="shared" si="254"/>
        <v>0</v>
      </c>
      <c r="AS47" s="1025">
        <f t="shared" si="255"/>
        <v>0</v>
      </c>
      <c r="AT47" s="1014">
        <f t="shared" si="256"/>
        <v>0</v>
      </c>
      <c r="AU47" s="1014">
        <f t="shared" si="257"/>
        <v>0</v>
      </c>
      <c r="AV47" s="1014">
        <f t="shared" si="258"/>
        <v>0</v>
      </c>
      <c r="AW47" s="1014">
        <f t="shared" si="259"/>
        <v>0</v>
      </c>
      <c r="AX47" s="1014">
        <f t="shared" si="260"/>
        <v>0</v>
      </c>
      <c r="AY47" s="1014">
        <f t="shared" si="261"/>
        <v>0</v>
      </c>
      <c r="AZ47" s="1025">
        <f t="shared" si="262"/>
        <v>0</v>
      </c>
      <c r="BA47" s="1014">
        <f t="shared" si="263"/>
        <v>0</v>
      </c>
      <c r="BB47" s="1014">
        <f t="shared" si="264"/>
        <v>0</v>
      </c>
      <c r="BC47" s="1014">
        <f t="shared" si="265"/>
        <v>0</v>
      </c>
      <c r="BD47" s="1014">
        <f t="shared" si="266"/>
        <v>0</v>
      </c>
      <c r="BE47" s="1014">
        <f t="shared" si="267"/>
        <v>0</v>
      </c>
      <c r="BF47" s="1014">
        <f t="shared" si="268"/>
        <v>0</v>
      </c>
      <c r="BG47" s="1025">
        <f t="shared" si="269"/>
        <v>0</v>
      </c>
      <c r="BH47" s="1014">
        <f t="shared" si="270"/>
        <v>0</v>
      </c>
      <c r="BI47" s="1014">
        <f t="shared" si="271"/>
        <v>0</v>
      </c>
      <c r="BJ47" s="1014">
        <f t="shared" si="272"/>
        <v>0</v>
      </c>
      <c r="BK47" s="1014">
        <f t="shared" si="273"/>
        <v>0</v>
      </c>
      <c r="BL47" s="1014">
        <f t="shared" si="274"/>
        <v>0</v>
      </c>
      <c r="BM47" s="1014">
        <f t="shared" si="275"/>
        <v>0</v>
      </c>
      <c r="BN47" s="1025">
        <f t="shared" si="276"/>
        <v>0</v>
      </c>
      <c r="BO47" s="1014">
        <f t="shared" si="277"/>
        <v>0</v>
      </c>
      <c r="BP47" s="1014">
        <f t="shared" si="278"/>
        <v>0</v>
      </c>
      <c r="BQ47" s="1014">
        <f t="shared" si="279"/>
        <v>0</v>
      </c>
      <c r="BR47" s="1014">
        <f t="shared" si="280"/>
        <v>0</v>
      </c>
      <c r="BS47" s="1014">
        <f t="shared" si="281"/>
        <v>0</v>
      </c>
      <c r="BT47" s="1025">
        <f t="shared" si="282"/>
        <v>0</v>
      </c>
      <c r="BU47" s="1014">
        <f t="shared" si="283"/>
        <v>0</v>
      </c>
      <c r="BV47" s="1014">
        <f t="shared" si="284"/>
        <v>0</v>
      </c>
      <c r="BW47" s="1014">
        <f t="shared" si="285"/>
        <v>0</v>
      </c>
      <c r="BX47" s="1014">
        <f t="shared" si="286"/>
        <v>0</v>
      </c>
      <c r="BY47" s="1014">
        <f t="shared" si="287"/>
        <v>0</v>
      </c>
      <c r="BZ47" s="1014">
        <f t="shared" si="288"/>
        <v>0</v>
      </c>
      <c r="CA47" s="1014">
        <f t="shared" si="289"/>
        <v>0</v>
      </c>
      <c r="CB47" s="1014">
        <f t="shared" si="290"/>
        <v>0</v>
      </c>
      <c r="CC47" s="1014">
        <f t="shared" si="291"/>
        <v>0</v>
      </c>
      <c r="CD47" s="1015">
        <f t="shared" si="292"/>
        <v>0</v>
      </c>
      <c r="CE47" s="1014">
        <f t="shared" si="293"/>
        <v>0</v>
      </c>
      <c r="CF47" s="1025">
        <f t="shared" si="294"/>
        <v>0</v>
      </c>
      <c r="CG47" s="1014">
        <f t="shared" si="295"/>
        <v>0</v>
      </c>
      <c r="CH47" s="1014">
        <f t="shared" si="296"/>
        <v>0</v>
      </c>
      <c r="CI47" s="1014">
        <f t="shared" si="297"/>
        <v>0</v>
      </c>
      <c r="CJ47" s="1014">
        <f t="shared" si="298"/>
        <v>0</v>
      </c>
      <c r="CK47" s="1014">
        <f t="shared" si="299"/>
        <v>0</v>
      </c>
      <c r="CL47" s="1014">
        <f t="shared" si="300"/>
        <v>0</v>
      </c>
      <c r="CM47" s="1014">
        <f t="shared" si="301"/>
        <v>0</v>
      </c>
      <c r="CN47" s="1015">
        <f t="shared" si="302"/>
        <v>0</v>
      </c>
      <c r="CO47" s="1014">
        <f t="shared" si="303"/>
        <v>0</v>
      </c>
      <c r="CP47" s="1025">
        <f t="shared" si="304"/>
        <v>0</v>
      </c>
      <c r="CQ47" s="1014">
        <f t="shared" si="305"/>
        <v>0</v>
      </c>
      <c r="CR47" s="1014">
        <f t="shared" si="306"/>
        <v>201600</v>
      </c>
      <c r="CS47" s="1014">
        <f t="shared" si="307"/>
        <v>0</v>
      </c>
      <c r="CT47" s="1014">
        <f t="shared" si="308"/>
        <v>0</v>
      </c>
      <c r="CU47" s="1015">
        <f t="shared" si="309"/>
        <v>0</v>
      </c>
      <c r="CV47" s="1030">
        <f t="shared" si="310"/>
        <v>201600</v>
      </c>
      <c r="CW47" s="1014">
        <f t="shared" si="311"/>
        <v>0</v>
      </c>
      <c r="CX47" s="1014">
        <f t="shared" si="312"/>
        <v>0</v>
      </c>
      <c r="CY47" s="1014">
        <f t="shared" si="313"/>
        <v>268963.8</v>
      </c>
      <c r="CZ47" s="1014">
        <f t="shared" si="314"/>
        <v>0</v>
      </c>
      <c r="DA47" s="1014">
        <f t="shared" si="315"/>
        <v>0</v>
      </c>
      <c r="DB47" s="1014">
        <f t="shared" si="316"/>
        <v>0</v>
      </c>
      <c r="DC47" s="1014">
        <f t="shared" si="317"/>
        <v>0</v>
      </c>
      <c r="DD47" s="1014">
        <f t="shared" si="318"/>
        <v>0</v>
      </c>
      <c r="DE47" s="1015">
        <f t="shared" si="319"/>
        <v>0</v>
      </c>
      <c r="DF47" s="1014">
        <f t="shared" si="320"/>
        <v>0</v>
      </c>
      <c r="DG47" s="1014">
        <f t="shared" si="321"/>
        <v>0</v>
      </c>
      <c r="DH47" s="1012">
        <f t="shared" ref="DH47:DH77" si="359">SUM(CW47:DG47)</f>
        <v>268963.8</v>
      </c>
      <c r="DI47" s="1014">
        <f t="shared" si="322"/>
        <v>0</v>
      </c>
      <c r="DJ47" s="1014">
        <f t="shared" si="323"/>
        <v>0</v>
      </c>
      <c r="DK47" s="1014">
        <f t="shared" si="324"/>
        <v>67036.2</v>
      </c>
      <c r="DL47" s="1014">
        <f t="shared" si="325"/>
        <v>0</v>
      </c>
      <c r="DM47" s="1014">
        <f t="shared" si="326"/>
        <v>0</v>
      </c>
      <c r="DN47" s="1014">
        <f t="shared" si="327"/>
        <v>0</v>
      </c>
      <c r="DO47" s="1014">
        <f t="shared" si="328"/>
        <v>0</v>
      </c>
      <c r="DP47" s="1014">
        <f t="shared" si="329"/>
        <v>0</v>
      </c>
      <c r="DQ47" s="1020">
        <f t="shared" si="330"/>
        <v>92098.45</v>
      </c>
      <c r="DR47" s="1014">
        <f t="shared" si="331"/>
        <v>0</v>
      </c>
      <c r="DS47" s="1014">
        <f t="shared" si="332"/>
        <v>0</v>
      </c>
      <c r="DT47" s="1025">
        <f t="shared" ref="DT47:DT77" si="360">SUM(DI47:DS47)</f>
        <v>159134.65</v>
      </c>
    </row>
    <row r="48" spans="1:124" x14ac:dyDescent="0.2">
      <c r="A48" s="908" t="s">
        <v>297</v>
      </c>
      <c r="B48" s="908"/>
      <c r="C48" s="910">
        <f t="shared" si="347"/>
        <v>0</v>
      </c>
      <c r="D48" s="910">
        <f t="shared" si="348"/>
        <v>18200</v>
      </c>
      <c r="E48" s="910">
        <f t="shared" si="349"/>
        <v>0</v>
      </c>
      <c r="F48" s="910">
        <f t="shared" si="242"/>
        <v>0</v>
      </c>
      <c r="G48" s="910">
        <f t="shared" si="350"/>
        <v>0</v>
      </c>
      <c r="H48" s="910">
        <f t="shared" si="351"/>
        <v>0</v>
      </c>
      <c r="I48" s="910">
        <f t="shared" si="352"/>
        <v>0</v>
      </c>
      <c r="J48" s="910">
        <f t="shared" si="243"/>
        <v>0</v>
      </c>
      <c r="K48" s="910">
        <f t="shared" si="244"/>
        <v>0</v>
      </c>
      <c r="L48" s="910">
        <f t="shared" si="245"/>
        <v>0</v>
      </c>
      <c r="M48" s="910">
        <f t="shared" si="353"/>
        <v>0</v>
      </c>
      <c r="N48" s="910">
        <f t="shared" si="354"/>
        <v>0</v>
      </c>
      <c r="O48" s="910">
        <f t="shared" si="355"/>
        <v>0</v>
      </c>
      <c r="P48" s="910">
        <f t="shared" si="246"/>
        <v>0</v>
      </c>
      <c r="Q48" s="910">
        <f t="shared" si="356"/>
        <v>0</v>
      </c>
      <c r="R48" s="910">
        <f t="shared" si="357"/>
        <v>0</v>
      </c>
      <c r="S48" s="910">
        <f t="shared" si="358"/>
        <v>18200</v>
      </c>
      <c r="T48" s="1037">
        <f t="shared" si="247"/>
        <v>14560</v>
      </c>
      <c r="U48" s="1034">
        <f t="shared" si="117"/>
        <v>0</v>
      </c>
      <c r="V48" s="1034">
        <f t="shared" si="118"/>
        <v>0</v>
      </c>
      <c r="W48" s="1034">
        <f t="shared" si="119"/>
        <v>0</v>
      </c>
      <c r="X48" s="1034">
        <f t="shared" si="120"/>
        <v>0</v>
      </c>
      <c r="Y48" s="1034">
        <f t="shared" si="121"/>
        <v>0</v>
      </c>
      <c r="Z48" s="1034">
        <f t="shared" si="122"/>
        <v>0</v>
      </c>
      <c r="AA48" s="1034">
        <f t="shared" si="123"/>
        <v>0</v>
      </c>
      <c r="AB48" s="1034">
        <f t="shared" si="124"/>
        <v>0</v>
      </c>
      <c r="AC48" s="1034">
        <f t="shared" si="125"/>
        <v>0</v>
      </c>
      <c r="AD48" s="1034">
        <f t="shared" si="126"/>
        <v>0</v>
      </c>
      <c r="AE48" s="1034">
        <f t="shared" si="127"/>
        <v>0</v>
      </c>
      <c r="AF48" s="1034">
        <f t="shared" si="128"/>
        <v>3640</v>
      </c>
      <c r="AG48" s="1034">
        <f t="shared" si="129"/>
        <v>3640</v>
      </c>
      <c r="AH48" s="1041">
        <f t="shared" si="130"/>
        <v>0.2</v>
      </c>
      <c r="AI48" s="1014">
        <f t="shared" si="248"/>
        <v>0</v>
      </c>
      <c r="AJ48" s="1025">
        <f t="shared" si="131"/>
        <v>0</v>
      </c>
      <c r="AK48" s="1014">
        <f t="shared" si="249"/>
        <v>0</v>
      </c>
      <c r="AL48" s="1025">
        <f t="shared" si="132"/>
        <v>0</v>
      </c>
      <c r="AM48" s="1014">
        <f t="shared" si="250"/>
        <v>0</v>
      </c>
      <c r="AN48" s="1025">
        <f t="shared" si="133"/>
        <v>0</v>
      </c>
      <c r="AO48" s="1014">
        <f t="shared" si="251"/>
        <v>0</v>
      </c>
      <c r="AP48" s="1014">
        <f t="shared" si="252"/>
        <v>0</v>
      </c>
      <c r="AQ48" s="1014">
        <f t="shared" si="253"/>
        <v>0</v>
      </c>
      <c r="AR48" s="1015">
        <f t="shared" si="254"/>
        <v>0</v>
      </c>
      <c r="AS48" s="1025">
        <f t="shared" si="255"/>
        <v>0</v>
      </c>
      <c r="AT48" s="1014">
        <f t="shared" si="256"/>
        <v>0</v>
      </c>
      <c r="AU48" s="1014">
        <f t="shared" si="257"/>
        <v>0</v>
      </c>
      <c r="AV48" s="1014">
        <f t="shared" si="258"/>
        <v>0</v>
      </c>
      <c r="AW48" s="1014">
        <f t="shared" si="259"/>
        <v>0</v>
      </c>
      <c r="AX48" s="1014">
        <f t="shared" si="260"/>
        <v>0</v>
      </c>
      <c r="AY48" s="1014">
        <f t="shared" si="261"/>
        <v>0</v>
      </c>
      <c r="AZ48" s="1025">
        <f t="shared" si="262"/>
        <v>0</v>
      </c>
      <c r="BA48" s="1014">
        <f t="shared" si="263"/>
        <v>0</v>
      </c>
      <c r="BB48" s="1014">
        <f t="shared" si="264"/>
        <v>0</v>
      </c>
      <c r="BC48" s="1014">
        <f t="shared" si="265"/>
        <v>0</v>
      </c>
      <c r="BD48" s="1014">
        <f t="shared" si="266"/>
        <v>0</v>
      </c>
      <c r="BE48" s="1014">
        <f t="shared" si="267"/>
        <v>0</v>
      </c>
      <c r="BF48" s="1014">
        <f t="shared" si="268"/>
        <v>0</v>
      </c>
      <c r="BG48" s="1025">
        <f t="shared" si="269"/>
        <v>0</v>
      </c>
      <c r="BH48" s="1014">
        <f t="shared" si="270"/>
        <v>0</v>
      </c>
      <c r="BI48" s="1014">
        <f t="shared" si="271"/>
        <v>0</v>
      </c>
      <c r="BJ48" s="1014">
        <f t="shared" si="272"/>
        <v>0</v>
      </c>
      <c r="BK48" s="1014">
        <f t="shared" si="273"/>
        <v>0</v>
      </c>
      <c r="BL48" s="1014">
        <f t="shared" si="274"/>
        <v>0</v>
      </c>
      <c r="BM48" s="1014">
        <f t="shared" si="275"/>
        <v>0</v>
      </c>
      <c r="BN48" s="1025">
        <f t="shared" si="276"/>
        <v>0</v>
      </c>
      <c r="BO48" s="1014">
        <f t="shared" si="277"/>
        <v>0</v>
      </c>
      <c r="BP48" s="1014">
        <f t="shared" si="278"/>
        <v>0</v>
      </c>
      <c r="BQ48" s="1014">
        <f t="shared" si="279"/>
        <v>0</v>
      </c>
      <c r="BR48" s="1014">
        <f t="shared" si="280"/>
        <v>0</v>
      </c>
      <c r="BS48" s="1014">
        <f t="shared" si="281"/>
        <v>0</v>
      </c>
      <c r="BT48" s="1025">
        <f t="shared" si="282"/>
        <v>0</v>
      </c>
      <c r="BU48" s="1014">
        <f t="shared" si="283"/>
        <v>0</v>
      </c>
      <c r="BV48" s="1014">
        <f t="shared" si="284"/>
        <v>0</v>
      </c>
      <c r="BW48" s="1014">
        <f t="shared" si="285"/>
        <v>0</v>
      </c>
      <c r="BX48" s="1014">
        <f t="shared" si="286"/>
        <v>0</v>
      </c>
      <c r="BY48" s="1014">
        <f t="shared" si="287"/>
        <v>0</v>
      </c>
      <c r="BZ48" s="1014">
        <f t="shared" si="288"/>
        <v>0</v>
      </c>
      <c r="CA48" s="1014">
        <f t="shared" si="289"/>
        <v>0</v>
      </c>
      <c r="CB48" s="1014">
        <f t="shared" si="290"/>
        <v>0</v>
      </c>
      <c r="CC48" s="1014">
        <f t="shared" si="291"/>
        <v>0</v>
      </c>
      <c r="CD48" s="1015">
        <f t="shared" si="292"/>
        <v>0</v>
      </c>
      <c r="CE48" s="1014">
        <f t="shared" si="293"/>
        <v>0</v>
      </c>
      <c r="CF48" s="1025">
        <f t="shared" si="294"/>
        <v>0</v>
      </c>
      <c r="CG48" s="1014">
        <f t="shared" si="295"/>
        <v>0</v>
      </c>
      <c r="CH48" s="1014">
        <f t="shared" si="296"/>
        <v>0</v>
      </c>
      <c r="CI48" s="1014">
        <f t="shared" si="297"/>
        <v>0</v>
      </c>
      <c r="CJ48" s="1014">
        <f t="shared" si="298"/>
        <v>0</v>
      </c>
      <c r="CK48" s="1014">
        <f t="shared" si="299"/>
        <v>0</v>
      </c>
      <c r="CL48" s="1014">
        <f t="shared" si="300"/>
        <v>0</v>
      </c>
      <c r="CM48" s="1014">
        <f t="shared" si="301"/>
        <v>0</v>
      </c>
      <c r="CN48" s="1015">
        <f t="shared" si="302"/>
        <v>0</v>
      </c>
      <c r="CO48" s="1014">
        <f t="shared" si="303"/>
        <v>0</v>
      </c>
      <c r="CP48" s="1025">
        <f t="shared" si="304"/>
        <v>0</v>
      </c>
      <c r="CQ48" s="1014">
        <f t="shared" si="305"/>
        <v>0</v>
      </c>
      <c r="CR48" s="1014">
        <f t="shared" si="306"/>
        <v>0</v>
      </c>
      <c r="CS48" s="1014">
        <f t="shared" si="307"/>
        <v>0</v>
      </c>
      <c r="CT48" s="1014">
        <f t="shared" si="308"/>
        <v>0</v>
      </c>
      <c r="CU48" s="1015">
        <f t="shared" si="309"/>
        <v>0</v>
      </c>
      <c r="CV48" s="1030">
        <f t="shared" si="310"/>
        <v>0</v>
      </c>
      <c r="CW48" s="1014">
        <f t="shared" si="311"/>
        <v>0</v>
      </c>
      <c r="CX48" s="1014">
        <f t="shared" si="312"/>
        <v>3640</v>
      </c>
      <c r="CY48" s="1014">
        <f t="shared" si="313"/>
        <v>0</v>
      </c>
      <c r="CZ48" s="1014">
        <f t="shared" si="314"/>
        <v>0</v>
      </c>
      <c r="DA48" s="1014">
        <f t="shared" si="315"/>
        <v>0</v>
      </c>
      <c r="DB48" s="1014">
        <f t="shared" si="316"/>
        <v>0</v>
      </c>
      <c r="DC48" s="1014">
        <f t="shared" si="317"/>
        <v>0</v>
      </c>
      <c r="DD48" s="1014">
        <f t="shared" si="318"/>
        <v>0</v>
      </c>
      <c r="DE48" s="1015">
        <f t="shared" si="319"/>
        <v>0</v>
      </c>
      <c r="DF48" s="1014">
        <f t="shared" si="320"/>
        <v>0</v>
      </c>
      <c r="DG48" s="1014">
        <f t="shared" si="321"/>
        <v>0</v>
      </c>
      <c r="DH48" s="1012">
        <f t="shared" si="359"/>
        <v>3640</v>
      </c>
      <c r="DI48" s="1014">
        <f t="shared" si="322"/>
        <v>0</v>
      </c>
      <c r="DJ48" s="1014">
        <f t="shared" si="323"/>
        <v>0</v>
      </c>
      <c r="DK48" s="1014">
        <f t="shared" si="324"/>
        <v>0</v>
      </c>
      <c r="DL48" s="1014">
        <f t="shared" si="325"/>
        <v>0</v>
      </c>
      <c r="DM48" s="1014">
        <f t="shared" si="326"/>
        <v>0</v>
      </c>
      <c r="DN48" s="1014">
        <f t="shared" si="327"/>
        <v>0</v>
      </c>
      <c r="DO48" s="1014">
        <f t="shared" si="328"/>
        <v>0</v>
      </c>
      <c r="DP48" s="1014">
        <f t="shared" si="329"/>
        <v>0</v>
      </c>
      <c r="DQ48" s="1015">
        <f t="shared" si="330"/>
        <v>0</v>
      </c>
      <c r="DR48" s="1014">
        <f t="shared" si="331"/>
        <v>0</v>
      </c>
      <c r="DS48" s="1014">
        <f t="shared" si="332"/>
        <v>0</v>
      </c>
      <c r="DT48" s="1025">
        <f t="shared" si="360"/>
        <v>0</v>
      </c>
    </row>
    <row r="49" spans="1:124" x14ac:dyDescent="0.2">
      <c r="A49" s="908" t="s">
        <v>339</v>
      </c>
      <c r="B49" s="908"/>
      <c r="C49" s="910">
        <f t="shared" si="347"/>
        <v>0</v>
      </c>
      <c r="D49" s="910">
        <f t="shared" si="348"/>
        <v>655705.55999999994</v>
      </c>
      <c r="E49" s="910">
        <f t="shared" si="349"/>
        <v>0</v>
      </c>
      <c r="F49" s="910">
        <f t="shared" si="242"/>
        <v>0</v>
      </c>
      <c r="G49" s="910">
        <f t="shared" si="350"/>
        <v>0</v>
      </c>
      <c r="H49" s="910">
        <f t="shared" si="351"/>
        <v>0</v>
      </c>
      <c r="I49" s="910">
        <f t="shared" si="352"/>
        <v>0</v>
      </c>
      <c r="J49" s="910">
        <f t="shared" si="243"/>
        <v>0</v>
      </c>
      <c r="K49" s="910">
        <f t="shared" si="244"/>
        <v>0</v>
      </c>
      <c r="L49" s="910">
        <f t="shared" si="245"/>
        <v>0</v>
      </c>
      <c r="M49" s="910">
        <f t="shared" si="353"/>
        <v>0</v>
      </c>
      <c r="N49" s="910">
        <f t="shared" si="354"/>
        <v>0</v>
      </c>
      <c r="O49" s="910">
        <f t="shared" si="355"/>
        <v>0</v>
      </c>
      <c r="P49" s="910">
        <f t="shared" si="246"/>
        <v>0</v>
      </c>
      <c r="Q49" s="910">
        <f t="shared" si="356"/>
        <v>0</v>
      </c>
      <c r="R49" s="910">
        <f t="shared" si="357"/>
        <v>0</v>
      </c>
      <c r="S49" s="910">
        <f t="shared" si="358"/>
        <v>655705.55999999994</v>
      </c>
      <c r="T49" s="1037">
        <f t="shared" si="247"/>
        <v>655705.55999999994</v>
      </c>
      <c r="U49" s="1034">
        <f t="shared" si="117"/>
        <v>0</v>
      </c>
      <c r="V49" s="1034">
        <f t="shared" si="118"/>
        <v>0</v>
      </c>
      <c r="W49" s="1034">
        <f t="shared" si="119"/>
        <v>0</v>
      </c>
      <c r="X49" s="1034">
        <f t="shared" si="120"/>
        <v>0</v>
      </c>
      <c r="Y49" s="1034">
        <f t="shared" si="121"/>
        <v>0</v>
      </c>
      <c r="Z49" s="1034">
        <f t="shared" si="122"/>
        <v>0</v>
      </c>
      <c r="AA49" s="1034">
        <f t="shared" si="123"/>
        <v>0</v>
      </c>
      <c r="AB49" s="1034">
        <f t="shared" si="124"/>
        <v>0</v>
      </c>
      <c r="AC49" s="1034">
        <f t="shared" si="125"/>
        <v>0</v>
      </c>
      <c r="AD49" s="1034">
        <f t="shared" si="126"/>
        <v>0</v>
      </c>
      <c r="AE49" s="1034">
        <f t="shared" si="127"/>
        <v>0</v>
      </c>
      <c r="AF49" s="1034">
        <f t="shared" si="128"/>
        <v>0</v>
      </c>
      <c r="AG49" s="1034">
        <f t="shared" si="129"/>
        <v>0</v>
      </c>
      <c r="AH49" s="1041" t="str">
        <f t="shared" si="130"/>
        <v>-</v>
      </c>
      <c r="AI49" s="1014">
        <f t="shared" si="248"/>
        <v>0</v>
      </c>
      <c r="AJ49" s="1025">
        <f t="shared" si="131"/>
        <v>0</v>
      </c>
      <c r="AK49" s="1014">
        <f t="shared" si="249"/>
        <v>0</v>
      </c>
      <c r="AL49" s="1025">
        <f t="shared" si="132"/>
        <v>0</v>
      </c>
      <c r="AM49" s="1014">
        <f t="shared" si="250"/>
        <v>0</v>
      </c>
      <c r="AN49" s="1025">
        <f t="shared" si="133"/>
        <v>0</v>
      </c>
      <c r="AO49" s="1014">
        <f t="shared" si="251"/>
        <v>0</v>
      </c>
      <c r="AP49" s="1014">
        <f t="shared" si="252"/>
        <v>0</v>
      </c>
      <c r="AQ49" s="1014">
        <f t="shared" si="253"/>
        <v>0</v>
      </c>
      <c r="AR49" s="1015">
        <f t="shared" si="254"/>
        <v>0</v>
      </c>
      <c r="AS49" s="1025">
        <f t="shared" si="255"/>
        <v>0</v>
      </c>
      <c r="AT49" s="1014">
        <f t="shared" si="256"/>
        <v>0</v>
      </c>
      <c r="AU49" s="1014">
        <f t="shared" si="257"/>
        <v>0</v>
      </c>
      <c r="AV49" s="1014">
        <f t="shared" si="258"/>
        <v>0</v>
      </c>
      <c r="AW49" s="1014">
        <f t="shared" si="259"/>
        <v>0</v>
      </c>
      <c r="AX49" s="1014">
        <f t="shared" si="260"/>
        <v>0</v>
      </c>
      <c r="AY49" s="1014">
        <f t="shared" si="261"/>
        <v>0</v>
      </c>
      <c r="AZ49" s="1025">
        <f t="shared" si="262"/>
        <v>0</v>
      </c>
      <c r="BA49" s="1014">
        <f t="shared" si="263"/>
        <v>0</v>
      </c>
      <c r="BB49" s="1014">
        <f t="shared" si="264"/>
        <v>0</v>
      </c>
      <c r="BC49" s="1014">
        <f t="shared" si="265"/>
        <v>0</v>
      </c>
      <c r="BD49" s="1014">
        <f t="shared" si="266"/>
        <v>0</v>
      </c>
      <c r="BE49" s="1014">
        <f t="shared" si="267"/>
        <v>0</v>
      </c>
      <c r="BF49" s="1014">
        <f t="shared" si="268"/>
        <v>0</v>
      </c>
      <c r="BG49" s="1025">
        <f t="shared" si="269"/>
        <v>0</v>
      </c>
      <c r="BH49" s="1014">
        <f t="shared" si="270"/>
        <v>0</v>
      </c>
      <c r="BI49" s="1014">
        <f t="shared" si="271"/>
        <v>0</v>
      </c>
      <c r="BJ49" s="1014">
        <f t="shared" si="272"/>
        <v>0</v>
      </c>
      <c r="BK49" s="1014">
        <f t="shared" si="273"/>
        <v>0</v>
      </c>
      <c r="BL49" s="1014">
        <f t="shared" si="274"/>
        <v>0</v>
      </c>
      <c r="BM49" s="1014">
        <f t="shared" si="275"/>
        <v>0</v>
      </c>
      <c r="BN49" s="1025">
        <f t="shared" si="276"/>
        <v>0</v>
      </c>
      <c r="BO49" s="1014">
        <f t="shared" si="277"/>
        <v>0</v>
      </c>
      <c r="BP49" s="1014">
        <f t="shared" si="278"/>
        <v>0</v>
      </c>
      <c r="BQ49" s="1014">
        <f t="shared" si="279"/>
        <v>0</v>
      </c>
      <c r="BR49" s="1014">
        <f t="shared" si="280"/>
        <v>0</v>
      </c>
      <c r="BS49" s="1014">
        <f t="shared" si="281"/>
        <v>0</v>
      </c>
      <c r="BT49" s="1025">
        <f t="shared" si="282"/>
        <v>0</v>
      </c>
      <c r="BU49" s="1014">
        <f t="shared" si="283"/>
        <v>0</v>
      </c>
      <c r="BV49" s="1014">
        <f t="shared" si="284"/>
        <v>0</v>
      </c>
      <c r="BW49" s="1014">
        <f t="shared" si="285"/>
        <v>0</v>
      </c>
      <c r="BX49" s="1014">
        <f t="shared" si="286"/>
        <v>0</v>
      </c>
      <c r="BY49" s="1014">
        <f t="shared" si="287"/>
        <v>0</v>
      </c>
      <c r="BZ49" s="1014">
        <f t="shared" si="288"/>
        <v>0</v>
      </c>
      <c r="CA49" s="1014">
        <f t="shared" si="289"/>
        <v>0</v>
      </c>
      <c r="CB49" s="1014">
        <f t="shared" si="290"/>
        <v>0</v>
      </c>
      <c r="CC49" s="1014">
        <f t="shared" si="291"/>
        <v>0</v>
      </c>
      <c r="CD49" s="1015">
        <f t="shared" si="292"/>
        <v>0</v>
      </c>
      <c r="CE49" s="1014">
        <f t="shared" si="293"/>
        <v>0</v>
      </c>
      <c r="CF49" s="1025">
        <f t="shared" si="294"/>
        <v>0</v>
      </c>
      <c r="CG49" s="1014">
        <f t="shared" si="295"/>
        <v>0</v>
      </c>
      <c r="CH49" s="1014">
        <f t="shared" si="296"/>
        <v>0</v>
      </c>
      <c r="CI49" s="1014">
        <f t="shared" si="297"/>
        <v>0</v>
      </c>
      <c r="CJ49" s="1014">
        <f t="shared" si="298"/>
        <v>0</v>
      </c>
      <c r="CK49" s="1014">
        <f t="shared" si="299"/>
        <v>0</v>
      </c>
      <c r="CL49" s="1014">
        <f t="shared" si="300"/>
        <v>0</v>
      </c>
      <c r="CM49" s="1014">
        <f t="shared" si="301"/>
        <v>0</v>
      </c>
      <c r="CN49" s="1015">
        <f t="shared" si="302"/>
        <v>0</v>
      </c>
      <c r="CO49" s="1014">
        <f t="shared" si="303"/>
        <v>0</v>
      </c>
      <c r="CP49" s="1025">
        <f t="shared" si="304"/>
        <v>0</v>
      </c>
      <c r="CQ49" s="1014">
        <f t="shared" si="305"/>
        <v>0</v>
      </c>
      <c r="CR49" s="1014">
        <f t="shared" si="306"/>
        <v>0</v>
      </c>
      <c r="CS49" s="1014">
        <f t="shared" si="307"/>
        <v>0</v>
      </c>
      <c r="CT49" s="1014">
        <f t="shared" si="308"/>
        <v>0</v>
      </c>
      <c r="CU49" s="1015">
        <f t="shared" si="309"/>
        <v>0</v>
      </c>
      <c r="CV49" s="1030">
        <f t="shared" si="310"/>
        <v>0</v>
      </c>
      <c r="CW49" s="1014">
        <f t="shared" si="311"/>
        <v>0</v>
      </c>
      <c r="CX49" s="1014">
        <f t="shared" si="312"/>
        <v>0</v>
      </c>
      <c r="CY49" s="1014">
        <f t="shared" si="313"/>
        <v>0</v>
      </c>
      <c r="CZ49" s="1014">
        <f t="shared" si="314"/>
        <v>0</v>
      </c>
      <c r="DA49" s="1014">
        <f t="shared" si="315"/>
        <v>0</v>
      </c>
      <c r="DB49" s="1014">
        <f t="shared" si="316"/>
        <v>0</v>
      </c>
      <c r="DC49" s="1014">
        <f t="shared" si="317"/>
        <v>0</v>
      </c>
      <c r="DD49" s="1014">
        <f t="shared" si="318"/>
        <v>0</v>
      </c>
      <c r="DE49" s="1015">
        <f t="shared" si="319"/>
        <v>0</v>
      </c>
      <c r="DF49" s="1014">
        <f t="shared" si="320"/>
        <v>0</v>
      </c>
      <c r="DG49" s="1014">
        <f t="shared" si="321"/>
        <v>0</v>
      </c>
      <c r="DH49" s="1012">
        <f t="shared" si="359"/>
        <v>0</v>
      </c>
      <c r="DI49" s="1014">
        <f t="shared" si="322"/>
        <v>0</v>
      </c>
      <c r="DJ49" s="1014">
        <f t="shared" si="323"/>
        <v>0</v>
      </c>
      <c r="DK49" s="1014">
        <f t="shared" si="324"/>
        <v>0</v>
      </c>
      <c r="DL49" s="1014">
        <f t="shared" si="325"/>
        <v>0</v>
      </c>
      <c r="DM49" s="1014">
        <f t="shared" si="326"/>
        <v>0</v>
      </c>
      <c r="DN49" s="1014">
        <f t="shared" si="327"/>
        <v>0</v>
      </c>
      <c r="DO49" s="1014">
        <f t="shared" si="328"/>
        <v>0</v>
      </c>
      <c r="DP49" s="1014">
        <f t="shared" si="329"/>
        <v>0</v>
      </c>
      <c r="DQ49" s="1020">
        <f t="shared" si="330"/>
        <v>0</v>
      </c>
      <c r="DR49" s="1014">
        <f t="shared" si="331"/>
        <v>0</v>
      </c>
      <c r="DS49" s="1014">
        <f t="shared" si="332"/>
        <v>0</v>
      </c>
      <c r="DT49" s="1025">
        <f t="shared" si="360"/>
        <v>0</v>
      </c>
    </row>
    <row r="50" spans="1:124" x14ac:dyDescent="0.2">
      <c r="A50" s="908" t="s">
        <v>298</v>
      </c>
      <c r="B50" s="908"/>
      <c r="C50" s="910">
        <f t="shared" si="347"/>
        <v>0</v>
      </c>
      <c r="D50" s="910">
        <f t="shared" si="348"/>
        <v>47320</v>
      </c>
      <c r="E50" s="910">
        <f t="shared" si="349"/>
        <v>0</v>
      </c>
      <c r="F50" s="910">
        <f t="shared" si="242"/>
        <v>0</v>
      </c>
      <c r="G50" s="910">
        <f t="shared" si="350"/>
        <v>0</v>
      </c>
      <c r="H50" s="910">
        <f t="shared" si="351"/>
        <v>0</v>
      </c>
      <c r="I50" s="910">
        <f t="shared" si="352"/>
        <v>0</v>
      </c>
      <c r="J50" s="910">
        <f t="shared" si="243"/>
        <v>0</v>
      </c>
      <c r="K50" s="910">
        <f t="shared" si="244"/>
        <v>0</v>
      </c>
      <c r="L50" s="910">
        <f t="shared" si="245"/>
        <v>0</v>
      </c>
      <c r="M50" s="910">
        <f t="shared" si="353"/>
        <v>0</v>
      </c>
      <c r="N50" s="910">
        <f t="shared" si="354"/>
        <v>0</v>
      </c>
      <c r="O50" s="910">
        <f t="shared" si="355"/>
        <v>0</v>
      </c>
      <c r="P50" s="910">
        <f t="shared" si="246"/>
        <v>0</v>
      </c>
      <c r="Q50" s="910">
        <f t="shared" si="356"/>
        <v>0</v>
      </c>
      <c r="R50" s="910">
        <f t="shared" si="357"/>
        <v>0</v>
      </c>
      <c r="S50" s="910">
        <f t="shared" si="358"/>
        <v>47320</v>
      </c>
      <c r="T50" s="1037">
        <f t="shared" si="247"/>
        <v>33857.46</v>
      </c>
      <c r="U50" s="1034">
        <f t="shared" si="117"/>
        <v>0</v>
      </c>
      <c r="V50" s="1034">
        <f t="shared" si="118"/>
        <v>0</v>
      </c>
      <c r="W50" s="1034">
        <f t="shared" si="119"/>
        <v>0</v>
      </c>
      <c r="X50" s="1034">
        <f t="shared" si="120"/>
        <v>0</v>
      </c>
      <c r="Y50" s="1034">
        <f t="shared" si="121"/>
        <v>0</v>
      </c>
      <c r="Z50" s="1034">
        <f t="shared" si="122"/>
        <v>0</v>
      </c>
      <c r="AA50" s="1034">
        <f t="shared" si="123"/>
        <v>0</v>
      </c>
      <c r="AB50" s="1034">
        <f t="shared" si="124"/>
        <v>0</v>
      </c>
      <c r="AC50" s="1034">
        <f t="shared" si="125"/>
        <v>0</v>
      </c>
      <c r="AD50" s="1034">
        <f t="shared" si="126"/>
        <v>0</v>
      </c>
      <c r="AE50" s="1034">
        <f t="shared" si="127"/>
        <v>0</v>
      </c>
      <c r="AF50" s="1034">
        <f t="shared" si="128"/>
        <v>9464</v>
      </c>
      <c r="AG50" s="1034">
        <f t="shared" si="129"/>
        <v>13462.54</v>
      </c>
      <c r="AH50" s="1041">
        <f t="shared" si="130"/>
        <v>0.28450000000000003</v>
      </c>
      <c r="AI50" s="1014">
        <f t="shared" si="248"/>
        <v>0</v>
      </c>
      <c r="AJ50" s="1025">
        <f t="shared" si="131"/>
        <v>0</v>
      </c>
      <c r="AK50" s="1014">
        <f t="shared" si="249"/>
        <v>0</v>
      </c>
      <c r="AL50" s="1025">
        <f t="shared" si="132"/>
        <v>0</v>
      </c>
      <c r="AM50" s="1014">
        <f t="shared" si="250"/>
        <v>0</v>
      </c>
      <c r="AN50" s="1025">
        <f t="shared" si="133"/>
        <v>0</v>
      </c>
      <c r="AO50" s="1014">
        <f t="shared" si="251"/>
        <v>0</v>
      </c>
      <c r="AP50" s="1014">
        <f t="shared" si="252"/>
        <v>0</v>
      </c>
      <c r="AQ50" s="1014">
        <f t="shared" si="253"/>
        <v>0</v>
      </c>
      <c r="AR50" s="1015">
        <f t="shared" si="254"/>
        <v>0</v>
      </c>
      <c r="AS50" s="1025">
        <f t="shared" si="255"/>
        <v>0</v>
      </c>
      <c r="AT50" s="1014">
        <f t="shared" si="256"/>
        <v>0</v>
      </c>
      <c r="AU50" s="1014">
        <f t="shared" si="257"/>
        <v>0</v>
      </c>
      <c r="AV50" s="1014">
        <f t="shared" si="258"/>
        <v>0</v>
      </c>
      <c r="AW50" s="1014">
        <f t="shared" si="259"/>
        <v>0</v>
      </c>
      <c r="AX50" s="1014">
        <f t="shared" si="260"/>
        <v>0</v>
      </c>
      <c r="AY50" s="1014">
        <f t="shared" si="261"/>
        <v>0</v>
      </c>
      <c r="AZ50" s="1025">
        <f t="shared" si="262"/>
        <v>0</v>
      </c>
      <c r="BA50" s="1014">
        <f t="shared" si="263"/>
        <v>0</v>
      </c>
      <c r="BB50" s="1014">
        <f t="shared" si="264"/>
        <v>0</v>
      </c>
      <c r="BC50" s="1014">
        <f t="shared" si="265"/>
        <v>0</v>
      </c>
      <c r="BD50" s="1014">
        <f t="shared" si="266"/>
        <v>0</v>
      </c>
      <c r="BE50" s="1014">
        <f t="shared" si="267"/>
        <v>0</v>
      </c>
      <c r="BF50" s="1014">
        <f t="shared" si="268"/>
        <v>0</v>
      </c>
      <c r="BG50" s="1025">
        <f t="shared" si="269"/>
        <v>0</v>
      </c>
      <c r="BH50" s="1014">
        <f t="shared" si="270"/>
        <v>0</v>
      </c>
      <c r="BI50" s="1014">
        <f t="shared" si="271"/>
        <v>0</v>
      </c>
      <c r="BJ50" s="1014">
        <f t="shared" si="272"/>
        <v>0</v>
      </c>
      <c r="BK50" s="1014">
        <f t="shared" si="273"/>
        <v>0</v>
      </c>
      <c r="BL50" s="1014">
        <f t="shared" si="274"/>
        <v>0</v>
      </c>
      <c r="BM50" s="1014">
        <f t="shared" si="275"/>
        <v>0</v>
      </c>
      <c r="BN50" s="1025">
        <f t="shared" si="276"/>
        <v>0</v>
      </c>
      <c r="BO50" s="1014">
        <f t="shared" si="277"/>
        <v>0</v>
      </c>
      <c r="BP50" s="1014">
        <f t="shared" si="278"/>
        <v>0</v>
      </c>
      <c r="BQ50" s="1014">
        <f t="shared" si="279"/>
        <v>0</v>
      </c>
      <c r="BR50" s="1014">
        <f t="shared" si="280"/>
        <v>0</v>
      </c>
      <c r="BS50" s="1014">
        <f t="shared" si="281"/>
        <v>0</v>
      </c>
      <c r="BT50" s="1025">
        <f t="shared" si="282"/>
        <v>0</v>
      </c>
      <c r="BU50" s="1014">
        <f t="shared" si="283"/>
        <v>0</v>
      </c>
      <c r="BV50" s="1014">
        <f t="shared" si="284"/>
        <v>0</v>
      </c>
      <c r="BW50" s="1014">
        <f t="shared" si="285"/>
        <v>0</v>
      </c>
      <c r="BX50" s="1014">
        <f t="shared" si="286"/>
        <v>0</v>
      </c>
      <c r="BY50" s="1014">
        <f t="shared" si="287"/>
        <v>0</v>
      </c>
      <c r="BZ50" s="1014">
        <f t="shared" si="288"/>
        <v>0</v>
      </c>
      <c r="CA50" s="1014">
        <f t="shared" si="289"/>
        <v>0</v>
      </c>
      <c r="CB50" s="1014">
        <f t="shared" si="290"/>
        <v>0</v>
      </c>
      <c r="CC50" s="1014">
        <f t="shared" si="291"/>
        <v>0</v>
      </c>
      <c r="CD50" s="1015">
        <f t="shared" si="292"/>
        <v>0</v>
      </c>
      <c r="CE50" s="1014">
        <f t="shared" si="293"/>
        <v>0</v>
      </c>
      <c r="CF50" s="1025">
        <f t="shared" si="294"/>
        <v>0</v>
      </c>
      <c r="CG50" s="1014">
        <f t="shared" si="295"/>
        <v>0</v>
      </c>
      <c r="CH50" s="1014">
        <f t="shared" si="296"/>
        <v>0</v>
      </c>
      <c r="CI50" s="1014">
        <f t="shared" si="297"/>
        <v>0</v>
      </c>
      <c r="CJ50" s="1014">
        <f t="shared" si="298"/>
        <v>0</v>
      </c>
      <c r="CK50" s="1014">
        <f t="shared" si="299"/>
        <v>0</v>
      </c>
      <c r="CL50" s="1014">
        <f t="shared" si="300"/>
        <v>0</v>
      </c>
      <c r="CM50" s="1014">
        <f t="shared" si="301"/>
        <v>0</v>
      </c>
      <c r="CN50" s="1015">
        <f t="shared" si="302"/>
        <v>0</v>
      </c>
      <c r="CO50" s="1014">
        <f t="shared" si="303"/>
        <v>0</v>
      </c>
      <c r="CP50" s="1025">
        <f t="shared" si="304"/>
        <v>0</v>
      </c>
      <c r="CQ50" s="1014">
        <f t="shared" si="305"/>
        <v>0</v>
      </c>
      <c r="CR50" s="1014">
        <f t="shared" si="306"/>
        <v>0</v>
      </c>
      <c r="CS50" s="1014">
        <f t="shared" si="307"/>
        <v>0</v>
      </c>
      <c r="CT50" s="1014">
        <f t="shared" si="308"/>
        <v>0</v>
      </c>
      <c r="CU50" s="1015">
        <f t="shared" si="309"/>
        <v>0</v>
      </c>
      <c r="CV50" s="1030">
        <f t="shared" si="310"/>
        <v>0</v>
      </c>
      <c r="CW50" s="1014">
        <f t="shared" si="311"/>
        <v>0</v>
      </c>
      <c r="CX50" s="1014">
        <f t="shared" si="312"/>
        <v>9464</v>
      </c>
      <c r="CY50" s="1014">
        <f t="shared" si="313"/>
        <v>0</v>
      </c>
      <c r="CZ50" s="1014">
        <f t="shared" si="314"/>
        <v>0</v>
      </c>
      <c r="DA50" s="1014">
        <f t="shared" si="315"/>
        <v>0</v>
      </c>
      <c r="DB50" s="1014">
        <f t="shared" si="316"/>
        <v>0</v>
      </c>
      <c r="DC50" s="1014">
        <f t="shared" si="317"/>
        <v>0</v>
      </c>
      <c r="DD50" s="1014">
        <f t="shared" si="318"/>
        <v>0</v>
      </c>
      <c r="DE50" s="1015">
        <f t="shared" si="319"/>
        <v>0</v>
      </c>
      <c r="DF50" s="1014">
        <f t="shared" si="320"/>
        <v>0</v>
      </c>
      <c r="DG50" s="1014">
        <f t="shared" si="321"/>
        <v>0</v>
      </c>
      <c r="DH50" s="1012">
        <f t="shared" si="359"/>
        <v>9464</v>
      </c>
      <c r="DI50" s="1014">
        <f t="shared" si="322"/>
        <v>0</v>
      </c>
      <c r="DJ50" s="1014">
        <f t="shared" si="323"/>
        <v>3998.54</v>
      </c>
      <c r="DK50" s="1014">
        <f t="shared" si="324"/>
        <v>0</v>
      </c>
      <c r="DL50" s="1014">
        <f t="shared" si="325"/>
        <v>0</v>
      </c>
      <c r="DM50" s="1014">
        <f t="shared" si="326"/>
        <v>0</v>
      </c>
      <c r="DN50" s="1014">
        <f t="shared" si="327"/>
        <v>0</v>
      </c>
      <c r="DO50" s="1014">
        <f t="shared" si="328"/>
        <v>0</v>
      </c>
      <c r="DP50" s="1014">
        <f t="shared" si="329"/>
        <v>0</v>
      </c>
      <c r="DQ50" s="1020">
        <f t="shared" si="330"/>
        <v>0</v>
      </c>
      <c r="DR50" s="1014">
        <f t="shared" si="331"/>
        <v>0</v>
      </c>
      <c r="DS50" s="1014">
        <f t="shared" si="332"/>
        <v>0</v>
      </c>
      <c r="DT50" s="1025">
        <f t="shared" si="360"/>
        <v>3998.54</v>
      </c>
    </row>
    <row r="51" spans="1:124" x14ac:dyDescent="0.2">
      <c r="A51" s="908" t="s">
        <v>235</v>
      </c>
      <c r="B51" s="908"/>
      <c r="C51" s="910">
        <f t="shared" si="347"/>
        <v>0</v>
      </c>
      <c r="D51" s="910">
        <f t="shared" si="348"/>
        <v>0</v>
      </c>
      <c r="E51" s="910">
        <f t="shared" si="349"/>
        <v>270000</v>
      </c>
      <c r="F51" s="910">
        <f t="shared" si="242"/>
        <v>0</v>
      </c>
      <c r="G51" s="910">
        <f t="shared" si="350"/>
        <v>0</v>
      </c>
      <c r="H51" s="910">
        <f t="shared" si="351"/>
        <v>0</v>
      </c>
      <c r="I51" s="910">
        <f t="shared" si="352"/>
        <v>0</v>
      </c>
      <c r="J51" s="910">
        <f t="shared" si="243"/>
        <v>0</v>
      </c>
      <c r="K51" s="910">
        <f t="shared" si="244"/>
        <v>0</v>
      </c>
      <c r="L51" s="910">
        <f t="shared" si="245"/>
        <v>0</v>
      </c>
      <c r="M51" s="910">
        <f t="shared" si="353"/>
        <v>0</v>
      </c>
      <c r="N51" s="910">
        <f t="shared" si="354"/>
        <v>0</v>
      </c>
      <c r="O51" s="910">
        <f t="shared" si="355"/>
        <v>0</v>
      </c>
      <c r="P51" s="910">
        <f t="shared" si="246"/>
        <v>0</v>
      </c>
      <c r="Q51" s="910">
        <f t="shared" si="356"/>
        <v>0</v>
      </c>
      <c r="R51" s="910">
        <f t="shared" si="357"/>
        <v>0</v>
      </c>
      <c r="S51" s="910">
        <f t="shared" si="358"/>
        <v>270000</v>
      </c>
      <c r="T51" s="1037">
        <f t="shared" si="247"/>
        <v>270000</v>
      </c>
      <c r="U51" s="1034">
        <f t="shared" si="117"/>
        <v>0</v>
      </c>
      <c r="V51" s="1034">
        <f t="shared" si="118"/>
        <v>0</v>
      </c>
      <c r="W51" s="1034">
        <f t="shared" si="119"/>
        <v>0</v>
      </c>
      <c r="X51" s="1034">
        <f t="shared" si="120"/>
        <v>0</v>
      </c>
      <c r="Y51" s="1034">
        <f t="shared" si="121"/>
        <v>0</v>
      </c>
      <c r="Z51" s="1034">
        <f t="shared" si="122"/>
        <v>0</v>
      </c>
      <c r="AA51" s="1034">
        <f t="shared" si="123"/>
        <v>0</v>
      </c>
      <c r="AB51" s="1034">
        <f t="shared" si="124"/>
        <v>0</v>
      </c>
      <c r="AC51" s="1034">
        <f t="shared" si="125"/>
        <v>0</v>
      </c>
      <c r="AD51" s="1034">
        <f t="shared" si="126"/>
        <v>0</v>
      </c>
      <c r="AE51" s="1034">
        <f t="shared" si="127"/>
        <v>0</v>
      </c>
      <c r="AF51" s="1034">
        <f t="shared" si="128"/>
        <v>0</v>
      </c>
      <c r="AG51" s="1034">
        <f t="shared" si="129"/>
        <v>0</v>
      </c>
      <c r="AH51" s="1041" t="str">
        <f t="shared" si="130"/>
        <v>-</v>
      </c>
      <c r="AI51" s="1014">
        <f t="shared" si="248"/>
        <v>0</v>
      </c>
      <c r="AJ51" s="1025">
        <f t="shared" si="131"/>
        <v>0</v>
      </c>
      <c r="AK51" s="1014">
        <f t="shared" si="249"/>
        <v>0</v>
      </c>
      <c r="AL51" s="1025">
        <f t="shared" si="132"/>
        <v>0</v>
      </c>
      <c r="AM51" s="1014">
        <f t="shared" si="250"/>
        <v>0</v>
      </c>
      <c r="AN51" s="1025">
        <f t="shared" si="133"/>
        <v>0</v>
      </c>
      <c r="AO51" s="1014">
        <f t="shared" si="251"/>
        <v>0</v>
      </c>
      <c r="AP51" s="1014">
        <f t="shared" si="252"/>
        <v>0</v>
      </c>
      <c r="AQ51" s="1014">
        <f t="shared" si="253"/>
        <v>0</v>
      </c>
      <c r="AR51" s="1015">
        <f t="shared" si="254"/>
        <v>0</v>
      </c>
      <c r="AS51" s="1025">
        <f t="shared" si="255"/>
        <v>0</v>
      </c>
      <c r="AT51" s="1014">
        <f t="shared" si="256"/>
        <v>0</v>
      </c>
      <c r="AU51" s="1014">
        <f t="shared" si="257"/>
        <v>0</v>
      </c>
      <c r="AV51" s="1014">
        <f t="shared" si="258"/>
        <v>0</v>
      </c>
      <c r="AW51" s="1014">
        <f t="shared" si="259"/>
        <v>0</v>
      </c>
      <c r="AX51" s="1014">
        <f t="shared" si="260"/>
        <v>0</v>
      </c>
      <c r="AY51" s="1014">
        <f t="shared" si="261"/>
        <v>0</v>
      </c>
      <c r="AZ51" s="1025">
        <f t="shared" si="262"/>
        <v>0</v>
      </c>
      <c r="BA51" s="1014">
        <f t="shared" si="263"/>
        <v>0</v>
      </c>
      <c r="BB51" s="1014">
        <f t="shared" si="264"/>
        <v>0</v>
      </c>
      <c r="BC51" s="1014">
        <f t="shared" si="265"/>
        <v>0</v>
      </c>
      <c r="BD51" s="1014">
        <f t="shared" si="266"/>
        <v>0</v>
      </c>
      <c r="BE51" s="1014">
        <f t="shared" si="267"/>
        <v>0</v>
      </c>
      <c r="BF51" s="1014">
        <f t="shared" si="268"/>
        <v>0</v>
      </c>
      <c r="BG51" s="1025">
        <f t="shared" si="269"/>
        <v>0</v>
      </c>
      <c r="BH51" s="1014">
        <f t="shared" si="270"/>
        <v>0</v>
      </c>
      <c r="BI51" s="1014">
        <f t="shared" si="271"/>
        <v>0</v>
      </c>
      <c r="BJ51" s="1014">
        <f t="shared" si="272"/>
        <v>0</v>
      </c>
      <c r="BK51" s="1014">
        <f t="shared" si="273"/>
        <v>0</v>
      </c>
      <c r="BL51" s="1014">
        <f t="shared" si="274"/>
        <v>0</v>
      </c>
      <c r="BM51" s="1014">
        <f t="shared" si="275"/>
        <v>0</v>
      </c>
      <c r="BN51" s="1025">
        <f t="shared" si="276"/>
        <v>0</v>
      </c>
      <c r="BO51" s="1014">
        <f t="shared" si="277"/>
        <v>0</v>
      </c>
      <c r="BP51" s="1014">
        <f t="shared" si="278"/>
        <v>0</v>
      </c>
      <c r="BQ51" s="1014">
        <f t="shared" si="279"/>
        <v>0</v>
      </c>
      <c r="BR51" s="1014">
        <f t="shared" si="280"/>
        <v>0</v>
      </c>
      <c r="BS51" s="1014">
        <f t="shared" si="281"/>
        <v>0</v>
      </c>
      <c r="BT51" s="1025">
        <f t="shared" si="282"/>
        <v>0</v>
      </c>
      <c r="BU51" s="1014">
        <f t="shared" si="283"/>
        <v>0</v>
      </c>
      <c r="BV51" s="1014">
        <f t="shared" si="284"/>
        <v>0</v>
      </c>
      <c r="BW51" s="1014">
        <f t="shared" si="285"/>
        <v>0</v>
      </c>
      <c r="BX51" s="1014">
        <f t="shared" si="286"/>
        <v>0</v>
      </c>
      <c r="BY51" s="1014">
        <f t="shared" si="287"/>
        <v>0</v>
      </c>
      <c r="BZ51" s="1014">
        <f t="shared" si="288"/>
        <v>0</v>
      </c>
      <c r="CA51" s="1014">
        <f t="shared" si="289"/>
        <v>0</v>
      </c>
      <c r="CB51" s="1014">
        <f t="shared" si="290"/>
        <v>0</v>
      </c>
      <c r="CC51" s="1014">
        <f t="shared" si="291"/>
        <v>0</v>
      </c>
      <c r="CD51" s="1015">
        <f t="shared" si="292"/>
        <v>0</v>
      </c>
      <c r="CE51" s="1014">
        <f t="shared" si="293"/>
        <v>0</v>
      </c>
      <c r="CF51" s="1025">
        <f t="shared" si="294"/>
        <v>0</v>
      </c>
      <c r="CG51" s="1014">
        <f t="shared" si="295"/>
        <v>0</v>
      </c>
      <c r="CH51" s="1014">
        <f t="shared" si="296"/>
        <v>0</v>
      </c>
      <c r="CI51" s="1014">
        <f t="shared" si="297"/>
        <v>0</v>
      </c>
      <c r="CJ51" s="1014">
        <f t="shared" si="298"/>
        <v>0</v>
      </c>
      <c r="CK51" s="1014">
        <f t="shared" si="299"/>
        <v>0</v>
      </c>
      <c r="CL51" s="1014">
        <f t="shared" si="300"/>
        <v>0</v>
      </c>
      <c r="CM51" s="1014">
        <f t="shared" si="301"/>
        <v>0</v>
      </c>
      <c r="CN51" s="1015">
        <f t="shared" si="302"/>
        <v>0</v>
      </c>
      <c r="CO51" s="1014">
        <f t="shared" si="303"/>
        <v>0</v>
      </c>
      <c r="CP51" s="1025">
        <f t="shared" si="304"/>
        <v>0</v>
      </c>
      <c r="CQ51" s="1014">
        <f t="shared" si="305"/>
        <v>0</v>
      </c>
      <c r="CR51" s="1014">
        <f t="shared" si="306"/>
        <v>0</v>
      </c>
      <c r="CS51" s="1014">
        <f t="shared" si="307"/>
        <v>0</v>
      </c>
      <c r="CT51" s="1014">
        <f t="shared" si="308"/>
        <v>0</v>
      </c>
      <c r="CU51" s="1015">
        <f t="shared" si="309"/>
        <v>0</v>
      </c>
      <c r="CV51" s="1030">
        <f t="shared" si="310"/>
        <v>0</v>
      </c>
      <c r="CW51" s="1014">
        <f t="shared" si="311"/>
        <v>0</v>
      </c>
      <c r="CX51" s="1014">
        <f t="shared" si="312"/>
        <v>0</v>
      </c>
      <c r="CY51" s="1014">
        <f t="shared" si="313"/>
        <v>0</v>
      </c>
      <c r="CZ51" s="1014">
        <f t="shared" si="314"/>
        <v>0</v>
      </c>
      <c r="DA51" s="1014">
        <f t="shared" si="315"/>
        <v>0</v>
      </c>
      <c r="DB51" s="1014">
        <f t="shared" si="316"/>
        <v>0</v>
      </c>
      <c r="DC51" s="1014">
        <f t="shared" si="317"/>
        <v>0</v>
      </c>
      <c r="DD51" s="1014">
        <f t="shared" si="318"/>
        <v>0</v>
      </c>
      <c r="DE51" s="1015">
        <f t="shared" si="319"/>
        <v>0</v>
      </c>
      <c r="DF51" s="1014">
        <f t="shared" si="320"/>
        <v>0</v>
      </c>
      <c r="DG51" s="1014">
        <f t="shared" si="321"/>
        <v>0</v>
      </c>
      <c r="DH51" s="1012">
        <f t="shared" si="359"/>
        <v>0</v>
      </c>
      <c r="DI51" s="1014">
        <f t="shared" si="322"/>
        <v>0</v>
      </c>
      <c r="DJ51" s="1014">
        <f t="shared" si="323"/>
        <v>0</v>
      </c>
      <c r="DK51" s="1014">
        <f t="shared" si="324"/>
        <v>0</v>
      </c>
      <c r="DL51" s="1014">
        <f t="shared" si="325"/>
        <v>0</v>
      </c>
      <c r="DM51" s="1014">
        <f t="shared" si="326"/>
        <v>0</v>
      </c>
      <c r="DN51" s="1014">
        <f t="shared" si="327"/>
        <v>0</v>
      </c>
      <c r="DO51" s="1014">
        <f t="shared" si="328"/>
        <v>0</v>
      </c>
      <c r="DP51" s="1014">
        <f t="shared" si="329"/>
        <v>0</v>
      </c>
      <c r="DQ51" s="1020">
        <f t="shared" si="330"/>
        <v>0</v>
      </c>
      <c r="DR51" s="1014">
        <f t="shared" si="331"/>
        <v>0</v>
      </c>
      <c r="DS51" s="1014">
        <f t="shared" si="332"/>
        <v>0</v>
      </c>
      <c r="DT51" s="1025">
        <f t="shared" si="360"/>
        <v>0</v>
      </c>
    </row>
    <row r="52" spans="1:124" x14ac:dyDescent="0.2">
      <c r="A52" s="908" t="s">
        <v>307</v>
      </c>
      <c r="B52" s="908"/>
      <c r="C52" s="910">
        <f t="shared" si="347"/>
        <v>0</v>
      </c>
      <c r="D52" s="910">
        <f t="shared" si="348"/>
        <v>401760</v>
      </c>
      <c r="E52" s="910">
        <f t="shared" si="349"/>
        <v>0</v>
      </c>
      <c r="F52" s="910">
        <f t="shared" si="242"/>
        <v>0</v>
      </c>
      <c r="G52" s="910">
        <f t="shared" si="350"/>
        <v>0</v>
      </c>
      <c r="H52" s="910">
        <f t="shared" si="351"/>
        <v>0</v>
      </c>
      <c r="I52" s="910">
        <f t="shared" si="352"/>
        <v>0</v>
      </c>
      <c r="J52" s="910">
        <f t="shared" si="243"/>
        <v>0</v>
      </c>
      <c r="K52" s="910">
        <f t="shared" si="244"/>
        <v>0</v>
      </c>
      <c r="L52" s="910">
        <f t="shared" si="245"/>
        <v>0</v>
      </c>
      <c r="M52" s="910">
        <f t="shared" si="353"/>
        <v>0</v>
      </c>
      <c r="N52" s="910">
        <f t="shared" si="354"/>
        <v>0</v>
      </c>
      <c r="O52" s="910">
        <f t="shared" si="355"/>
        <v>0</v>
      </c>
      <c r="P52" s="910">
        <f t="shared" si="246"/>
        <v>0</v>
      </c>
      <c r="Q52" s="910">
        <f t="shared" si="356"/>
        <v>0</v>
      </c>
      <c r="R52" s="910">
        <f t="shared" si="357"/>
        <v>0</v>
      </c>
      <c r="S52" s="910">
        <f t="shared" si="358"/>
        <v>401760</v>
      </c>
      <c r="T52" s="1037">
        <f t="shared" si="247"/>
        <v>321408</v>
      </c>
      <c r="U52" s="1034">
        <f t="shared" si="117"/>
        <v>0</v>
      </c>
      <c r="V52" s="1034">
        <f t="shared" si="118"/>
        <v>0</v>
      </c>
      <c r="W52" s="1034">
        <f t="shared" si="119"/>
        <v>0</v>
      </c>
      <c r="X52" s="1034">
        <f t="shared" si="120"/>
        <v>0</v>
      </c>
      <c r="Y52" s="1034">
        <f t="shared" si="121"/>
        <v>0</v>
      </c>
      <c r="Z52" s="1034">
        <f t="shared" si="122"/>
        <v>0</v>
      </c>
      <c r="AA52" s="1034">
        <f t="shared" si="123"/>
        <v>0</v>
      </c>
      <c r="AB52" s="1034">
        <f t="shared" si="124"/>
        <v>0</v>
      </c>
      <c r="AC52" s="1034">
        <f t="shared" si="125"/>
        <v>0</v>
      </c>
      <c r="AD52" s="1034">
        <f t="shared" si="126"/>
        <v>0</v>
      </c>
      <c r="AE52" s="1034">
        <f t="shared" si="127"/>
        <v>0</v>
      </c>
      <c r="AF52" s="1034">
        <f t="shared" si="128"/>
        <v>80352</v>
      </c>
      <c r="AG52" s="1034">
        <f t="shared" si="129"/>
        <v>80352</v>
      </c>
      <c r="AH52" s="1041">
        <f t="shared" si="130"/>
        <v>0.2</v>
      </c>
      <c r="AI52" s="1014">
        <f t="shared" si="248"/>
        <v>0</v>
      </c>
      <c r="AJ52" s="1025">
        <f t="shared" si="131"/>
        <v>0</v>
      </c>
      <c r="AK52" s="1014">
        <f t="shared" si="249"/>
        <v>0</v>
      </c>
      <c r="AL52" s="1025">
        <f t="shared" si="132"/>
        <v>0</v>
      </c>
      <c r="AM52" s="1014">
        <f t="shared" si="250"/>
        <v>0</v>
      </c>
      <c r="AN52" s="1025">
        <f t="shared" si="133"/>
        <v>0</v>
      </c>
      <c r="AO52" s="1014">
        <f t="shared" si="251"/>
        <v>0</v>
      </c>
      <c r="AP52" s="1014">
        <f t="shared" si="252"/>
        <v>0</v>
      </c>
      <c r="AQ52" s="1014">
        <f t="shared" si="253"/>
        <v>0</v>
      </c>
      <c r="AR52" s="1015">
        <f t="shared" si="254"/>
        <v>0</v>
      </c>
      <c r="AS52" s="1025">
        <f t="shared" si="255"/>
        <v>0</v>
      </c>
      <c r="AT52" s="1014">
        <f t="shared" si="256"/>
        <v>0</v>
      </c>
      <c r="AU52" s="1014">
        <f t="shared" si="257"/>
        <v>0</v>
      </c>
      <c r="AV52" s="1014">
        <f t="shared" si="258"/>
        <v>0</v>
      </c>
      <c r="AW52" s="1014">
        <f t="shared" si="259"/>
        <v>0</v>
      </c>
      <c r="AX52" s="1014">
        <f t="shared" si="260"/>
        <v>0</v>
      </c>
      <c r="AY52" s="1014">
        <f t="shared" si="261"/>
        <v>0</v>
      </c>
      <c r="AZ52" s="1025">
        <f t="shared" si="262"/>
        <v>0</v>
      </c>
      <c r="BA52" s="1014">
        <f t="shared" si="263"/>
        <v>0</v>
      </c>
      <c r="BB52" s="1014">
        <f t="shared" si="264"/>
        <v>0</v>
      </c>
      <c r="BC52" s="1014">
        <f t="shared" si="265"/>
        <v>0</v>
      </c>
      <c r="BD52" s="1014">
        <f t="shared" si="266"/>
        <v>0</v>
      </c>
      <c r="BE52" s="1014">
        <f t="shared" si="267"/>
        <v>0</v>
      </c>
      <c r="BF52" s="1014">
        <f t="shared" si="268"/>
        <v>0</v>
      </c>
      <c r="BG52" s="1025">
        <f t="shared" si="269"/>
        <v>0</v>
      </c>
      <c r="BH52" s="1014">
        <f t="shared" si="270"/>
        <v>0</v>
      </c>
      <c r="BI52" s="1014">
        <f t="shared" si="271"/>
        <v>0</v>
      </c>
      <c r="BJ52" s="1014">
        <f t="shared" si="272"/>
        <v>0</v>
      </c>
      <c r="BK52" s="1014">
        <f t="shared" si="273"/>
        <v>0</v>
      </c>
      <c r="BL52" s="1014">
        <f t="shared" si="274"/>
        <v>0</v>
      </c>
      <c r="BM52" s="1014">
        <f t="shared" si="275"/>
        <v>0</v>
      </c>
      <c r="BN52" s="1025">
        <f t="shared" si="276"/>
        <v>0</v>
      </c>
      <c r="BO52" s="1014">
        <f t="shared" si="277"/>
        <v>0</v>
      </c>
      <c r="BP52" s="1014">
        <f t="shared" si="278"/>
        <v>0</v>
      </c>
      <c r="BQ52" s="1014">
        <f t="shared" si="279"/>
        <v>0</v>
      </c>
      <c r="BR52" s="1014">
        <f t="shared" si="280"/>
        <v>0</v>
      </c>
      <c r="BS52" s="1014">
        <f t="shared" si="281"/>
        <v>0</v>
      </c>
      <c r="BT52" s="1025">
        <f t="shared" si="282"/>
        <v>0</v>
      </c>
      <c r="BU52" s="1014">
        <f t="shared" si="283"/>
        <v>0</v>
      </c>
      <c r="BV52" s="1014">
        <f t="shared" si="284"/>
        <v>0</v>
      </c>
      <c r="BW52" s="1014">
        <f t="shared" si="285"/>
        <v>0</v>
      </c>
      <c r="BX52" s="1014">
        <f t="shared" si="286"/>
        <v>0</v>
      </c>
      <c r="BY52" s="1014">
        <f t="shared" si="287"/>
        <v>0</v>
      </c>
      <c r="BZ52" s="1014">
        <f t="shared" si="288"/>
        <v>0</v>
      </c>
      <c r="CA52" s="1014">
        <f t="shared" si="289"/>
        <v>0</v>
      </c>
      <c r="CB52" s="1014">
        <f t="shared" si="290"/>
        <v>0</v>
      </c>
      <c r="CC52" s="1014">
        <f t="shared" si="291"/>
        <v>0</v>
      </c>
      <c r="CD52" s="1015">
        <f t="shared" si="292"/>
        <v>0</v>
      </c>
      <c r="CE52" s="1014">
        <f t="shared" si="293"/>
        <v>0</v>
      </c>
      <c r="CF52" s="1025">
        <f t="shared" si="294"/>
        <v>0</v>
      </c>
      <c r="CG52" s="1014">
        <f t="shared" si="295"/>
        <v>0</v>
      </c>
      <c r="CH52" s="1014">
        <f t="shared" si="296"/>
        <v>0</v>
      </c>
      <c r="CI52" s="1014">
        <f t="shared" si="297"/>
        <v>0</v>
      </c>
      <c r="CJ52" s="1014">
        <f t="shared" si="298"/>
        <v>0</v>
      </c>
      <c r="CK52" s="1014">
        <f t="shared" si="299"/>
        <v>0</v>
      </c>
      <c r="CL52" s="1014">
        <f t="shared" si="300"/>
        <v>0</v>
      </c>
      <c r="CM52" s="1014">
        <f t="shared" si="301"/>
        <v>0</v>
      </c>
      <c r="CN52" s="1015">
        <f t="shared" si="302"/>
        <v>0</v>
      </c>
      <c r="CO52" s="1014">
        <f t="shared" si="303"/>
        <v>0</v>
      </c>
      <c r="CP52" s="1025">
        <f t="shared" si="304"/>
        <v>0</v>
      </c>
      <c r="CQ52" s="1014">
        <f t="shared" si="305"/>
        <v>0</v>
      </c>
      <c r="CR52" s="1014">
        <f t="shared" si="306"/>
        <v>0</v>
      </c>
      <c r="CS52" s="1014">
        <f t="shared" si="307"/>
        <v>0</v>
      </c>
      <c r="CT52" s="1014">
        <f t="shared" si="308"/>
        <v>0</v>
      </c>
      <c r="CU52" s="1015">
        <f t="shared" si="309"/>
        <v>0</v>
      </c>
      <c r="CV52" s="1030">
        <f t="shared" si="310"/>
        <v>0</v>
      </c>
      <c r="CW52" s="1014">
        <f t="shared" si="311"/>
        <v>0</v>
      </c>
      <c r="CX52" s="1014">
        <f t="shared" si="312"/>
        <v>80352</v>
      </c>
      <c r="CY52" s="1014">
        <f t="shared" si="313"/>
        <v>0</v>
      </c>
      <c r="CZ52" s="1014">
        <f t="shared" si="314"/>
        <v>0</v>
      </c>
      <c r="DA52" s="1014">
        <f t="shared" si="315"/>
        <v>0</v>
      </c>
      <c r="DB52" s="1014">
        <f t="shared" si="316"/>
        <v>0</v>
      </c>
      <c r="DC52" s="1014">
        <f t="shared" si="317"/>
        <v>0</v>
      </c>
      <c r="DD52" s="1014">
        <f t="shared" si="318"/>
        <v>0</v>
      </c>
      <c r="DE52" s="1015">
        <f t="shared" si="319"/>
        <v>0</v>
      </c>
      <c r="DF52" s="1014">
        <f t="shared" si="320"/>
        <v>0</v>
      </c>
      <c r="DG52" s="1014">
        <f t="shared" si="321"/>
        <v>0</v>
      </c>
      <c r="DH52" s="1012">
        <f t="shared" si="359"/>
        <v>80352</v>
      </c>
      <c r="DI52" s="1014">
        <f t="shared" si="322"/>
        <v>0</v>
      </c>
      <c r="DJ52" s="1014">
        <f t="shared" si="323"/>
        <v>0</v>
      </c>
      <c r="DK52" s="1014">
        <f t="shared" si="324"/>
        <v>0</v>
      </c>
      <c r="DL52" s="1014">
        <f t="shared" si="325"/>
        <v>0</v>
      </c>
      <c r="DM52" s="1014">
        <f t="shared" si="326"/>
        <v>0</v>
      </c>
      <c r="DN52" s="1014">
        <f t="shared" si="327"/>
        <v>0</v>
      </c>
      <c r="DO52" s="1014">
        <f t="shared" si="328"/>
        <v>0</v>
      </c>
      <c r="DP52" s="1014">
        <f t="shared" si="329"/>
        <v>0</v>
      </c>
      <c r="DQ52" s="1020">
        <f t="shared" si="330"/>
        <v>0</v>
      </c>
      <c r="DR52" s="1014">
        <f t="shared" si="331"/>
        <v>0</v>
      </c>
      <c r="DS52" s="1014">
        <f t="shared" si="332"/>
        <v>0</v>
      </c>
      <c r="DT52" s="1025">
        <f t="shared" si="360"/>
        <v>0</v>
      </c>
    </row>
    <row r="53" spans="1:124" x14ac:dyDescent="0.2">
      <c r="A53" s="908" t="s">
        <v>280</v>
      </c>
      <c r="B53" s="908"/>
      <c r="C53" s="910">
        <f t="shared" si="347"/>
        <v>0</v>
      </c>
      <c r="D53" s="910">
        <f t="shared" si="348"/>
        <v>0</v>
      </c>
      <c r="E53" s="910">
        <f t="shared" si="349"/>
        <v>480000</v>
      </c>
      <c r="F53" s="910">
        <f t="shared" si="242"/>
        <v>0</v>
      </c>
      <c r="G53" s="910">
        <f t="shared" si="350"/>
        <v>0</v>
      </c>
      <c r="H53" s="910">
        <f t="shared" si="351"/>
        <v>0</v>
      </c>
      <c r="I53" s="910">
        <f t="shared" si="352"/>
        <v>0</v>
      </c>
      <c r="J53" s="910">
        <f t="shared" si="243"/>
        <v>0</v>
      </c>
      <c r="K53" s="910">
        <f t="shared" si="244"/>
        <v>0</v>
      </c>
      <c r="L53" s="910">
        <f t="shared" si="245"/>
        <v>0</v>
      </c>
      <c r="M53" s="910">
        <f t="shared" si="353"/>
        <v>0</v>
      </c>
      <c r="N53" s="910">
        <f t="shared" si="354"/>
        <v>0</v>
      </c>
      <c r="O53" s="910">
        <f t="shared" si="355"/>
        <v>47338.549999999996</v>
      </c>
      <c r="P53" s="910">
        <f t="shared" si="246"/>
        <v>0</v>
      </c>
      <c r="Q53" s="910">
        <f t="shared" si="356"/>
        <v>0</v>
      </c>
      <c r="R53" s="910">
        <f t="shared" si="357"/>
        <v>0</v>
      </c>
      <c r="S53" s="910">
        <f t="shared" si="358"/>
        <v>527338.55000000005</v>
      </c>
      <c r="T53" s="1037">
        <f t="shared" si="247"/>
        <v>383338.55000000005</v>
      </c>
      <c r="U53" s="1034">
        <f t="shared" si="117"/>
        <v>0</v>
      </c>
      <c r="V53" s="1034">
        <f t="shared" si="118"/>
        <v>0</v>
      </c>
      <c r="W53" s="1034">
        <f t="shared" si="119"/>
        <v>0</v>
      </c>
      <c r="X53" s="1034">
        <f t="shared" si="120"/>
        <v>0</v>
      </c>
      <c r="Y53" s="1034">
        <f t="shared" si="121"/>
        <v>0</v>
      </c>
      <c r="Z53" s="1034">
        <f t="shared" si="122"/>
        <v>0</v>
      </c>
      <c r="AA53" s="1034">
        <f t="shared" si="123"/>
        <v>0</v>
      </c>
      <c r="AB53" s="1034">
        <f t="shared" si="124"/>
        <v>0</v>
      </c>
      <c r="AC53" s="1034">
        <f t="shared" si="125"/>
        <v>0</v>
      </c>
      <c r="AD53" s="1034">
        <f t="shared" si="126"/>
        <v>0</v>
      </c>
      <c r="AE53" s="1034">
        <f t="shared" si="127"/>
        <v>0</v>
      </c>
      <c r="AF53" s="1034">
        <f t="shared" si="128"/>
        <v>0</v>
      </c>
      <c r="AG53" s="1034">
        <f t="shared" si="129"/>
        <v>144000</v>
      </c>
      <c r="AH53" s="1041">
        <f t="shared" si="130"/>
        <v>0.27306935933282328</v>
      </c>
      <c r="AI53" s="1014">
        <f t="shared" si="248"/>
        <v>0</v>
      </c>
      <c r="AJ53" s="1025">
        <f t="shared" si="131"/>
        <v>0</v>
      </c>
      <c r="AK53" s="1014">
        <f t="shared" si="249"/>
        <v>0</v>
      </c>
      <c r="AL53" s="1025">
        <f t="shared" si="132"/>
        <v>0</v>
      </c>
      <c r="AM53" s="1014">
        <f t="shared" si="250"/>
        <v>0</v>
      </c>
      <c r="AN53" s="1025">
        <f t="shared" si="133"/>
        <v>0</v>
      </c>
      <c r="AO53" s="1014">
        <f t="shared" si="251"/>
        <v>0</v>
      </c>
      <c r="AP53" s="1014">
        <f t="shared" si="252"/>
        <v>0</v>
      </c>
      <c r="AQ53" s="1014">
        <f t="shared" si="253"/>
        <v>0</v>
      </c>
      <c r="AR53" s="1015">
        <f t="shared" si="254"/>
        <v>0</v>
      </c>
      <c r="AS53" s="1025">
        <f t="shared" si="255"/>
        <v>0</v>
      </c>
      <c r="AT53" s="1014">
        <f t="shared" si="256"/>
        <v>0</v>
      </c>
      <c r="AU53" s="1014">
        <f t="shared" si="257"/>
        <v>0</v>
      </c>
      <c r="AV53" s="1014">
        <f t="shared" si="258"/>
        <v>0</v>
      </c>
      <c r="AW53" s="1014">
        <f t="shared" si="259"/>
        <v>0</v>
      </c>
      <c r="AX53" s="1014">
        <f t="shared" si="260"/>
        <v>0</v>
      </c>
      <c r="AY53" s="1014">
        <f t="shared" si="261"/>
        <v>0</v>
      </c>
      <c r="AZ53" s="1025">
        <f t="shared" si="262"/>
        <v>0</v>
      </c>
      <c r="BA53" s="1014">
        <f t="shared" si="263"/>
        <v>0</v>
      </c>
      <c r="BB53" s="1014">
        <f t="shared" si="264"/>
        <v>0</v>
      </c>
      <c r="BC53" s="1014">
        <f t="shared" si="265"/>
        <v>0</v>
      </c>
      <c r="BD53" s="1014">
        <f t="shared" si="266"/>
        <v>0</v>
      </c>
      <c r="BE53" s="1014">
        <f t="shared" si="267"/>
        <v>0</v>
      </c>
      <c r="BF53" s="1014">
        <f t="shared" si="268"/>
        <v>0</v>
      </c>
      <c r="BG53" s="1025">
        <f t="shared" si="269"/>
        <v>0</v>
      </c>
      <c r="BH53" s="1014">
        <f t="shared" si="270"/>
        <v>0</v>
      </c>
      <c r="BI53" s="1014">
        <f t="shared" si="271"/>
        <v>0</v>
      </c>
      <c r="BJ53" s="1014">
        <f t="shared" si="272"/>
        <v>0</v>
      </c>
      <c r="BK53" s="1014">
        <f t="shared" si="273"/>
        <v>0</v>
      </c>
      <c r="BL53" s="1014">
        <f t="shared" si="274"/>
        <v>0</v>
      </c>
      <c r="BM53" s="1014">
        <f t="shared" si="275"/>
        <v>0</v>
      </c>
      <c r="BN53" s="1025">
        <f t="shared" si="276"/>
        <v>0</v>
      </c>
      <c r="BO53" s="1014">
        <f t="shared" si="277"/>
        <v>0</v>
      </c>
      <c r="BP53" s="1014">
        <f t="shared" si="278"/>
        <v>0</v>
      </c>
      <c r="BQ53" s="1014">
        <f t="shared" si="279"/>
        <v>0</v>
      </c>
      <c r="BR53" s="1014">
        <f t="shared" si="280"/>
        <v>0</v>
      </c>
      <c r="BS53" s="1014">
        <f t="shared" si="281"/>
        <v>0</v>
      </c>
      <c r="BT53" s="1025">
        <f t="shared" si="282"/>
        <v>0</v>
      </c>
      <c r="BU53" s="1014">
        <f t="shared" si="283"/>
        <v>0</v>
      </c>
      <c r="BV53" s="1014">
        <f t="shared" si="284"/>
        <v>0</v>
      </c>
      <c r="BW53" s="1014">
        <f t="shared" si="285"/>
        <v>0</v>
      </c>
      <c r="BX53" s="1014">
        <f t="shared" si="286"/>
        <v>0</v>
      </c>
      <c r="BY53" s="1014">
        <f t="shared" si="287"/>
        <v>0</v>
      </c>
      <c r="BZ53" s="1014">
        <f t="shared" si="288"/>
        <v>0</v>
      </c>
      <c r="CA53" s="1014">
        <f t="shared" si="289"/>
        <v>0</v>
      </c>
      <c r="CB53" s="1014">
        <f t="shared" si="290"/>
        <v>0</v>
      </c>
      <c r="CC53" s="1014">
        <f t="shared" si="291"/>
        <v>0</v>
      </c>
      <c r="CD53" s="1015">
        <f t="shared" si="292"/>
        <v>0</v>
      </c>
      <c r="CE53" s="1014">
        <f t="shared" si="293"/>
        <v>0</v>
      </c>
      <c r="CF53" s="1025">
        <f t="shared" si="294"/>
        <v>0</v>
      </c>
      <c r="CG53" s="1014">
        <f t="shared" si="295"/>
        <v>0</v>
      </c>
      <c r="CH53" s="1014">
        <f t="shared" si="296"/>
        <v>0</v>
      </c>
      <c r="CI53" s="1014">
        <f t="shared" si="297"/>
        <v>0</v>
      </c>
      <c r="CJ53" s="1014">
        <f t="shared" si="298"/>
        <v>0</v>
      </c>
      <c r="CK53" s="1014">
        <f t="shared" si="299"/>
        <v>0</v>
      </c>
      <c r="CL53" s="1014">
        <f t="shared" si="300"/>
        <v>0</v>
      </c>
      <c r="CM53" s="1014">
        <f t="shared" si="301"/>
        <v>0</v>
      </c>
      <c r="CN53" s="1015">
        <f t="shared" si="302"/>
        <v>0</v>
      </c>
      <c r="CO53" s="1014">
        <f t="shared" si="303"/>
        <v>0</v>
      </c>
      <c r="CP53" s="1025">
        <f t="shared" si="304"/>
        <v>0</v>
      </c>
      <c r="CQ53" s="1014">
        <f t="shared" si="305"/>
        <v>0</v>
      </c>
      <c r="CR53" s="1014">
        <f t="shared" si="306"/>
        <v>0</v>
      </c>
      <c r="CS53" s="1014">
        <f t="shared" si="307"/>
        <v>0</v>
      </c>
      <c r="CT53" s="1014">
        <f t="shared" si="308"/>
        <v>0</v>
      </c>
      <c r="CU53" s="1015">
        <f t="shared" si="309"/>
        <v>0</v>
      </c>
      <c r="CV53" s="1030">
        <f t="shared" si="310"/>
        <v>0</v>
      </c>
      <c r="CW53" s="1014">
        <f t="shared" si="311"/>
        <v>0</v>
      </c>
      <c r="CX53" s="1014">
        <f t="shared" si="312"/>
        <v>0</v>
      </c>
      <c r="CY53" s="1014">
        <f t="shared" si="313"/>
        <v>0</v>
      </c>
      <c r="CZ53" s="1014">
        <f t="shared" si="314"/>
        <v>0</v>
      </c>
      <c r="DA53" s="1014">
        <f t="shared" si="315"/>
        <v>0</v>
      </c>
      <c r="DB53" s="1014">
        <f t="shared" si="316"/>
        <v>0</v>
      </c>
      <c r="DC53" s="1014">
        <f t="shared" si="317"/>
        <v>0</v>
      </c>
      <c r="DD53" s="1014">
        <f t="shared" si="318"/>
        <v>0</v>
      </c>
      <c r="DE53" s="1015">
        <f t="shared" si="319"/>
        <v>0</v>
      </c>
      <c r="DF53" s="1014">
        <f t="shared" si="320"/>
        <v>0</v>
      </c>
      <c r="DG53" s="1014">
        <f t="shared" si="321"/>
        <v>0</v>
      </c>
      <c r="DH53" s="1012">
        <f t="shared" si="359"/>
        <v>0</v>
      </c>
      <c r="DI53" s="1014">
        <f t="shared" si="322"/>
        <v>0</v>
      </c>
      <c r="DJ53" s="1014">
        <f t="shared" si="323"/>
        <v>0</v>
      </c>
      <c r="DK53" s="1014">
        <f t="shared" si="324"/>
        <v>144000</v>
      </c>
      <c r="DL53" s="1014">
        <f t="shared" si="325"/>
        <v>0</v>
      </c>
      <c r="DM53" s="1014">
        <f t="shared" si="326"/>
        <v>0</v>
      </c>
      <c r="DN53" s="1014">
        <f t="shared" si="327"/>
        <v>0</v>
      </c>
      <c r="DO53" s="1014">
        <f t="shared" si="328"/>
        <v>0</v>
      </c>
      <c r="DP53" s="1014">
        <f t="shared" si="329"/>
        <v>0</v>
      </c>
      <c r="DQ53" s="1020">
        <f t="shared" si="330"/>
        <v>0</v>
      </c>
      <c r="DR53" s="1014">
        <f t="shared" si="331"/>
        <v>0</v>
      </c>
      <c r="DS53" s="1014">
        <f t="shared" si="332"/>
        <v>0</v>
      </c>
      <c r="DT53" s="1025">
        <f t="shared" si="360"/>
        <v>144000</v>
      </c>
    </row>
    <row r="54" spans="1:124" x14ac:dyDescent="0.2">
      <c r="A54" s="908" t="s">
        <v>357</v>
      </c>
      <c r="B54" s="908"/>
      <c r="C54" s="910">
        <f t="shared" si="347"/>
        <v>0</v>
      </c>
      <c r="D54" s="910">
        <f t="shared" si="348"/>
        <v>115000</v>
      </c>
      <c r="E54" s="910">
        <f t="shared" si="349"/>
        <v>0</v>
      </c>
      <c r="F54" s="910">
        <f t="shared" si="242"/>
        <v>0</v>
      </c>
      <c r="G54" s="910">
        <f t="shared" si="350"/>
        <v>0</v>
      </c>
      <c r="H54" s="910">
        <f t="shared" si="351"/>
        <v>0</v>
      </c>
      <c r="I54" s="910">
        <f t="shared" si="352"/>
        <v>0</v>
      </c>
      <c r="J54" s="910">
        <f t="shared" si="243"/>
        <v>0</v>
      </c>
      <c r="K54" s="910">
        <f t="shared" si="244"/>
        <v>0</v>
      </c>
      <c r="L54" s="910">
        <f t="shared" si="245"/>
        <v>0</v>
      </c>
      <c r="M54" s="910">
        <f t="shared" si="353"/>
        <v>0</v>
      </c>
      <c r="N54" s="910">
        <f t="shared" si="354"/>
        <v>0</v>
      </c>
      <c r="O54" s="910">
        <f t="shared" si="355"/>
        <v>0</v>
      </c>
      <c r="P54" s="910">
        <f t="shared" si="246"/>
        <v>0</v>
      </c>
      <c r="Q54" s="910">
        <f t="shared" si="356"/>
        <v>0</v>
      </c>
      <c r="R54" s="910">
        <f t="shared" si="357"/>
        <v>0</v>
      </c>
      <c r="S54" s="910">
        <f t="shared" si="358"/>
        <v>115000</v>
      </c>
      <c r="T54" s="1037">
        <f t="shared" si="247"/>
        <v>115000</v>
      </c>
      <c r="U54" s="1034">
        <f t="shared" si="117"/>
        <v>0</v>
      </c>
      <c r="V54" s="1034">
        <f t="shared" si="118"/>
        <v>0</v>
      </c>
      <c r="W54" s="1034">
        <f t="shared" si="119"/>
        <v>0</v>
      </c>
      <c r="X54" s="1034">
        <f t="shared" si="120"/>
        <v>0</v>
      </c>
      <c r="Y54" s="1034">
        <f t="shared" si="121"/>
        <v>0</v>
      </c>
      <c r="Z54" s="1034">
        <f t="shared" si="122"/>
        <v>0</v>
      </c>
      <c r="AA54" s="1034">
        <f t="shared" si="123"/>
        <v>0</v>
      </c>
      <c r="AB54" s="1034">
        <f t="shared" si="124"/>
        <v>0</v>
      </c>
      <c r="AC54" s="1034">
        <f t="shared" si="125"/>
        <v>0</v>
      </c>
      <c r="AD54" s="1034">
        <f t="shared" si="126"/>
        <v>0</v>
      </c>
      <c r="AE54" s="1034">
        <f t="shared" si="127"/>
        <v>0</v>
      </c>
      <c r="AF54" s="1034">
        <f t="shared" si="128"/>
        <v>0</v>
      </c>
      <c r="AG54" s="1034">
        <f t="shared" si="129"/>
        <v>0</v>
      </c>
      <c r="AH54" s="1041" t="str">
        <f t="shared" si="130"/>
        <v>-</v>
      </c>
      <c r="AI54" s="1014">
        <f t="shared" si="248"/>
        <v>0</v>
      </c>
      <c r="AJ54" s="1025">
        <f t="shared" si="131"/>
        <v>0</v>
      </c>
      <c r="AK54" s="1014">
        <f t="shared" si="249"/>
        <v>0</v>
      </c>
      <c r="AL54" s="1025">
        <f t="shared" si="132"/>
        <v>0</v>
      </c>
      <c r="AM54" s="1014">
        <f t="shared" si="250"/>
        <v>0</v>
      </c>
      <c r="AN54" s="1025">
        <f t="shared" si="133"/>
        <v>0</v>
      </c>
      <c r="AO54" s="1014">
        <f t="shared" si="251"/>
        <v>0</v>
      </c>
      <c r="AP54" s="1014">
        <f t="shared" si="252"/>
        <v>0</v>
      </c>
      <c r="AQ54" s="1014">
        <f t="shared" si="253"/>
        <v>0</v>
      </c>
      <c r="AR54" s="1015">
        <f t="shared" si="254"/>
        <v>0</v>
      </c>
      <c r="AS54" s="1025">
        <f t="shared" si="255"/>
        <v>0</v>
      </c>
      <c r="AT54" s="1014">
        <f t="shared" si="256"/>
        <v>0</v>
      </c>
      <c r="AU54" s="1014">
        <f t="shared" si="257"/>
        <v>0</v>
      </c>
      <c r="AV54" s="1014">
        <f t="shared" si="258"/>
        <v>0</v>
      </c>
      <c r="AW54" s="1014">
        <f t="shared" si="259"/>
        <v>0</v>
      </c>
      <c r="AX54" s="1014">
        <f t="shared" si="260"/>
        <v>0</v>
      </c>
      <c r="AY54" s="1014">
        <f t="shared" si="261"/>
        <v>0</v>
      </c>
      <c r="AZ54" s="1025">
        <f t="shared" si="262"/>
        <v>0</v>
      </c>
      <c r="BA54" s="1014">
        <f t="shared" si="263"/>
        <v>0</v>
      </c>
      <c r="BB54" s="1014">
        <f t="shared" si="264"/>
        <v>0</v>
      </c>
      <c r="BC54" s="1014">
        <f t="shared" si="265"/>
        <v>0</v>
      </c>
      <c r="BD54" s="1014">
        <f t="shared" si="266"/>
        <v>0</v>
      </c>
      <c r="BE54" s="1014">
        <f t="shared" si="267"/>
        <v>0</v>
      </c>
      <c r="BF54" s="1014">
        <f t="shared" si="268"/>
        <v>0</v>
      </c>
      <c r="BG54" s="1025">
        <f t="shared" si="269"/>
        <v>0</v>
      </c>
      <c r="BH54" s="1014">
        <f t="shared" si="270"/>
        <v>0</v>
      </c>
      <c r="BI54" s="1014">
        <f t="shared" si="271"/>
        <v>0</v>
      </c>
      <c r="BJ54" s="1014">
        <f t="shared" si="272"/>
        <v>0</v>
      </c>
      <c r="BK54" s="1014">
        <f t="shared" si="273"/>
        <v>0</v>
      </c>
      <c r="BL54" s="1014">
        <f t="shared" si="274"/>
        <v>0</v>
      </c>
      <c r="BM54" s="1014">
        <f t="shared" si="275"/>
        <v>0</v>
      </c>
      <c r="BN54" s="1025">
        <f t="shared" si="276"/>
        <v>0</v>
      </c>
      <c r="BO54" s="1014">
        <f t="shared" si="277"/>
        <v>0</v>
      </c>
      <c r="BP54" s="1014">
        <f t="shared" si="278"/>
        <v>0</v>
      </c>
      <c r="BQ54" s="1014">
        <f t="shared" si="279"/>
        <v>0</v>
      </c>
      <c r="BR54" s="1014">
        <f t="shared" si="280"/>
        <v>0</v>
      </c>
      <c r="BS54" s="1014">
        <f t="shared" si="281"/>
        <v>0</v>
      </c>
      <c r="BT54" s="1025">
        <f t="shared" si="282"/>
        <v>0</v>
      </c>
      <c r="BU54" s="1014">
        <f t="shared" si="283"/>
        <v>0</v>
      </c>
      <c r="BV54" s="1014">
        <f t="shared" si="284"/>
        <v>0</v>
      </c>
      <c r="BW54" s="1014">
        <f t="shared" si="285"/>
        <v>0</v>
      </c>
      <c r="BX54" s="1014">
        <f t="shared" si="286"/>
        <v>0</v>
      </c>
      <c r="BY54" s="1014">
        <f t="shared" si="287"/>
        <v>0</v>
      </c>
      <c r="BZ54" s="1014">
        <f t="shared" si="288"/>
        <v>0</v>
      </c>
      <c r="CA54" s="1014">
        <f t="shared" si="289"/>
        <v>0</v>
      </c>
      <c r="CB54" s="1014">
        <f t="shared" si="290"/>
        <v>0</v>
      </c>
      <c r="CC54" s="1014">
        <f t="shared" si="291"/>
        <v>0</v>
      </c>
      <c r="CD54" s="1015">
        <f t="shared" si="292"/>
        <v>0</v>
      </c>
      <c r="CE54" s="1014">
        <f t="shared" si="293"/>
        <v>0</v>
      </c>
      <c r="CF54" s="1025">
        <f t="shared" si="294"/>
        <v>0</v>
      </c>
      <c r="CG54" s="1014">
        <f t="shared" si="295"/>
        <v>0</v>
      </c>
      <c r="CH54" s="1014">
        <f t="shared" si="296"/>
        <v>0</v>
      </c>
      <c r="CI54" s="1014">
        <f t="shared" si="297"/>
        <v>0</v>
      </c>
      <c r="CJ54" s="1014">
        <f t="shared" si="298"/>
        <v>0</v>
      </c>
      <c r="CK54" s="1014">
        <f t="shared" si="299"/>
        <v>0</v>
      </c>
      <c r="CL54" s="1014">
        <f t="shared" si="300"/>
        <v>0</v>
      </c>
      <c r="CM54" s="1014">
        <f t="shared" si="301"/>
        <v>0</v>
      </c>
      <c r="CN54" s="1015">
        <f t="shared" si="302"/>
        <v>0</v>
      </c>
      <c r="CO54" s="1014">
        <f t="shared" si="303"/>
        <v>0</v>
      </c>
      <c r="CP54" s="1025">
        <f t="shared" si="304"/>
        <v>0</v>
      </c>
      <c r="CQ54" s="1014">
        <f t="shared" si="305"/>
        <v>0</v>
      </c>
      <c r="CR54" s="1014">
        <f t="shared" si="306"/>
        <v>0</v>
      </c>
      <c r="CS54" s="1014">
        <f t="shared" si="307"/>
        <v>0</v>
      </c>
      <c r="CT54" s="1014">
        <f t="shared" si="308"/>
        <v>0</v>
      </c>
      <c r="CU54" s="1015">
        <f t="shared" si="309"/>
        <v>0</v>
      </c>
      <c r="CV54" s="1030">
        <f t="shared" si="310"/>
        <v>0</v>
      </c>
      <c r="CW54" s="1014">
        <f t="shared" si="311"/>
        <v>0</v>
      </c>
      <c r="CX54" s="1014">
        <f t="shared" si="312"/>
        <v>0</v>
      </c>
      <c r="CY54" s="1014">
        <f t="shared" si="313"/>
        <v>0</v>
      </c>
      <c r="CZ54" s="1014">
        <f t="shared" si="314"/>
        <v>0</v>
      </c>
      <c r="DA54" s="1014">
        <f t="shared" si="315"/>
        <v>0</v>
      </c>
      <c r="DB54" s="1014">
        <f t="shared" si="316"/>
        <v>0</v>
      </c>
      <c r="DC54" s="1014">
        <f t="shared" si="317"/>
        <v>0</v>
      </c>
      <c r="DD54" s="1014">
        <f t="shared" si="318"/>
        <v>0</v>
      </c>
      <c r="DE54" s="1015">
        <f t="shared" si="319"/>
        <v>0</v>
      </c>
      <c r="DF54" s="1014">
        <f t="shared" si="320"/>
        <v>0</v>
      </c>
      <c r="DG54" s="1014">
        <f t="shared" si="321"/>
        <v>0</v>
      </c>
      <c r="DH54" s="1012">
        <f t="shared" si="359"/>
        <v>0</v>
      </c>
      <c r="DI54" s="1014">
        <f t="shared" si="322"/>
        <v>0</v>
      </c>
      <c r="DJ54" s="1014">
        <f t="shared" si="323"/>
        <v>0</v>
      </c>
      <c r="DK54" s="1014">
        <f t="shared" si="324"/>
        <v>0</v>
      </c>
      <c r="DL54" s="1014">
        <f t="shared" si="325"/>
        <v>0</v>
      </c>
      <c r="DM54" s="1014">
        <f t="shared" si="326"/>
        <v>0</v>
      </c>
      <c r="DN54" s="1014">
        <f t="shared" si="327"/>
        <v>0</v>
      </c>
      <c r="DO54" s="1014">
        <f t="shared" si="328"/>
        <v>0</v>
      </c>
      <c r="DP54" s="1014">
        <f t="shared" si="329"/>
        <v>0</v>
      </c>
      <c r="DQ54" s="1020">
        <f t="shared" si="330"/>
        <v>0</v>
      </c>
      <c r="DR54" s="1014">
        <f t="shared" si="331"/>
        <v>0</v>
      </c>
      <c r="DS54" s="1014">
        <f t="shared" si="332"/>
        <v>0</v>
      </c>
      <c r="DT54" s="1025">
        <f t="shared" si="360"/>
        <v>0</v>
      </c>
    </row>
    <row r="55" spans="1:124" x14ac:dyDescent="0.2">
      <c r="A55" s="908" t="s">
        <v>325</v>
      </c>
      <c r="B55" s="908"/>
      <c r="C55" s="910">
        <f t="shared" si="347"/>
        <v>0</v>
      </c>
      <c r="D55" s="910">
        <f t="shared" si="348"/>
        <v>0</v>
      </c>
      <c r="E55" s="910">
        <f t="shared" si="349"/>
        <v>780000</v>
      </c>
      <c r="F55" s="910">
        <f t="shared" si="242"/>
        <v>0</v>
      </c>
      <c r="G55" s="910">
        <f t="shared" si="350"/>
        <v>0</v>
      </c>
      <c r="H55" s="910">
        <f t="shared" si="351"/>
        <v>0</v>
      </c>
      <c r="I55" s="910">
        <f t="shared" si="352"/>
        <v>0</v>
      </c>
      <c r="J55" s="910">
        <f t="shared" si="243"/>
        <v>0</v>
      </c>
      <c r="K55" s="910">
        <f t="shared" si="244"/>
        <v>0</v>
      </c>
      <c r="L55" s="910">
        <f t="shared" si="245"/>
        <v>0</v>
      </c>
      <c r="M55" s="910">
        <f t="shared" si="353"/>
        <v>0</v>
      </c>
      <c r="N55" s="910">
        <f t="shared" si="354"/>
        <v>0</v>
      </c>
      <c r="O55" s="910">
        <f t="shared" si="355"/>
        <v>0</v>
      </c>
      <c r="P55" s="910">
        <f t="shared" si="246"/>
        <v>0</v>
      </c>
      <c r="Q55" s="910">
        <f t="shared" si="356"/>
        <v>0</v>
      </c>
      <c r="R55" s="910">
        <f t="shared" si="357"/>
        <v>0</v>
      </c>
      <c r="S55" s="910">
        <f t="shared" si="358"/>
        <v>780000</v>
      </c>
      <c r="T55" s="1037">
        <f t="shared" si="247"/>
        <v>780000</v>
      </c>
      <c r="U55" s="1034">
        <f t="shared" si="117"/>
        <v>0</v>
      </c>
      <c r="V55" s="1034">
        <f t="shared" si="118"/>
        <v>0</v>
      </c>
      <c r="W55" s="1034">
        <f t="shared" si="119"/>
        <v>0</v>
      </c>
      <c r="X55" s="1034">
        <f t="shared" si="120"/>
        <v>0</v>
      </c>
      <c r="Y55" s="1034">
        <f t="shared" si="121"/>
        <v>0</v>
      </c>
      <c r="Z55" s="1034">
        <f t="shared" si="122"/>
        <v>0</v>
      </c>
      <c r="AA55" s="1034">
        <f t="shared" si="123"/>
        <v>0</v>
      </c>
      <c r="AB55" s="1034">
        <f t="shared" si="124"/>
        <v>0</v>
      </c>
      <c r="AC55" s="1034">
        <f t="shared" si="125"/>
        <v>0</v>
      </c>
      <c r="AD55" s="1034">
        <f t="shared" si="126"/>
        <v>0</v>
      </c>
      <c r="AE55" s="1034">
        <f t="shared" si="127"/>
        <v>0</v>
      </c>
      <c r="AF55" s="1034">
        <f t="shared" si="128"/>
        <v>0</v>
      </c>
      <c r="AG55" s="1034">
        <f t="shared" si="129"/>
        <v>0</v>
      </c>
      <c r="AH55" s="1041" t="str">
        <f t="shared" si="130"/>
        <v>-</v>
      </c>
      <c r="AI55" s="1014">
        <f t="shared" si="248"/>
        <v>0</v>
      </c>
      <c r="AJ55" s="1025">
        <f t="shared" si="131"/>
        <v>0</v>
      </c>
      <c r="AK55" s="1014">
        <f t="shared" si="249"/>
        <v>0</v>
      </c>
      <c r="AL55" s="1025">
        <f t="shared" si="132"/>
        <v>0</v>
      </c>
      <c r="AM55" s="1014">
        <f t="shared" si="250"/>
        <v>0</v>
      </c>
      <c r="AN55" s="1025">
        <f t="shared" si="133"/>
        <v>0</v>
      </c>
      <c r="AO55" s="1014">
        <f t="shared" si="251"/>
        <v>0</v>
      </c>
      <c r="AP55" s="1014">
        <f t="shared" si="252"/>
        <v>0</v>
      </c>
      <c r="AQ55" s="1014">
        <f t="shared" si="253"/>
        <v>0</v>
      </c>
      <c r="AR55" s="1015">
        <f t="shared" si="254"/>
        <v>0</v>
      </c>
      <c r="AS55" s="1025">
        <f t="shared" si="255"/>
        <v>0</v>
      </c>
      <c r="AT55" s="1014">
        <f t="shared" si="256"/>
        <v>0</v>
      </c>
      <c r="AU55" s="1014">
        <f t="shared" si="257"/>
        <v>0</v>
      </c>
      <c r="AV55" s="1014">
        <f t="shared" si="258"/>
        <v>0</v>
      </c>
      <c r="AW55" s="1014">
        <f t="shared" si="259"/>
        <v>0</v>
      </c>
      <c r="AX55" s="1014">
        <f t="shared" si="260"/>
        <v>0</v>
      </c>
      <c r="AY55" s="1014">
        <f t="shared" si="261"/>
        <v>0</v>
      </c>
      <c r="AZ55" s="1025">
        <f t="shared" si="262"/>
        <v>0</v>
      </c>
      <c r="BA55" s="1014">
        <f t="shared" si="263"/>
        <v>0</v>
      </c>
      <c r="BB55" s="1014">
        <f t="shared" si="264"/>
        <v>0</v>
      </c>
      <c r="BC55" s="1014">
        <f t="shared" si="265"/>
        <v>0</v>
      </c>
      <c r="BD55" s="1014">
        <f t="shared" si="266"/>
        <v>0</v>
      </c>
      <c r="BE55" s="1014">
        <f t="shared" si="267"/>
        <v>0</v>
      </c>
      <c r="BF55" s="1014">
        <f t="shared" si="268"/>
        <v>0</v>
      </c>
      <c r="BG55" s="1025">
        <f t="shared" si="269"/>
        <v>0</v>
      </c>
      <c r="BH55" s="1014">
        <f t="shared" si="270"/>
        <v>0</v>
      </c>
      <c r="BI55" s="1014">
        <f t="shared" si="271"/>
        <v>0</v>
      </c>
      <c r="BJ55" s="1014">
        <f t="shared" si="272"/>
        <v>0</v>
      </c>
      <c r="BK55" s="1014">
        <f t="shared" si="273"/>
        <v>0</v>
      </c>
      <c r="BL55" s="1014">
        <f t="shared" si="274"/>
        <v>0</v>
      </c>
      <c r="BM55" s="1014">
        <f t="shared" si="275"/>
        <v>0</v>
      </c>
      <c r="BN55" s="1025">
        <f t="shared" si="276"/>
        <v>0</v>
      </c>
      <c r="BO55" s="1014">
        <f t="shared" si="277"/>
        <v>0</v>
      </c>
      <c r="BP55" s="1014">
        <f t="shared" si="278"/>
        <v>0</v>
      </c>
      <c r="BQ55" s="1014">
        <f t="shared" si="279"/>
        <v>0</v>
      </c>
      <c r="BR55" s="1014">
        <f t="shared" si="280"/>
        <v>0</v>
      </c>
      <c r="BS55" s="1014">
        <f t="shared" si="281"/>
        <v>0</v>
      </c>
      <c r="BT55" s="1025">
        <f t="shared" si="282"/>
        <v>0</v>
      </c>
      <c r="BU55" s="1014">
        <f t="shared" si="283"/>
        <v>0</v>
      </c>
      <c r="BV55" s="1014">
        <f t="shared" si="284"/>
        <v>0</v>
      </c>
      <c r="BW55" s="1014">
        <f t="shared" si="285"/>
        <v>0</v>
      </c>
      <c r="BX55" s="1014">
        <f t="shared" si="286"/>
        <v>0</v>
      </c>
      <c r="BY55" s="1014">
        <f t="shared" si="287"/>
        <v>0</v>
      </c>
      <c r="BZ55" s="1014">
        <f t="shared" si="288"/>
        <v>0</v>
      </c>
      <c r="CA55" s="1014">
        <f t="shared" si="289"/>
        <v>0</v>
      </c>
      <c r="CB55" s="1014">
        <f t="shared" si="290"/>
        <v>0</v>
      </c>
      <c r="CC55" s="1014">
        <f t="shared" si="291"/>
        <v>0</v>
      </c>
      <c r="CD55" s="1015">
        <f t="shared" si="292"/>
        <v>0</v>
      </c>
      <c r="CE55" s="1014">
        <f t="shared" si="293"/>
        <v>0</v>
      </c>
      <c r="CF55" s="1025">
        <f t="shared" si="294"/>
        <v>0</v>
      </c>
      <c r="CG55" s="1014">
        <f t="shared" si="295"/>
        <v>0</v>
      </c>
      <c r="CH55" s="1014">
        <f t="shared" si="296"/>
        <v>0</v>
      </c>
      <c r="CI55" s="1014">
        <f t="shared" si="297"/>
        <v>0</v>
      </c>
      <c r="CJ55" s="1014">
        <f t="shared" si="298"/>
        <v>0</v>
      </c>
      <c r="CK55" s="1014">
        <f t="shared" si="299"/>
        <v>0</v>
      </c>
      <c r="CL55" s="1014">
        <f t="shared" si="300"/>
        <v>0</v>
      </c>
      <c r="CM55" s="1014">
        <f t="shared" si="301"/>
        <v>0</v>
      </c>
      <c r="CN55" s="1015">
        <f t="shared" si="302"/>
        <v>0</v>
      </c>
      <c r="CO55" s="1014">
        <f t="shared" si="303"/>
        <v>0</v>
      </c>
      <c r="CP55" s="1025">
        <f t="shared" si="304"/>
        <v>0</v>
      </c>
      <c r="CQ55" s="1014">
        <f t="shared" si="305"/>
        <v>0</v>
      </c>
      <c r="CR55" s="1014">
        <f t="shared" si="306"/>
        <v>0</v>
      </c>
      <c r="CS55" s="1014">
        <f t="shared" si="307"/>
        <v>0</v>
      </c>
      <c r="CT55" s="1014">
        <f t="shared" si="308"/>
        <v>0</v>
      </c>
      <c r="CU55" s="1015">
        <f t="shared" si="309"/>
        <v>0</v>
      </c>
      <c r="CV55" s="1030">
        <f t="shared" si="310"/>
        <v>0</v>
      </c>
      <c r="CW55" s="1014">
        <f t="shared" si="311"/>
        <v>0</v>
      </c>
      <c r="CX55" s="1014">
        <f t="shared" si="312"/>
        <v>0</v>
      </c>
      <c r="CY55" s="1014">
        <f t="shared" si="313"/>
        <v>0</v>
      </c>
      <c r="CZ55" s="1014">
        <f t="shared" si="314"/>
        <v>0</v>
      </c>
      <c r="DA55" s="1014">
        <f t="shared" si="315"/>
        <v>0</v>
      </c>
      <c r="DB55" s="1014">
        <f t="shared" si="316"/>
        <v>0</v>
      </c>
      <c r="DC55" s="1014">
        <f t="shared" si="317"/>
        <v>0</v>
      </c>
      <c r="DD55" s="1014">
        <f t="shared" si="318"/>
        <v>0</v>
      </c>
      <c r="DE55" s="1015">
        <f t="shared" si="319"/>
        <v>0</v>
      </c>
      <c r="DF55" s="1014">
        <f t="shared" si="320"/>
        <v>0</v>
      </c>
      <c r="DG55" s="1014">
        <f t="shared" si="321"/>
        <v>0</v>
      </c>
      <c r="DH55" s="1012">
        <f t="shared" si="359"/>
        <v>0</v>
      </c>
      <c r="DI55" s="1014">
        <f t="shared" si="322"/>
        <v>0</v>
      </c>
      <c r="DJ55" s="1014">
        <f t="shared" si="323"/>
        <v>0</v>
      </c>
      <c r="DK55" s="1014">
        <f t="shared" si="324"/>
        <v>0</v>
      </c>
      <c r="DL55" s="1014">
        <f t="shared" si="325"/>
        <v>0</v>
      </c>
      <c r="DM55" s="1014">
        <f t="shared" si="326"/>
        <v>0</v>
      </c>
      <c r="DN55" s="1014">
        <f t="shared" si="327"/>
        <v>0</v>
      </c>
      <c r="DO55" s="1014">
        <f t="shared" si="328"/>
        <v>0</v>
      </c>
      <c r="DP55" s="1014">
        <f t="shared" si="329"/>
        <v>0</v>
      </c>
      <c r="DQ55" s="1020">
        <f t="shared" si="330"/>
        <v>0</v>
      </c>
      <c r="DR55" s="1014">
        <f t="shared" si="331"/>
        <v>0</v>
      </c>
      <c r="DS55" s="1014">
        <f t="shared" si="332"/>
        <v>0</v>
      </c>
      <c r="DT55" s="1025">
        <f t="shared" si="360"/>
        <v>0</v>
      </c>
    </row>
    <row r="56" spans="1:124" x14ac:dyDescent="0.2">
      <c r="A56" s="908" t="s">
        <v>299</v>
      </c>
      <c r="B56" s="908"/>
      <c r="C56" s="910">
        <f t="shared" si="347"/>
        <v>0</v>
      </c>
      <c r="D56" s="910">
        <f t="shared" si="348"/>
        <v>10920</v>
      </c>
      <c r="E56" s="910">
        <f t="shared" si="349"/>
        <v>0</v>
      </c>
      <c r="F56" s="910">
        <f t="shared" si="242"/>
        <v>0</v>
      </c>
      <c r="G56" s="910">
        <f t="shared" si="350"/>
        <v>0</v>
      </c>
      <c r="H56" s="910">
        <f t="shared" si="351"/>
        <v>0</v>
      </c>
      <c r="I56" s="910">
        <f t="shared" si="352"/>
        <v>0</v>
      </c>
      <c r="J56" s="910">
        <f t="shared" si="243"/>
        <v>0</v>
      </c>
      <c r="K56" s="910">
        <f t="shared" si="244"/>
        <v>0</v>
      </c>
      <c r="L56" s="910">
        <f t="shared" si="245"/>
        <v>0</v>
      </c>
      <c r="M56" s="910">
        <f t="shared" si="353"/>
        <v>0</v>
      </c>
      <c r="N56" s="910">
        <f t="shared" si="354"/>
        <v>0</v>
      </c>
      <c r="O56" s="910">
        <f t="shared" si="355"/>
        <v>0</v>
      </c>
      <c r="P56" s="910">
        <f t="shared" si="246"/>
        <v>0</v>
      </c>
      <c r="Q56" s="910">
        <f t="shared" si="356"/>
        <v>0</v>
      </c>
      <c r="R56" s="910">
        <f t="shared" si="357"/>
        <v>0</v>
      </c>
      <c r="S56" s="910">
        <f t="shared" si="358"/>
        <v>10920</v>
      </c>
      <c r="T56" s="1037">
        <f t="shared" si="247"/>
        <v>4268.63</v>
      </c>
      <c r="U56" s="1034">
        <f t="shared" si="117"/>
        <v>0</v>
      </c>
      <c r="V56" s="1034">
        <f t="shared" si="118"/>
        <v>0</v>
      </c>
      <c r="W56" s="1034">
        <f t="shared" si="119"/>
        <v>0</v>
      </c>
      <c r="X56" s="1034">
        <f t="shared" si="120"/>
        <v>0</v>
      </c>
      <c r="Y56" s="1034">
        <f t="shared" si="121"/>
        <v>0</v>
      </c>
      <c r="Z56" s="1034">
        <f t="shared" si="122"/>
        <v>0</v>
      </c>
      <c r="AA56" s="1034">
        <f t="shared" si="123"/>
        <v>0</v>
      </c>
      <c r="AB56" s="1034">
        <f t="shared" si="124"/>
        <v>0</v>
      </c>
      <c r="AC56" s="1034">
        <f t="shared" si="125"/>
        <v>0</v>
      </c>
      <c r="AD56" s="1034">
        <f t="shared" si="126"/>
        <v>0</v>
      </c>
      <c r="AE56" s="1034">
        <f t="shared" si="127"/>
        <v>0</v>
      </c>
      <c r="AF56" s="1034">
        <f t="shared" si="128"/>
        <v>6651.37</v>
      </c>
      <c r="AG56" s="1034">
        <f t="shared" si="129"/>
        <v>6651.37</v>
      </c>
      <c r="AH56" s="1041">
        <f t="shared" si="130"/>
        <v>0.60909981684981684</v>
      </c>
      <c r="AI56" s="1014">
        <f t="shared" si="248"/>
        <v>0</v>
      </c>
      <c r="AJ56" s="1025">
        <f t="shared" si="131"/>
        <v>0</v>
      </c>
      <c r="AK56" s="1014">
        <f t="shared" si="249"/>
        <v>0</v>
      </c>
      <c r="AL56" s="1025">
        <f t="shared" si="132"/>
        <v>0</v>
      </c>
      <c r="AM56" s="1014">
        <f t="shared" si="250"/>
        <v>0</v>
      </c>
      <c r="AN56" s="1025">
        <f t="shared" si="133"/>
        <v>0</v>
      </c>
      <c r="AO56" s="1014">
        <f t="shared" si="251"/>
        <v>0</v>
      </c>
      <c r="AP56" s="1014">
        <f t="shared" si="252"/>
        <v>0</v>
      </c>
      <c r="AQ56" s="1014">
        <f t="shared" si="253"/>
        <v>0</v>
      </c>
      <c r="AR56" s="1015">
        <f t="shared" si="254"/>
        <v>0</v>
      </c>
      <c r="AS56" s="1025">
        <f t="shared" si="255"/>
        <v>0</v>
      </c>
      <c r="AT56" s="1014">
        <f t="shared" si="256"/>
        <v>0</v>
      </c>
      <c r="AU56" s="1014">
        <f t="shared" si="257"/>
        <v>0</v>
      </c>
      <c r="AV56" s="1014">
        <f t="shared" si="258"/>
        <v>0</v>
      </c>
      <c r="AW56" s="1014">
        <f t="shared" si="259"/>
        <v>0</v>
      </c>
      <c r="AX56" s="1014">
        <f t="shared" si="260"/>
        <v>0</v>
      </c>
      <c r="AY56" s="1014">
        <f t="shared" si="261"/>
        <v>0</v>
      </c>
      <c r="AZ56" s="1025">
        <f t="shared" si="262"/>
        <v>0</v>
      </c>
      <c r="BA56" s="1014">
        <f t="shared" si="263"/>
        <v>0</v>
      </c>
      <c r="BB56" s="1014">
        <f t="shared" si="264"/>
        <v>0</v>
      </c>
      <c r="BC56" s="1014">
        <f t="shared" si="265"/>
        <v>0</v>
      </c>
      <c r="BD56" s="1014">
        <f t="shared" si="266"/>
        <v>0</v>
      </c>
      <c r="BE56" s="1014">
        <f t="shared" si="267"/>
        <v>0</v>
      </c>
      <c r="BF56" s="1014">
        <f t="shared" si="268"/>
        <v>0</v>
      </c>
      <c r="BG56" s="1025">
        <f t="shared" si="269"/>
        <v>0</v>
      </c>
      <c r="BH56" s="1014">
        <f t="shared" si="270"/>
        <v>0</v>
      </c>
      <c r="BI56" s="1014">
        <f t="shared" si="271"/>
        <v>0</v>
      </c>
      <c r="BJ56" s="1014">
        <f t="shared" si="272"/>
        <v>0</v>
      </c>
      <c r="BK56" s="1014">
        <f t="shared" si="273"/>
        <v>0</v>
      </c>
      <c r="BL56" s="1014">
        <f t="shared" si="274"/>
        <v>0</v>
      </c>
      <c r="BM56" s="1014">
        <f t="shared" si="275"/>
        <v>0</v>
      </c>
      <c r="BN56" s="1025">
        <f t="shared" si="276"/>
        <v>0</v>
      </c>
      <c r="BO56" s="1014">
        <f t="shared" si="277"/>
        <v>0</v>
      </c>
      <c r="BP56" s="1014">
        <f t="shared" si="278"/>
        <v>0</v>
      </c>
      <c r="BQ56" s="1014">
        <f t="shared" si="279"/>
        <v>0</v>
      </c>
      <c r="BR56" s="1014">
        <f t="shared" si="280"/>
        <v>0</v>
      </c>
      <c r="BS56" s="1014">
        <f t="shared" si="281"/>
        <v>0</v>
      </c>
      <c r="BT56" s="1025">
        <f t="shared" si="282"/>
        <v>0</v>
      </c>
      <c r="BU56" s="1014">
        <f t="shared" si="283"/>
        <v>0</v>
      </c>
      <c r="BV56" s="1014">
        <f t="shared" si="284"/>
        <v>0</v>
      </c>
      <c r="BW56" s="1014">
        <f t="shared" si="285"/>
        <v>0</v>
      </c>
      <c r="BX56" s="1014">
        <f t="shared" si="286"/>
        <v>0</v>
      </c>
      <c r="BY56" s="1014">
        <f t="shared" si="287"/>
        <v>0</v>
      </c>
      <c r="BZ56" s="1014">
        <f t="shared" si="288"/>
        <v>0</v>
      </c>
      <c r="CA56" s="1014">
        <f t="shared" si="289"/>
        <v>0</v>
      </c>
      <c r="CB56" s="1014">
        <f t="shared" si="290"/>
        <v>0</v>
      </c>
      <c r="CC56" s="1014">
        <f t="shared" si="291"/>
        <v>0</v>
      </c>
      <c r="CD56" s="1015">
        <f t="shared" si="292"/>
        <v>0</v>
      </c>
      <c r="CE56" s="1014">
        <f t="shared" si="293"/>
        <v>0</v>
      </c>
      <c r="CF56" s="1025">
        <f t="shared" si="294"/>
        <v>0</v>
      </c>
      <c r="CG56" s="1014">
        <f t="shared" si="295"/>
        <v>0</v>
      </c>
      <c r="CH56" s="1014">
        <f t="shared" si="296"/>
        <v>0</v>
      </c>
      <c r="CI56" s="1014">
        <f t="shared" si="297"/>
        <v>0</v>
      </c>
      <c r="CJ56" s="1014">
        <f t="shared" si="298"/>
        <v>0</v>
      </c>
      <c r="CK56" s="1014">
        <f t="shared" si="299"/>
        <v>0</v>
      </c>
      <c r="CL56" s="1014">
        <f t="shared" si="300"/>
        <v>0</v>
      </c>
      <c r="CM56" s="1014">
        <f t="shared" si="301"/>
        <v>0</v>
      </c>
      <c r="CN56" s="1015">
        <f t="shared" si="302"/>
        <v>0</v>
      </c>
      <c r="CO56" s="1014">
        <f t="shared" si="303"/>
        <v>0</v>
      </c>
      <c r="CP56" s="1025">
        <f t="shared" si="304"/>
        <v>0</v>
      </c>
      <c r="CQ56" s="1014">
        <f t="shared" si="305"/>
        <v>0</v>
      </c>
      <c r="CR56" s="1014">
        <f t="shared" si="306"/>
        <v>0</v>
      </c>
      <c r="CS56" s="1014">
        <f t="shared" si="307"/>
        <v>0</v>
      </c>
      <c r="CT56" s="1014">
        <f t="shared" si="308"/>
        <v>0</v>
      </c>
      <c r="CU56" s="1015">
        <f t="shared" si="309"/>
        <v>0</v>
      </c>
      <c r="CV56" s="1030">
        <f t="shared" si="310"/>
        <v>0</v>
      </c>
      <c r="CW56" s="1014">
        <f t="shared" si="311"/>
        <v>0</v>
      </c>
      <c r="CX56" s="1014">
        <f t="shared" si="312"/>
        <v>6651.37</v>
      </c>
      <c r="CY56" s="1014">
        <f t="shared" si="313"/>
        <v>0</v>
      </c>
      <c r="CZ56" s="1014">
        <f t="shared" si="314"/>
        <v>0</v>
      </c>
      <c r="DA56" s="1014">
        <f t="shared" si="315"/>
        <v>0</v>
      </c>
      <c r="DB56" s="1014">
        <f t="shared" si="316"/>
        <v>0</v>
      </c>
      <c r="DC56" s="1014">
        <f t="shared" si="317"/>
        <v>0</v>
      </c>
      <c r="DD56" s="1014">
        <f t="shared" si="318"/>
        <v>0</v>
      </c>
      <c r="DE56" s="1015">
        <f t="shared" si="319"/>
        <v>0</v>
      </c>
      <c r="DF56" s="1014">
        <f t="shared" si="320"/>
        <v>0</v>
      </c>
      <c r="DG56" s="1014">
        <f t="shared" si="321"/>
        <v>0</v>
      </c>
      <c r="DH56" s="1012">
        <f t="shared" si="359"/>
        <v>6651.37</v>
      </c>
      <c r="DI56" s="1014">
        <f t="shared" si="322"/>
        <v>0</v>
      </c>
      <c r="DJ56" s="1014">
        <f t="shared" si="323"/>
        <v>0</v>
      </c>
      <c r="DK56" s="1014">
        <f t="shared" si="324"/>
        <v>0</v>
      </c>
      <c r="DL56" s="1014">
        <f t="shared" si="325"/>
        <v>0</v>
      </c>
      <c r="DM56" s="1014">
        <f t="shared" si="326"/>
        <v>0</v>
      </c>
      <c r="DN56" s="1014">
        <f t="shared" si="327"/>
        <v>0</v>
      </c>
      <c r="DO56" s="1014">
        <f t="shared" si="328"/>
        <v>0</v>
      </c>
      <c r="DP56" s="1014">
        <f t="shared" si="329"/>
        <v>0</v>
      </c>
      <c r="DQ56" s="1020">
        <f t="shared" si="330"/>
        <v>0</v>
      </c>
      <c r="DR56" s="1014">
        <f t="shared" si="331"/>
        <v>0</v>
      </c>
      <c r="DS56" s="1014">
        <f t="shared" si="332"/>
        <v>0</v>
      </c>
      <c r="DT56" s="1025">
        <f t="shared" si="360"/>
        <v>0</v>
      </c>
    </row>
    <row r="57" spans="1:124" x14ac:dyDescent="0.2">
      <c r="A57" s="908" t="s">
        <v>381</v>
      </c>
      <c r="B57" s="908"/>
      <c r="C57" s="910">
        <f t="shared" si="347"/>
        <v>0</v>
      </c>
      <c r="D57" s="910">
        <f t="shared" si="348"/>
        <v>0</v>
      </c>
      <c r="E57" s="910">
        <f t="shared" si="349"/>
        <v>900000</v>
      </c>
      <c r="F57" s="910">
        <f t="shared" si="242"/>
        <v>0</v>
      </c>
      <c r="G57" s="910">
        <f t="shared" si="350"/>
        <v>0</v>
      </c>
      <c r="H57" s="910">
        <f t="shared" si="351"/>
        <v>0</v>
      </c>
      <c r="I57" s="910">
        <f t="shared" si="352"/>
        <v>0</v>
      </c>
      <c r="J57" s="910">
        <f t="shared" si="243"/>
        <v>0</v>
      </c>
      <c r="K57" s="910">
        <f t="shared" si="244"/>
        <v>0</v>
      </c>
      <c r="L57" s="910">
        <f t="shared" si="245"/>
        <v>0</v>
      </c>
      <c r="M57" s="910">
        <f t="shared" si="353"/>
        <v>9355</v>
      </c>
      <c r="N57" s="910">
        <f t="shared" si="354"/>
        <v>0</v>
      </c>
      <c r="O57" s="910">
        <f t="shared" si="355"/>
        <v>153960.43669999999</v>
      </c>
      <c r="P57" s="910">
        <f t="shared" si="246"/>
        <v>0</v>
      </c>
      <c r="Q57" s="910">
        <f t="shared" si="356"/>
        <v>0</v>
      </c>
      <c r="R57" s="910">
        <f t="shared" si="357"/>
        <v>0</v>
      </c>
      <c r="S57" s="910">
        <f t="shared" si="358"/>
        <v>1063315.4367</v>
      </c>
      <c r="T57" s="1037">
        <f t="shared" si="247"/>
        <v>592845.43669999996</v>
      </c>
      <c r="U57" s="1034">
        <f t="shared" si="117"/>
        <v>0</v>
      </c>
      <c r="V57" s="1034">
        <f t="shared" si="118"/>
        <v>0</v>
      </c>
      <c r="W57" s="1034">
        <f t="shared" si="119"/>
        <v>0</v>
      </c>
      <c r="X57" s="1034">
        <f t="shared" si="120"/>
        <v>0</v>
      </c>
      <c r="Y57" s="1034">
        <f t="shared" si="121"/>
        <v>0</v>
      </c>
      <c r="Z57" s="1034">
        <f t="shared" si="122"/>
        <v>0</v>
      </c>
      <c r="AA57" s="1034">
        <f t="shared" si="123"/>
        <v>0</v>
      </c>
      <c r="AB57" s="1034">
        <f t="shared" si="124"/>
        <v>0</v>
      </c>
      <c r="AC57" s="1034">
        <f t="shared" si="125"/>
        <v>0</v>
      </c>
      <c r="AD57" s="1034">
        <f t="shared" si="126"/>
        <v>0</v>
      </c>
      <c r="AE57" s="1034">
        <f t="shared" si="127"/>
        <v>0</v>
      </c>
      <c r="AF57" s="1034">
        <f t="shared" si="128"/>
        <v>270000</v>
      </c>
      <c r="AG57" s="1034">
        <f t="shared" si="129"/>
        <v>470470</v>
      </c>
      <c r="AH57" s="1041">
        <f t="shared" si="130"/>
        <v>0.44245572269702382</v>
      </c>
      <c r="AI57" s="1014">
        <f t="shared" si="248"/>
        <v>0</v>
      </c>
      <c r="AJ57" s="1025">
        <f t="shared" si="131"/>
        <v>0</v>
      </c>
      <c r="AK57" s="1014">
        <f t="shared" si="249"/>
        <v>0</v>
      </c>
      <c r="AL57" s="1025">
        <f t="shared" si="132"/>
        <v>0</v>
      </c>
      <c r="AM57" s="1014">
        <f t="shared" si="250"/>
        <v>0</v>
      </c>
      <c r="AN57" s="1025">
        <f t="shared" si="133"/>
        <v>0</v>
      </c>
      <c r="AO57" s="1014">
        <f t="shared" si="251"/>
        <v>0</v>
      </c>
      <c r="AP57" s="1014">
        <f t="shared" si="252"/>
        <v>0</v>
      </c>
      <c r="AQ57" s="1014">
        <f t="shared" si="253"/>
        <v>0</v>
      </c>
      <c r="AR57" s="1015">
        <f t="shared" si="254"/>
        <v>0</v>
      </c>
      <c r="AS57" s="1025">
        <f t="shared" si="255"/>
        <v>0</v>
      </c>
      <c r="AT57" s="1014">
        <f t="shared" si="256"/>
        <v>0</v>
      </c>
      <c r="AU57" s="1014">
        <f t="shared" si="257"/>
        <v>0</v>
      </c>
      <c r="AV57" s="1014">
        <f t="shared" si="258"/>
        <v>0</v>
      </c>
      <c r="AW57" s="1014">
        <f t="shared" si="259"/>
        <v>0</v>
      </c>
      <c r="AX57" s="1014">
        <f t="shared" si="260"/>
        <v>0</v>
      </c>
      <c r="AY57" s="1014">
        <f t="shared" si="261"/>
        <v>0</v>
      </c>
      <c r="AZ57" s="1025">
        <f t="shared" si="262"/>
        <v>0</v>
      </c>
      <c r="BA57" s="1014">
        <f t="shared" si="263"/>
        <v>0</v>
      </c>
      <c r="BB57" s="1014">
        <f t="shared" si="264"/>
        <v>0</v>
      </c>
      <c r="BC57" s="1014">
        <f t="shared" si="265"/>
        <v>0</v>
      </c>
      <c r="BD57" s="1014">
        <f t="shared" si="266"/>
        <v>0</v>
      </c>
      <c r="BE57" s="1014">
        <f t="shared" si="267"/>
        <v>0</v>
      </c>
      <c r="BF57" s="1014">
        <f t="shared" si="268"/>
        <v>0</v>
      </c>
      <c r="BG57" s="1025">
        <f t="shared" si="269"/>
        <v>0</v>
      </c>
      <c r="BH57" s="1014">
        <f t="shared" si="270"/>
        <v>0</v>
      </c>
      <c r="BI57" s="1014">
        <f t="shared" si="271"/>
        <v>0</v>
      </c>
      <c r="BJ57" s="1014">
        <f t="shared" si="272"/>
        <v>0</v>
      </c>
      <c r="BK57" s="1014">
        <f t="shared" si="273"/>
        <v>0</v>
      </c>
      <c r="BL57" s="1014">
        <f t="shared" si="274"/>
        <v>0</v>
      </c>
      <c r="BM57" s="1014">
        <f t="shared" si="275"/>
        <v>0</v>
      </c>
      <c r="BN57" s="1025">
        <f t="shared" si="276"/>
        <v>0</v>
      </c>
      <c r="BO57" s="1014">
        <f t="shared" si="277"/>
        <v>0</v>
      </c>
      <c r="BP57" s="1014">
        <f t="shared" si="278"/>
        <v>0</v>
      </c>
      <c r="BQ57" s="1014">
        <f t="shared" si="279"/>
        <v>0</v>
      </c>
      <c r="BR57" s="1014">
        <f t="shared" si="280"/>
        <v>0</v>
      </c>
      <c r="BS57" s="1014">
        <f t="shared" si="281"/>
        <v>0</v>
      </c>
      <c r="BT57" s="1025">
        <f t="shared" si="282"/>
        <v>0</v>
      </c>
      <c r="BU57" s="1014">
        <f t="shared" si="283"/>
        <v>0</v>
      </c>
      <c r="BV57" s="1014">
        <f t="shared" si="284"/>
        <v>0</v>
      </c>
      <c r="BW57" s="1014">
        <f t="shared" si="285"/>
        <v>0</v>
      </c>
      <c r="BX57" s="1014">
        <f t="shared" si="286"/>
        <v>0</v>
      </c>
      <c r="BY57" s="1014">
        <f t="shared" si="287"/>
        <v>0</v>
      </c>
      <c r="BZ57" s="1014">
        <f t="shared" si="288"/>
        <v>0</v>
      </c>
      <c r="CA57" s="1014">
        <f t="shared" si="289"/>
        <v>0</v>
      </c>
      <c r="CB57" s="1014">
        <f t="shared" si="290"/>
        <v>0</v>
      </c>
      <c r="CC57" s="1014">
        <f t="shared" si="291"/>
        <v>0</v>
      </c>
      <c r="CD57" s="1015">
        <f t="shared" si="292"/>
        <v>0</v>
      </c>
      <c r="CE57" s="1014">
        <f t="shared" si="293"/>
        <v>0</v>
      </c>
      <c r="CF57" s="1025">
        <f t="shared" si="294"/>
        <v>0</v>
      </c>
      <c r="CG57" s="1014">
        <f t="shared" si="295"/>
        <v>0</v>
      </c>
      <c r="CH57" s="1014">
        <f t="shared" si="296"/>
        <v>0</v>
      </c>
      <c r="CI57" s="1014">
        <f t="shared" si="297"/>
        <v>0</v>
      </c>
      <c r="CJ57" s="1014">
        <f t="shared" si="298"/>
        <v>0</v>
      </c>
      <c r="CK57" s="1014">
        <f t="shared" si="299"/>
        <v>0</v>
      </c>
      <c r="CL57" s="1014">
        <f t="shared" si="300"/>
        <v>0</v>
      </c>
      <c r="CM57" s="1014">
        <f t="shared" si="301"/>
        <v>0</v>
      </c>
      <c r="CN57" s="1015">
        <f t="shared" si="302"/>
        <v>0</v>
      </c>
      <c r="CO57" s="1014">
        <f t="shared" si="303"/>
        <v>0</v>
      </c>
      <c r="CP57" s="1025">
        <f t="shared" si="304"/>
        <v>0</v>
      </c>
      <c r="CQ57" s="1014">
        <f t="shared" si="305"/>
        <v>0</v>
      </c>
      <c r="CR57" s="1014">
        <f t="shared" si="306"/>
        <v>0</v>
      </c>
      <c r="CS57" s="1014">
        <f t="shared" si="307"/>
        <v>0</v>
      </c>
      <c r="CT57" s="1014">
        <f t="shared" si="308"/>
        <v>0</v>
      </c>
      <c r="CU57" s="1015">
        <f t="shared" si="309"/>
        <v>0</v>
      </c>
      <c r="CV57" s="1030">
        <f t="shared" si="310"/>
        <v>0</v>
      </c>
      <c r="CW57" s="1014">
        <f t="shared" si="311"/>
        <v>0</v>
      </c>
      <c r="CX57" s="1014">
        <f t="shared" si="312"/>
        <v>0</v>
      </c>
      <c r="CY57" s="1014">
        <f t="shared" si="313"/>
        <v>270000</v>
      </c>
      <c r="CZ57" s="1014">
        <f t="shared" si="314"/>
        <v>0</v>
      </c>
      <c r="DA57" s="1014">
        <f t="shared" si="315"/>
        <v>0</v>
      </c>
      <c r="DB57" s="1014">
        <f t="shared" si="316"/>
        <v>0</v>
      </c>
      <c r="DC57" s="1014">
        <f t="shared" si="317"/>
        <v>0</v>
      </c>
      <c r="DD57" s="1014">
        <f t="shared" si="318"/>
        <v>0</v>
      </c>
      <c r="DE57" s="1015">
        <f t="shared" si="319"/>
        <v>0</v>
      </c>
      <c r="DF57" s="1014">
        <f t="shared" si="320"/>
        <v>0</v>
      </c>
      <c r="DG57" s="1014">
        <f t="shared" si="321"/>
        <v>0</v>
      </c>
      <c r="DH57" s="1012">
        <f t="shared" si="359"/>
        <v>270000</v>
      </c>
      <c r="DI57" s="1014">
        <f t="shared" si="322"/>
        <v>0</v>
      </c>
      <c r="DJ57" s="1014">
        <f t="shared" si="323"/>
        <v>0</v>
      </c>
      <c r="DK57" s="1014">
        <f t="shared" si="324"/>
        <v>200470</v>
      </c>
      <c r="DL57" s="1014">
        <f t="shared" si="325"/>
        <v>0</v>
      </c>
      <c r="DM57" s="1014">
        <f t="shared" si="326"/>
        <v>0</v>
      </c>
      <c r="DN57" s="1014">
        <f t="shared" si="327"/>
        <v>0</v>
      </c>
      <c r="DO57" s="1014">
        <f t="shared" si="328"/>
        <v>0</v>
      </c>
      <c r="DP57" s="1014">
        <f t="shared" si="329"/>
        <v>0</v>
      </c>
      <c r="DQ57" s="1020">
        <f t="shared" si="330"/>
        <v>0</v>
      </c>
      <c r="DR57" s="1014">
        <f t="shared" si="331"/>
        <v>0</v>
      </c>
      <c r="DS57" s="1014">
        <f t="shared" si="332"/>
        <v>0</v>
      </c>
      <c r="DT57" s="1025">
        <f t="shared" si="360"/>
        <v>200470</v>
      </c>
    </row>
    <row r="58" spans="1:124" x14ac:dyDescent="0.2">
      <c r="A58" s="908" t="s">
        <v>389</v>
      </c>
      <c r="B58" s="908"/>
      <c r="C58" s="910">
        <f t="shared" si="347"/>
        <v>0</v>
      </c>
      <c r="D58" s="910">
        <f t="shared" si="348"/>
        <v>0</v>
      </c>
      <c r="E58" s="910">
        <f t="shared" si="349"/>
        <v>0</v>
      </c>
      <c r="F58" s="910">
        <f t="shared" si="242"/>
        <v>0</v>
      </c>
      <c r="G58" s="910">
        <f t="shared" si="350"/>
        <v>0</v>
      </c>
      <c r="H58" s="910">
        <f t="shared" si="351"/>
        <v>0</v>
      </c>
      <c r="I58" s="910">
        <f t="shared" si="352"/>
        <v>0</v>
      </c>
      <c r="J58" s="910">
        <f t="shared" si="243"/>
        <v>0</v>
      </c>
      <c r="K58" s="910">
        <f t="shared" si="244"/>
        <v>0</v>
      </c>
      <c r="L58" s="910">
        <f t="shared" si="245"/>
        <v>0</v>
      </c>
      <c r="M58" s="910">
        <f t="shared" si="353"/>
        <v>13720</v>
      </c>
      <c r="N58" s="910">
        <f t="shared" si="354"/>
        <v>0</v>
      </c>
      <c r="O58" s="910">
        <f t="shared" si="355"/>
        <v>0</v>
      </c>
      <c r="P58" s="910">
        <f t="shared" si="246"/>
        <v>0</v>
      </c>
      <c r="Q58" s="910">
        <f t="shared" si="356"/>
        <v>0</v>
      </c>
      <c r="R58" s="910">
        <f t="shared" si="357"/>
        <v>0</v>
      </c>
      <c r="S58" s="910">
        <f t="shared" si="358"/>
        <v>13720</v>
      </c>
      <c r="T58" s="1037">
        <f t="shared" si="247"/>
        <v>0</v>
      </c>
      <c r="U58" s="1034">
        <f t="shared" si="117"/>
        <v>0</v>
      </c>
      <c r="V58" s="1034">
        <f t="shared" si="118"/>
        <v>0</v>
      </c>
      <c r="W58" s="1034">
        <f t="shared" si="119"/>
        <v>0</v>
      </c>
      <c r="X58" s="1034">
        <f t="shared" si="120"/>
        <v>0</v>
      </c>
      <c r="Y58" s="1034">
        <f t="shared" si="121"/>
        <v>0</v>
      </c>
      <c r="Z58" s="1034">
        <f t="shared" si="122"/>
        <v>0</v>
      </c>
      <c r="AA58" s="1034">
        <f t="shared" si="123"/>
        <v>0</v>
      </c>
      <c r="AB58" s="1034">
        <f t="shared" si="124"/>
        <v>0</v>
      </c>
      <c r="AC58" s="1034">
        <f t="shared" si="125"/>
        <v>0</v>
      </c>
      <c r="AD58" s="1034">
        <f t="shared" si="126"/>
        <v>0</v>
      </c>
      <c r="AE58" s="1034">
        <f t="shared" si="127"/>
        <v>0</v>
      </c>
      <c r="AF58" s="1034">
        <f t="shared" si="128"/>
        <v>13720</v>
      </c>
      <c r="AG58" s="1034">
        <f t="shared" si="129"/>
        <v>13720</v>
      </c>
      <c r="AH58" s="1041">
        <f t="shared" si="130"/>
        <v>1</v>
      </c>
      <c r="AI58" s="1014">
        <f t="shared" si="248"/>
        <v>0</v>
      </c>
      <c r="AJ58" s="1025">
        <f t="shared" si="131"/>
        <v>0</v>
      </c>
      <c r="AK58" s="1014">
        <f t="shared" si="249"/>
        <v>0</v>
      </c>
      <c r="AL58" s="1025">
        <f t="shared" si="132"/>
        <v>0</v>
      </c>
      <c r="AM58" s="1014">
        <f t="shared" si="250"/>
        <v>0</v>
      </c>
      <c r="AN58" s="1025">
        <f t="shared" si="133"/>
        <v>0</v>
      </c>
      <c r="AO58" s="1014">
        <f t="shared" si="251"/>
        <v>0</v>
      </c>
      <c r="AP58" s="1014">
        <f t="shared" si="252"/>
        <v>0</v>
      </c>
      <c r="AQ58" s="1014">
        <f t="shared" si="253"/>
        <v>0</v>
      </c>
      <c r="AR58" s="1015">
        <f t="shared" si="254"/>
        <v>0</v>
      </c>
      <c r="AS58" s="1025">
        <f t="shared" si="255"/>
        <v>0</v>
      </c>
      <c r="AT58" s="1014">
        <f t="shared" si="256"/>
        <v>0</v>
      </c>
      <c r="AU58" s="1014">
        <f t="shared" si="257"/>
        <v>0</v>
      </c>
      <c r="AV58" s="1014">
        <f t="shared" si="258"/>
        <v>0</v>
      </c>
      <c r="AW58" s="1014">
        <f t="shared" si="259"/>
        <v>0</v>
      </c>
      <c r="AX58" s="1014">
        <f t="shared" si="260"/>
        <v>0</v>
      </c>
      <c r="AY58" s="1014">
        <f t="shared" si="261"/>
        <v>0</v>
      </c>
      <c r="AZ58" s="1025">
        <f t="shared" si="262"/>
        <v>0</v>
      </c>
      <c r="BA58" s="1014">
        <f t="shared" si="263"/>
        <v>0</v>
      </c>
      <c r="BB58" s="1014">
        <f t="shared" si="264"/>
        <v>0</v>
      </c>
      <c r="BC58" s="1014">
        <f t="shared" si="265"/>
        <v>0</v>
      </c>
      <c r="BD58" s="1014">
        <f t="shared" si="266"/>
        <v>0</v>
      </c>
      <c r="BE58" s="1014">
        <f t="shared" si="267"/>
        <v>0</v>
      </c>
      <c r="BF58" s="1014">
        <f t="shared" si="268"/>
        <v>0</v>
      </c>
      <c r="BG58" s="1025">
        <f t="shared" si="269"/>
        <v>0</v>
      </c>
      <c r="BH58" s="1014">
        <f t="shared" si="270"/>
        <v>0</v>
      </c>
      <c r="BI58" s="1014">
        <f t="shared" si="271"/>
        <v>0</v>
      </c>
      <c r="BJ58" s="1014">
        <f t="shared" si="272"/>
        <v>0</v>
      </c>
      <c r="BK58" s="1014">
        <f t="shared" si="273"/>
        <v>0</v>
      </c>
      <c r="BL58" s="1014">
        <f t="shared" si="274"/>
        <v>0</v>
      </c>
      <c r="BM58" s="1014">
        <f t="shared" si="275"/>
        <v>0</v>
      </c>
      <c r="BN58" s="1025">
        <f t="shared" si="276"/>
        <v>0</v>
      </c>
      <c r="BO58" s="1014">
        <f t="shared" si="277"/>
        <v>0</v>
      </c>
      <c r="BP58" s="1014">
        <f t="shared" si="278"/>
        <v>0</v>
      </c>
      <c r="BQ58" s="1014">
        <f t="shared" si="279"/>
        <v>0</v>
      </c>
      <c r="BR58" s="1014">
        <f t="shared" si="280"/>
        <v>0</v>
      </c>
      <c r="BS58" s="1014">
        <f t="shared" si="281"/>
        <v>0</v>
      </c>
      <c r="BT58" s="1025">
        <f t="shared" si="282"/>
        <v>0</v>
      </c>
      <c r="BU58" s="1014">
        <f t="shared" si="283"/>
        <v>0</v>
      </c>
      <c r="BV58" s="1014">
        <f t="shared" si="284"/>
        <v>0</v>
      </c>
      <c r="BW58" s="1014">
        <f t="shared" si="285"/>
        <v>0</v>
      </c>
      <c r="BX58" s="1014">
        <f t="shared" si="286"/>
        <v>0</v>
      </c>
      <c r="BY58" s="1014">
        <f t="shared" si="287"/>
        <v>0</v>
      </c>
      <c r="BZ58" s="1014">
        <f t="shared" si="288"/>
        <v>0</v>
      </c>
      <c r="CA58" s="1014">
        <f t="shared" si="289"/>
        <v>0</v>
      </c>
      <c r="CB58" s="1014">
        <f t="shared" si="290"/>
        <v>0</v>
      </c>
      <c r="CC58" s="1014">
        <f t="shared" si="291"/>
        <v>0</v>
      </c>
      <c r="CD58" s="1015">
        <f t="shared" si="292"/>
        <v>0</v>
      </c>
      <c r="CE58" s="1014">
        <f t="shared" si="293"/>
        <v>0</v>
      </c>
      <c r="CF58" s="1025">
        <f t="shared" si="294"/>
        <v>0</v>
      </c>
      <c r="CG58" s="1014">
        <f t="shared" si="295"/>
        <v>0</v>
      </c>
      <c r="CH58" s="1014">
        <f t="shared" si="296"/>
        <v>0</v>
      </c>
      <c r="CI58" s="1014">
        <f t="shared" si="297"/>
        <v>0</v>
      </c>
      <c r="CJ58" s="1014">
        <f t="shared" si="298"/>
        <v>0</v>
      </c>
      <c r="CK58" s="1014">
        <f t="shared" si="299"/>
        <v>0</v>
      </c>
      <c r="CL58" s="1014">
        <f t="shared" si="300"/>
        <v>0</v>
      </c>
      <c r="CM58" s="1014">
        <f t="shared" si="301"/>
        <v>0</v>
      </c>
      <c r="CN58" s="1015">
        <f t="shared" si="302"/>
        <v>0</v>
      </c>
      <c r="CO58" s="1014">
        <f t="shared" si="303"/>
        <v>0</v>
      </c>
      <c r="CP58" s="1025">
        <f t="shared" si="304"/>
        <v>0</v>
      </c>
      <c r="CQ58" s="1014">
        <f t="shared" si="305"/>
        <v>0</v>
      </c>
      <c r="CR58" s="1014">
        <f t="shared" si="306"/>
        <v>0</v>
      </c>
      <c r="CS58" s="1014">
        <f t="shared" si="307"/>
        <v>0</v>
      </c>
      <c r="CT58" s="1014">
        <f t="shared" si="308"/>
        <v>0</v>
      </c>
      <c r="CU58" s="1015">
        <f t="shared" si="309"/>
        <v>0</v>
      </c>
      <c r="CV58" s="1030">
        <f t="shared" si="310"/>
        <v>0</v>
      </c>
      <c r="CW58" s="1014">
        <f t="shared" si="311"/>
        <v>0</v>
      </c>
      <c r="CX58" s="1014">
        <f t="shared" si="312"/>
        <v>0</v>
      </c>
      <c r="CY58" s="1014">
        <f t="shared" si="313"/>
        <v>0</v>
      </c>
      <c r="CZ58" s="1014">
        <f t="shared" si="314"/>
        <v>0</v>
      </c>
      <c r="DA58" s="1014">
        <f t="shared" si="315"/>
        <v>0</v>
      </c>
      <c r="DB58" s="1014">
        <f t="shared" si="316"/>
        <v>0</v>
      </c>
      <c r="DC58" s="1014">
        <f t="shared" si="317"/>
        <v>13720</v>
      </c>
      <c r="DD58" s="1014">
        <f t="shared" si="318"/>
        <v>0</v>
      </c>
      <c r="DE58" s="1015">
        <f t="shared" si="319"/>
        <v>0</v>
      </c>
      <c r="DF58" s="1014">
        <f t="shared" si="320"/>
        <v>0</v>
      </c>
      <c r="DG58" s="1014">
        <f t="shared" si="321"/>
        <v>0</v>
      </c>
      <c r="DH58" s="1012">
        <f t="shared" si="359"/>
        <v>13720</v>
      </c>
      <c r="DI58" s="1014">
        <f t="shared" si="322"/>
        <v>0</v>
      </c>
      <c r="DJ58" s="1014">
        <f t="shared" si="323"/>
        <v>0</v>
      </c>
      <c r="DK58" s="1014">
        <f t="shared" si="324"/>
        <v>0</v>
      </c>
      <c r="DL58" s="1014">
        <f t="shared" si="325"/>
        <v>0</v>
      </c>
      <c r="DM58" s="1014">
        <f t="shared" si="326"/>
        <v>0</v>
      </c>
      <c r="DN58" s="1014">
        <f t="shared" si="327"/>
        <v>0</v>
      </c>
      <c r="DO58" s="1014">
        <f t="shared" si="328"/>
        <v>0</v>
      </c>
      <c r="DP58" s="1014">
        <f t="shared" si="329"/>
        <v>0</v>
      </c>
      <c r="DQ58" s="1020">
        <f t="shared" si="330"/>
        <v>0</v>
      </c>
      <c r="DR58" s="1014">
        <f t="shared" si="331"/>
        <v>0</v>
      </c>
      <c r="DS58" s="1014">
        <f t="shared" si="332"/>
        <v>0</v>
      </c>
      <c r="DT58" s="1025">
        <f t="shared" si="360"/>
        <v>0</v>
      </c>
    </row>
    <row r="59" spans="1:124" x14ac:dyDescent="0.2">
      <c r="A59" s="908" t="s">
        <v>303</v>
      </c>
      <c r="B59" s="908"/>
      <c r="C59" s="910">
        <f t="shared" si="347"/>
        <v>0</v>
      </c>
      <c r="D59" s="910">
        <f t="shared" si="348"/>
        <v>281250</v>
      </c>
      <c r="E59" s="910">
        <f t="shared" si="349"/>
        <v>0</v>
      </c>
      <c r="F59" s="910">
        <f t="shared" si="242"/>
        <v>0</v>
      </c>
      <c r="G59" s="910">
        <f t="shared" si="350"/>
        <v>0</v>
      </c>
      <c r="H59" s="910">
        <f t="shared" si="351"/>
        <v>0</v>
      </c>
      <c r="I59" s="910">
        <f t="shared" si="352"/>
        <v>0</v>
      </c>
      <c r="J59" s="910">
        <f t="shared" si="243"/>
        <v>0</v>
      </c>
      <c r="K59" s="910">
        <f t="shared" si="244"/>
        <v>0</v>
      </c>
      <c r="L59" s="910">
        <f t="shared" si="245"/>
        <v>0</v>
      </c>
      <c r="M59" s="910">
        <f t="shared" si="353"/>
        <v>0</v>
      </c>
      <c r="N59" s="910">
        <f t="shared" si="354"/>
        <v>0</v>
      </c>
      <c r="O59" s="910">
        <f t="shared" si="355"/>
        <v>0</v>
      </c>
      <c r="P59" s="910">
        <f t="shared" si="246"/>
        <v>0</v>
      </c>
      <c r="Q59" s="910">
        <f t="shared" si="356"/>
        <v>0</v>
      </c>
      <c r="R59" s="910">
        <f t="shared" si="357"/>
        <v>0</v>
      </c>
      <c r="S59" s="910">
        <f t="shared" si="358"/>
        <v>281250</v>
      </c>
      <c r="T59" s="1037">
        <f t="shared" si="247"/>
        <v>197268.75</v>
      </c>
      <c r="U59" s="1034">
        <f t="shared" si="117"/>
        <v>0</v>
      </c>
      <c r="V59" s="1034">
        <f t="shared" si="118"/>
        <v>0</v>
      </c>
      <c r="W59" s="1034">
        <f t="shared" si="119"/>
        <v>0</v>
      </c>
      <c r="X59" s="1034">
        <f t="shared" si="120"/>
        <v>0</v>
      </c>
      <c r="Y59" s="1034">
        <f t="shared" si="121"/>
        <v>0</v>
      </c>
      <c r="Z59" s="1034">
        <f t="shared" si="122"/>
        <v>0</v>
      </c>
      <c r="AA59" s="1034">
        <f t="shared" si="123"/>
        <v>0</v>
      </c>
      <c r="AB59" s="1034">
        <f t="shared" si="124"/>
        <v>0</v>
      </c>
      <c r="AC59" s="1034">
        <f t="shared" si="125"/>
        <v>0</v>
      </c>
      <c r="AD59" s="1034">
        <f t="shared" si="126"/>
        <v>0</v>
      </c>
      <c r="AE59" s="1034">
        <f t="shared" si="127"/>
        <v>0</v>
      </c>
      <c r="AF59" s="1034">
        <f t="shared" si="128"/>
        <v>56250</v>
      </c>
      <c r="AG59" s="1034">
        <f t="shared" si="129"/>
        <v>83981.25</v>
      </c>
      <c r="AH59" s="1041">
        <f t="shared" si="130"/>
        <v>0.29859999999999998</v>
      </c>
      <c r="AI59" s="1014">
        <f t="shared" si="248"/>
        <v>0</v>
      </c>
      <c r="AJ59" s="1025">
        <f t="shared" si="131"/>
        <v>0</v>
      </c>
      <c r="AK59" s="1014">
        <f t="shared" si="249"/>
        <v>0</v>
      </c>
      <c r="AL59" s="1025">
        <f t="shared" si="132"/>
        <v>0</v>
      </c>
      <c r="AM59" s="1014">
        <f t="shared" si="250"/>
        <v>0</v>
      </c>
      <c r="AN59" s="1025">
        <f t="shared" si="133"/>
        <v>0</v>
      </c>
      <c r="AO59" s="1014">
        <f t="shared" si="251"/>
        <v>0</v>
      </c>
      <c r="AP59" s="1014">
        <f t="shared" si="252"/>
        <v>0</v>
      </c>
      <c r="AQ59" s="1014">
        <f t="shared" si="253"/>
        <v>0</v>
      </c>
      <c r="AR59" s="1015">
        <f t="shared" si="254"/>
        <v>0</v>
      </c>
      <c r="AS59" s="1025">
        <f t="shared" si="255"/>
        <v>0</v>
      </c>
      <c r="AT59" s="1014">
        <f t="shared" si="256"/>
        <v>0</v>
      </c>
      <c r="AU59" s="1014">
        <f t="shared" si="257"/>
        <v>0</v>
      </c>
      <c r="AV59" s="1014">
        <f t="shared" si="258"/>
        <v>0</v>
      </c>
      <c r="AW59" s="1014">
        <f t="shared" si="259"/>
        <v>0</v>
      </c>
      <c r="AX59" s="1014">
        <f t="shared" si="260"/>
        <v>0</v>
      </c>
      <c r="AY59" s="1014">
        <f t="shared" si="261"/>
        <v>0</v>
      </c>
      <c r="AZ59" s="1025">
        <f t="shared" si="262"/>
        <v>0</v>
      </c>
      <c r="BA59" s="1014">
        <f t="shared" si="263"/>
        <v>0</v>
      </c>
      <c r="BB59" s="1014">
        <f t="shared" si="264"/>
        <v>0</v>
      </c>
      <c r="BC59" s="1014">
        <f t="shared" si="265"/>
        <v>0</v>
      </c>
      <c r="BD59" s="1014">
        <f t="shared" si="266"/>
        <v>0</v>
      </c>
      <c r="BE59" s="1014">
        <f t="shared" si="267"/>
        <v>0</v>
      </c>
      <c r="BF59" s="1014">
        <f t="shared" si="268"/>
        <v>0</v>
      </c>
      <c r="BG59" s="1025">
        <f t="shared" si="269"/>
        <v>0</v>
      </c>
      <c r="BH59" s="1014">
        <f t="shared" si="270"/>
        <v>0</v>
      </c>
      <c r="BI59" s="1014">
        <f t="shared" si="271"/>
        <v>0</v>
      </c>
      <c r="BJ59" s="1014">
        <f t="shared" si="272"/>
        <v>0</v>
      </c>
      <c r="BK59" s="1014">
        <f t="shared" si="273"/>
        <v>0</v>
      </c>
      <c r="BL59" s="1014">
        <f t="shared" si="274"/>
        <v>0</v>
      </c>
      <c r="BM59" s="1014">
        <f t="shared" si="275"/>
        <v>0</v>
      </c>
      <c r="BN59" s="1025">
        <f t="shared" si="276"/>
        <v>0</v>
      </c>
      <c r="BO59" s="1014">
        <f t="shared" si="277"/>
        <v>0</v>
      </c>
      <c r="BP59" s="1014">
        <f t="shared" si="278"/>
        <v>0</v>
      </c>
      <c r="BQ59" s="1014">
        <f t="shared" si="279"/>
        <v>0</v>
      </c>
      <c r="BR59" s="1014">
        <f t="shared" si="280"/>
        <v>0</v>
      </c>
      <c r="BS59" s="1014">
        <f t="shared" si="281"/>
        <v>0</v>
      </c>
      <c r="BT59" s="1025">
        <f t="shared" si="282"/>
        <v>0</v>
      </c>
      <c r="BU59" s="1014">
        <f t="shared" si="283"/>
        <v>0</v>
      </c>
      <c r="BV59" s="1014">
        <f t="shared" si="284"/>
        <v>0</v>
      </c>
      <c r="BW59" s="1014">
        <f t="shared" si="285"/>
        <v>0</v>
      </c>
      <c r="BX59" s="1014">
        <f t="shared" si="286"/>
        <v>0</v>
      </c>
      <c r="BY59" s="1014">
        <f t="shared" si="287"/>
        <v>0</v>
      </c>
      <c r="BZ59" s="1014">
        <f t="shared" si="288"/>
        <v>0</v>
      </c>
      <c r="CA59" s="1014">
        <f t="shared" si="289"/>
        <v>0</v>
      </c>
      <c r="CB59" s="1014">
        <f t="shared" si="290"/>
        <v>0</v>
      </c>
      <c r="CC59" s="1014">
        <f t="shared" si="291"/>
        <v>0</v>
      </c>
      <c r="CD59" s="1015">
        <f t="shared" si="292"/>
        <v>0</v>
      </c>
      <c r="CE59" s="1014">
        <f t="shared" si="293"/>
        <v>0</v>
      </c>
      <c r="CF59" s="1025">
        <f t="shared" si="294"/>
        <v>0</v>
      </c>
      <c r="CG59" s="1014">
        <f t="shared" si="295"/>
        <v>0</v>
      </c>
      <c r="CH59" s="1014">
        <f t="shared" si="296"/>
        <v>0</v>
      </c>
      <c r="CI59" s="1014">
        <f t="shared" si="297"/>
        <v>0</v>
      </c>
      <c r="CJ59" s="1014">
        <f t="shared" si="298"/>
        <v>0</v>
      </c>
      <c r="CK59" s="1014">
        <f t="shared" si="299"/>
        <v>0</v>
      </c>
      <c r="CL59" s="1014">
        <f t="shared" si="300"/>
        <v>0</v>
      </c>
      <c r="CM59" s="1014">
        <f t="shared" si="301"/>
        <v>0</v>
      </c>
      <c r="CN59" s="1015">
        <f t="shared" si="302"/>
        <v>0</v>
      </c>
      <c r="CO59" s="1014">
        <f t="shared" si="303"/>
        <v>0</v>
      </c>
      <c r="CP59" s="1025">
        <f t="shared" si="304"/>
        <v>0</v>
      </c>
      <c r="CQ59" s="1014">
        <f t="shared" si="305"/>
        <v>0</v>
      </c>
      <c r="CR59" s="1014">
        <f t="shared" si="306"/>
        <v>0</v>
      </c>
      <c r="CS59" s="1014">
        <f t="shared" si="307"/>
        <v>0</v>
      </c>
      <c r="CT59" s="1014">
        <f t="shared" si="308"/>
        <v>0</v>
      </c>
      <c r="CU59" s="1015">
        <f t="shared" si="309"/>
        <v>0</v>
      </c>
      <c r="CV59" s="1030">
        <f t="shared" si="310"/>
        <v>0</v>
      </c>
      <c r="CW59" s="1014">
        <f t="shared" si="311"/>
        <v>0</v>
      </c>
      <c r="CX59" s="1014">
        <f t="shared" si="312"/>
        <v>56250</v>
      </c>
      <c r="CY59" s="1014">
        <f t="shared" si="313"/>
        <v>0</v>
      </c>
      <c r="CZ59" s="1014">
        <f t="shared" si="314"/>
        <v>0</v>
      </c>
      <c r="DA59" s="1014">
        <f t="shared" si="315"/>
        <v>0</v>
      </c>
      <c r="DB59" s="1014">
        <f t="shared" si="316"/>
        <v>0</v>
      </c>
      <c r="DC59" s="1014">
        <f t="shared" si="317"/>
        <v>0</v>
      </c>
      <c r="DD59" s="1014">
        <f t="shared" si="318"/>
        <v>0</v>
      </c>
      <c r="DE59" s="1015">
        <f t="shared" si="319"/>
        <v>0</v>
      </c>
      <c r="DF59" s="1014">
        <f t="shared" si="320"/>
        <v>0</v>
      </c>
      <c r="DG59" s="1014">
        <f t="shared" si="321"/>
        <v>0</v>
      </c>
      <c r="DH59" s="1012">
        <f t="shared" si="359"/>
        <v>56250</v>
      </c>
      <c r="DI59" s="1014">
        <f t="shared" si="322"/>
        <v>0</v>
      </c>
      <c r="DJ59" s="1014">
        <f t="shared" si="323"/>
        <v>27731.25</v>
      </c>
      <c r="DK59" s="1014">
        <f t="shared" si="324"/>
        <v>0</v>
      </c>
      <c r="DL59" s="1014">
        <f t="shared" si="325"/>
        <v>0</v>
      </c>
      <c r="DM59" s="1014">
        <f t="shared" si="326"/>
        <v>0</v>
      </c>
      <c r="DN59" s="1014">
        <f t="shared" si="327"/>
        <v>0</v>
      </c>
      <c r="DO59" s="1014">
        <f t="shared" si="328"/>
        <v>0</v>
      </c>
      <c r="DP59" s="1014">
        <f t="shared" si="329"/>
        <v>0</v>
      </c>
      <c r="DQ59" s="1020">
        <f t="shared" si="330"/>
        <v>0</v>
      </c>
      <c r="DR59" s="1014">
        <f t="shared" si="331"/>
        <v>0</v>
      </c>
      <c r="DS59" s="1014">
        <f t="shared" si="332"/>
        <v>0</v>
      </c>
      <c r="DT59" s="1025">
        <f t="shared" si="360"/>
        <v>27731.25</v>
      </c>
    </row>
    <row r="60" spans="1:124" x14ac:dyDescent="0.2">
      <c r="A60" s="908" t="s">
        <v>349</v>
      </c>
      <c r="B60" s="908"/>
      <c r="C60" s="910">
        <f t="shared" si="347"/>
        <v>0</v>
      </c>
      <c r="D60" s="910">
        <f t="shared" si="348"/>
        <v>0</v>
      </c>
      <c r="E60" s="910">
        <f t="shared" si="349"/>
        <v>741000</v>
      </c>
      <c r="F60" s="910">
        <f t="shared" si="242"/>
        <v>0</v>
      </c>
      <c r="G60" s="910">
        <f t="shared" si="350"/>
        <v>0</v>
      </c>
      <c r="H60" s="910">
        <f t="shared" si="351"/>
        <v>0</v>
      </c>
      <c r="I60" s="910">
        <f t="shared" si="352"/>
        <v>0</v>
      </c>
      <c r="J60" s="910">
        <f t="shared" si="243"/>
        <v>0</v>
      </c>
      <c r="K60" s="910">
        <f t="shared" si="244"/>
        <v>0</v>
      </c>
      <c r="L60" s="910">
        <f t="shared" si="245"/>
        <v>0</v>
      </c>
      <c r="M60" s="910">
        <f t="shared" si="353"/>
        <v>5600</v>
      </c>
      <c r="N60" s="910">
        <f t="shared" si="354"/>
        <v>0</v>
      </c>
      <c r="O60" s="910">
        <f t="shared" si="355"/>
        <v>0</v>
      </c>
      <c r="P60" s="910">
        <f t="shared" si="246"/>
        <v>0</v>
      </c>
      <c r="Q60" s="910">
        <f t="shared" si="356"/>
        <v>0</v>
      </c>
      <c r="R60" s="910">
        <f t="shared" si="357"/>
        <v>0</v>
      </c>
      <c r="S60" s="910">
        <f t="shared" si="358"/>
        <v>746600</v>
      </c>
      <c r="T60" s="1037">
        <f t="shared" si="247"/>
        <v>741000</v>
      </c>
      <c r="U60" s="1034">
        <f t="shared" si="117"/>
        <v>0</v>
      </c>
      <c r="V60" s="1034">
        <f t="shared" si="118"/>
        <v>0</v>
      </c>
      <c r="W60" s="1034">
        <f t="shared" si="119"/>
        <v>0</v>
      </c>
      <c r="X60" s="1034">
        <f t="shared" si="120"/>
        <v>0</v>
      </c>
      <c r="Y60" s="1034">
        <f t="shared" si="121"/>
        <v>0</v>
      </c>
      <c r="Z60" s="1034">
        <f t="shared" si="122"/>
        <v>0</v>
      </c>
      <c r="AA60" s="1034">
        <f t="shared" si="123"/>
        <v>0</v>
      </c>
      <c r="AB60" s="1034">
        <f t="shared" si="124"/>
        <v>0</v>
      </c>
      <c r="AC60" s="1034">
        <f t="shared" si="125"/>
        <v>0</v>
      </c>
      <c r="AD60" s="1034">
        <f t="shared" si="126"/>
        <v>0</v>
      </c>
      <c r="AE60" s="1034">
        <f t="shared" si="127"/>
        <v>0</v>
      </c>
      <c r="AF60" s="1034">
        <f t="shared" si="128"/>
        <v>5600</v>
      </c>
      <c r="AG60" s="1034">
        <f t="shared" si="129"/>
        <v>5600</v>
      </c>
      <c r="AH60" s="1041">
        <f t="shared" si="130"/>
        <v>7.5006697026520222E-3</v>
      </c>
      <c r="AI60" s="1014">
        <f t="shared" si="248"/>
        <v>0</v>
      </c>
      <c r="AJ60" s="1025">
        <f t="shared" si="131"/>
        <v>0</v>
      </c>
      <c r="AK60" s="1014">
        <f t="shared" si="249"/>
        <v>0</v>
      </c>
      <c r="AL60" s="1025">
        <f t="shared" si="132"/>
        <v>0</v>
      </c>
      <c r="AM60" s="1014">
        <f t="shared" si="250"/>
        <v>0</v>
      </c>
      <c r="AN60" s="1025">
        <f t="shared" si="133"/>
        <v>0</v>
      </c>
      <c r="AO60" s="1014">
        <f t="shared" si="251"/>
        <v>0</v>
      </c>
      <c r="AP60" s="1014">
        <f t="shared" si="252"/>
        <v>0</v>
      </c>
      <c r="AQ60" s="1014">
        <f t="shared" si="253"/>
        <v>0</v>
      </c>
      <c r="AR60" s="1015">
        <f t="shared" si="254"/>
        <v>0</v>
      </c>
      <c r="AS60" s="1025">
        <f t="shared" si="255"/>
        <v>0</v>
      </c>
      <c r="AT60" s="1014">
        <f t="shared" si="256"/>
        <v>0</v>
      </c>
      <c r="AU60" s="1014">
        <f t="shared" si="257"/>
        <v>0</v>
      </c>
      <c r="AV60" s="1014">
        <f t="shared" si="258"/>
        <v>0</v>
      </c>
      <c r="AW60" s="1014">
        <f t="shared" si="259"/>
        <v>0</v>
      </c>
      <c r="AX60" s="1014">
        <f t="shared" si="260"/>
        <v>0</v>
      </c>
      <c r="AY60" s="1014">
        <f t="shared" si="261"/>
        <v>0</v>
      </c>
      <c r="AZ60" s="1025">
        <f t="shared" si="262"/>
        <v>0</v>
      </c>
      <c r="BA60" s="1014">
        <f t="shared" si="263"/>
        <v>0</v>
      </c>
      <c r="BB60" s="1014">
        <f t="shared" si="264"/>
        <v>0</v>
      </c>
      <c r="BC60" s="1014">
        <f t="shared" si="265"/>
        <v>0</v>
      </c>
      <c r="BD60" s="1014">
        <f t="shared" si="266"/>
        <v>0</v>
      </c>
      <c r="BE60" s="1014">
        <f t="shared" si="267"/>
        <v>0</v>
      </c>
      <c r="BF60" s="1014">
        <f t="shared" si="268"/>
        <v>0</v>
      </c>
      <c r="BG60" s="1025">
        <f t="shared" si="269"/>
        <v>0</v>
      </c>
      <c r="BH60" s="1014">
        <f t="shared" si="270"/>
        <v>0</v>
      </c>
      <c r="BI60" s="1014">
        <f t="shared" si="271"/>
        <v>0</v>
      </c>
      <c r="BJ60" s="1014">
        <f t="shared" si="272"/>
        <v>0</v>
      </c>
      <c r="BK60" s="1014">
        <f t="shared" si="273"/>
        <v>0</v>
      </c>
      <c r="BL60" s="1014">
        <f t="shared" si="274"/>
        <v>0</v>
      </c>
      <c r="BM60" s="1014">
        <f t="shared" si="275"/>
        <v>0</v>
      </c>
      <c r="BN60" s="1025">
        <f t="shared" si="276"/>
        <v>0</v>
      </c>
      <c r="BO60" s="1014">
        <f t="shared" si="277"/>
        <v>0</v>
      </c>
      <c r="BP60" s="1014">
        <f t="shared" si="278"/>
        <v>0</v>
      </c>
      <c r="BQ60" s="1014">
        <f t="shared" si="279"/>
        <v>0</v>
      </c>
      <c r="BR60" s="1014">
        <f t="shared" si="280"/>
        <v>0</v>
      </c>
      <c r="BS60" s="1014">
        <f t="shared" si="281"/>
        <v>0</v>
      </c>
      <c r="BT60" s="1025">
        <f t="shared" si="282"/>
        <v>0</v>
      </c>
      <c r="BU60" s="1014">
        <f t="shared" si="283"/>
        <v>0</v>
      </c>
      <c r="BV60" s="1014">
        <f t="shared" si="284"/>
        <v>0</v>
      </c>
      <c r="BW60" s="1014">
        <f t="shared" si="285"/>
        <v>0</v>
      </c>
      <c r="BX60" s="1014">
        <f t="shared" si="286"/>
        <v>0</v>
      </c>
      <c r="BY60" s="1014">
        <f t="shared" si="287"/>
        <v>0</v>
      </c>
      <c r="BZ60" s="1014">
        <f t="shared" si="288"/>
        <v>0</v>
      </c>
      <c r="CA60" s="1014">
        <f t="shared" si="289"/>
        <v>0</v>
      </c>
      <c r="CB60" s="1014">
        <f t="shared" si="290"/>
        <v>0</v>
      </c>
      <c r="CC60" s="1014">
        <f t="shared" si="291"/>
        <v>0</v>
      </c>
      <c r="CD60" s="1015">
        <f t="shared" si="292"/>
        <v>0</v>
      </c>
      <c r="CE60" s="1014">
        <f t="shared" si="293"/>
        <v>0</v>
      </c>
      <c r="CF60" s="1025">
        <f t="shared" si="294"/>
        <v>0</v>
      </c>
      <c r="CG60" s="1014">
        <f t="shared" si="295"/>
        <v>0</v>
      </c>
      <c r="CH60" s="1014">
        <f t="shared" si="296"/>
        <v>0</v>
      </c>
      <c r="CI60" s="1014">
        <f t="shared" si="297"/>
        <v>0</v>
      </c>
      <c r="CJ60" s="1014">
        <f t="shared" si="298"/>
        <v>0</v>
      </c>
      <c r="CK60" s="1014">
        <f t="shared" si="299"/>
        <v>0</v>
      </c>
      <c r="CL60" s="1014">
        <f t="shared" si="300"/>
        <v>0</v>
      </c>
      <c r="CM60" s="1014">
        <f t="shared" si="301"/>
        <v>0</v>
      </c>
      <c r="CN60" s="1015">
        <f t="shared" si="302"/>
        <v>0</v>
      </c>
      <c r="CO60" s="1014">
        <f t="shared" si="303"/>
        <v>0</v>
      </c>
      <c r="CP60" s="1025">
        <f t="shared" si="304"/>
        <v>0</v>
      </c>
      <c r="CQ60" s="1014">
        <f t="shared" si="305"/>
        <v>0</v>
      </c>
      <c r="CR60" s="1014">
        <f t="shared" si="306"/>
        <v>0</v>
      </c>
      <c r="CS60" s="1014">
        <f t="shared" si="307"/>
        <v>0</v>
      </c>
      <c r="CT60" s="1014">
        <f t="shared" si="308"/>
        <v>0</v>
      </c>
      <c r="CU60" s="1015">
        <f t="shared" si="309"/>
        <v>0</v>
      </c>
      <c r="CV60" s="1030">
        <f t="shared" si="310"/>
        <v>0</v>
      </c>
      <c r="CW60" s="1014">
        <f t="shared" si="311"/>
        <v>0</v>
      </c>
      <c r="CX60" s="1014">
        <f t="shared" si="312"/>
        <v>0</v>
      </c>
      <c r="CY60" s="1014">
        <f t="shared" si="313"/>
        <v>0</v>
      </c>
      <c r="CZ60" s="1014">
        <f t="shared" si="314"/>
        <v>0</v>
      </c>
      <c r="DA60" s="1014">
        <f t="shared" si="315"/>
        <v>0</v>
      </c>
      <c r="DB60" s="1014">
        <f t="shared" si="316"/>
        <v>0</v>
      </c>
      <c r="DC60" s="1014">
        <f t="shared" si="317"/>
        <v>5600</v>
      </c>
      <c r="DD60" s="1014">
        <f t="shared" si="318"/>
        <v>0</v>
      </c>
      <c r="DE60" s="1015">
        <f t="shared" si="319"/>
        <v>0</v>
      </c>
      <c r="DF60" s="1014">
        <f t="shared" si="320"/>
        <v>0</v>
      </c>
      <c r="DG60" s="1014">
        <f t="shared" si="321"/>
        <v>0</v>
      </c>
      <c r="DH60" s="1012">
        <f t="shared" si="359"/>
        <v>5600</v>
      </c>
      <c r="DI60" s="1014">
        <f t="shared" si="322"/>
        <v>0</v>
      </c>
      <c r="DJ60" s="1014">
        <f t="shared" si="323"/>
        <v>0</v>
      </c>
      <c r="DK60" s="1014">
        <f t="shared" si="324"/>
        <v>0</v>
      </c>
      <c r="DL60" s="1014">
        <f t="shared" si="325"/>
        <v>0</v>
      </c>
      <c r="DM60" s="1014">
        <f t="shared" si="326"/>
        <v>0</v>
      </c>
      <c r="DN60" s="1014">
        <f t="shared" si="327"/>
        <v>0</v>
      </c>
      <c r="DO60" s="1014">
        <f t="shared" si="328"/>
        <v>0</v>
      </c>
      <c r="DP60" s="1014">
        <f t="shared" si="329"/>
        <v>0</v>
      </c>
      <c r="DQ60" s="1020">
        <f t="shared" si="330"/>
        <v>0</v>
      </c>
      <c r="DR60" s="1014">
        <f t="shared" si="331"/>
        <v>0</v>
      </c>
      <c r="DS60" s="1014">
        <f t="shared" si="332"/>
        <v>0</v>
      </c>
      <c r="DT60" s="1025">
        <f t="shared" si="360"/>
        <v>0</v>
      </c>
    </row>
    <row r="61" spans="1:124" x14ac:dyDescent="0.2">
      <c r="A61" s="908" t="s">
        <v>65</v>
      </c>
      <c r="B61" s="908"/>
      <c r="C61" s="910">
        <f t="shared" si="347"/>
        <v>1778822.24</v>
      </c>
      <c r="D61" s="910">
        <f t="shared" si="348"/>
        <v>0</v>
      </c>
      <c r="E61" s="910">
        <f t="shared" si="349"/>
        <v>0</v>
      </c>
      <c r="F61" s="910">
        <f t="shared" si="242"/>
        <v>0</v>
      </c>
      <c r="G61" s="910">
        <f t="shared" si="350"/>
        <v>0</v>
      </c>
      <c r="H61" s="910">
        <f t="shared" si="351"/>
        <v>0</v>
      </c>
      <c r="I61" s="910">
        <f t="shared" si="352"/>
        <v>0</v>
      </c>
      <c r="J61" s="910">
        <f t="shared" si="243"/>
        <v>0</v>
      </c>
      <c r="K61" s="910">
        <f t="shared" si="244"/>
        <v>0</v>
      </c>
      <c r="L61" s="910">
        <f t="shared" si="245"/>
        <v>0</v>
      </c>
      <c r="M61" s="910">
        <f t="shared" si="353"/>
        <v>0</v>
      </c>
      <c r="N61" s="910">
        <f t="shared" si="354"/>
        <v>0</v>
      </c>
      <c r="O61" s="910">
        <f t="shared" si="355"/>
        <v>0</v>
      </c>
      <c r="P61" s="910">
        <f t="shared" si="246"/>
        <v>0</v>
      </c>
      <c r="Q61" s="910">
        <f t="shared" si="356"/>
        <v>0</v>
      </c>
      <c r="R61" s="910">
        <f t="shared" si="357"/>
        <v>0</v>
      </c>
      <c r="S61" s="910">
        <f t="shared" si="358"/>
        <v>1778822.24</v>
      </c>
      <c r="T61" s="1037">
        <f t="shared" si="247"/>
        <v>355764.43999999994</v>
      </c>
      <c r="U61" s="1034">
        <f t="shared" si="117"/>
        <v>0</v>
      </c>
      <c r="V61" s="1034">
        <f t="shared" si="118"/>
        <v>1423057.8</v>
      </c>
      <c r="W61" s="1034">
        <f t="shared" si="119"/>
        <v>1423057.8</v>
      </c>
      <c r="X61" s="1034">
        <f t="shared" si="120"/>
        <v>1423057.8</v>
      </c>
      <c r="Y61" s="1034">
        <f t="shared" si="121"/>
        <v>1423057.8</v>
      </c>
      <c r="Z61" s="1034">
        <f t="shared" si="122"/>
        <v>1423057.8</v>
      </c>
      <c r="AA61" s="1034">
        <f t="shared" si="123"/>
        <v>1423057.8</v>
      </c>
      <c r="AB61" s="1034">
        <f t="shared" si="124"/>
        <v>1423057.8</v>
      </c>
      <c r="AC61" s="1034">
        <f t="shared" si="125"/>
        <v>1423057.8</v>
      </c>
      <c r="AD61" s="1034">
        <f t="shared" si="126"/>
        <v>1423057.8</v>
      </c>
      <c r="AE61" s="1034">
        <f t="shared" si="127"/>
        <v>1423057.8</v>
      </c>
      <c r="AF61" s="1034">
        <f t="shared" si="128"/>
        <v>1423057.8</v>
      </c>
      <c r="AG61" s="1034">
        <f t="shared" si="129"/>
        <v>1423057.8</v>
      </c>
      <c r="AH61" s="1041">
        <f t="shared" si="130"/>
        <v>0.80000000449735775</v>
      </c>
      <c r="AI61" s="1014">
        <f t="shared" si="248"/>
        <v>0</v>
      </c>
      <c r="AJ61" s="1025">
        <f t="shared" si="131"/>
        <v>0</v>
      </c>
      <c r="AK61" s="1014">
        <f t="shared" si="249"/>
        <v>1423057.8</v>
      </c>
      <c r="AL61" s="1025">
        <f t="shared" si="132"/>
        <v>1423057.8</v>
      </c>
      <c r="AM61" s="1014">
        <f t="shared" si="250"/>
        <v>0</v>
      </c>
      <c r="AN61" s="1025">
        <f t="shared" si="133"/>
        <v>0</v>
      </c>
      <c r="AO61" s="1014">
        <f t="shared" si="251"/>
        <v>0</v>
      </c>
      <c r="AP61" s="1014">
        <f t="shared" si="252"/>
        <v>0</v>
      </c>
      <c r="AQ61" s="1014">
        <f t="shared" si="253"/>
        <v>0</v>
      </c>
      <c r="AR61" s="1015">
        <f t="shared" si="254"/>
        <v>0</v>
      </c>
      <c r="AS61" s="1025">
        <f t="shared" si="255"/>
        <v>0</v>
      </c>
      <c r="AT61" s="1014">
        <f t="shared" si="256"/>
        <v>0</v>
      </c>
      <c r="AU61" s="1014">
        <f t="shared" si="257"/>
        <v>0</v>
      </c>
      <c r="AV61" s="1014">
        <f t="shared" si="258"/>
        <v>0</v>
      </c>
      <c r="AW61" s="1014">
        <f t="shared" si="259"/>
        <v>0</v>
      </c>
      <c r="AX61" s="1014">
        <f t="shared" si="260"/>
        <v>0</v>
      </c>
      <c r="AY61" s="1014">
        <f t="shared" si="261"/>
        <v>0</v>
      </c>
      <c r="AZ61" s="1025">
        <f t="shared" si="262"/>
        <v>0</v>
      </c>
      <c r="BA61" s="1014">
        <f t="shared" si="263"/>
        <v>0</v>
      </c>
      <c r="BB61" s="1014">
        <f t="shared" si="264"/>
        <v>0</v>
      </c>
      <c r="BC61" s="1014">
        <f t="shared" si="265"/>
        <v>0</v>
      </c>
      <c r="BD61" s="1014">
        <f t="shared" si="266"/>
        <v>0</v>
      </c>
      <c r="BE61" s="1014">
        <f t="shared" si="267"/>
        <v>0</v>
      </c>
      <c r="BF61" s="1014">
        <f t="shared" si="268"/>
        <v>0</v>
      </c>
      <c r="BG61" s="1025">
        <f t="shared" si="269"/>
        <v>0</v>
      </c>
      <c r="BH61" s="1014">
        <f t="shared" si="270"/>
        <v>0</v>
      </c>
      <c r="BI61" s="1014">
        <f t="shared" si="271"/>
        <v>0</v>
      </c>
      <c r="BJ61" s="1014">
        <f t="shared" si="272"/>
        <v>0</v>
      </c>
      <c r="BK61" s="1014">
        <f t="shared" si="273"/>
        <v>0</v>
      </c>
      <c r="BL61" s="1014">
        <f t="shared" si="274"/>
        <v>0</v>
      </c>
      <c r="BM61" s="1014">
        <f t="shared" si="275"/>
        <v>0</v>
      </c>
      <c r="BN61" s="1025">
        <f t="shared" si="276"/>
        <v>0</v>
      </c>
      <c r="BO61" s="1014">
        <f t="shared" si="277"/>
        <v>0</v>
      </c>
      <c r="BP61" s="1014">
        <f t="shared" si="278"/>
        <v>0</v>
      </c>
      <c r="BQ61" s="1014">
        <f t="shared" si="279"/>
        <v>0</v>
      </c>
      <c r="BR61" s="1014">
        <f t="shared" si="280"/>
        <v>0</v>
      </c>
      <c r="BS61" s="1014">
        <f t="shared" si="281"/>
        <v>0</v>
      </c>
      <c r="BT61" s="1025">
        <f t="shared" si="282"/>
        <v>0</v>
      </c>
      <c r="BU61" s="1014">
        <f t="shared" si="283"/>
        <v>0</v>
      </c>
      <c r="BV61" s="1014">
        <f t="shared" si="284"/>
        <v>0</v>
      </c>
      <c r="BW61" s="1014">
        <f t="shared" si="285"/>
        <v>0</v>
      </c>
      <c r="BX61" s="1014">
        <f t="shared" si="286"/>
        <v>0</v>
      </c>
      <c r="BY61" s="1014">
        <f t="shared" si="287"/>
        <v>0</v>
      </c>
      <c r="BZ61" s="1014">
        <f t="shared" si="288"/>
        <v>0</v>
      </c>
      <c r="CA61" s="1014">
        <f t="shared" si="289"/>
        <v>0</v>
      </c>
      <c r="CB61" s="1014">
        <f t="shared" si="290"/>
        <v>0</v>
      </c>
      <c r="CC61" s="1014">
        <f t="shared" si="291"/>
        <v>0</v>
      </c>
      <c r="CD61" s="1015">
        <f t="shared" si="292"/>
        <v>0</v>
      </c>
      <c r="CE61" s="1014">
        <f t="shared" si="293"/>
        <v>0</v>
      </c>
      <c r="CF61" s="1025">
        <f t="shared" si="294"/>
        <v>0</v>
      </c>
      <c r="CG61" s="1014">
        <f t="shared" si="295"/>
        <v>0</v>
      </c>
      <c r="CH61" s="1014">
        <f t="shared" si="296"/>
        <v>0</v>
      </c>
      <c r="CI61" s="1014">
        <f t="shared" si="297"/>
        <v>0</v>
      </c>
      <c r="CJ61" s="1014">
        <f t="shared" si="298"/>
        <v>0</v>
      </c>
      <c r="CK61" s="1014">
        <f t="shared" si="299"/>
        <v>0</v>
      </c>
      <c r="CL61" s="1014">
        <f t="shared" si="300"/>
        <v>0</v>
      </c>
      <c r="CM61" s="1014">
        <f t="shared" si="301"/>
        <v>0</v>
      </c>
      <c r="CN61" s="1015">
        <f t="shared" si="302"/>
        <v>0</v>
      </c>
      <c r="CO61" s="1014">
        <f t="shared" si="303"/>
        <v>0</v>
      </c>
      <c r="CP61" s="1025">
        <f t="shared" si="304"/>
        <v>0</v>
      </c>
      <c r="CQ61" s="1014">
        <f t="shared" si="305"/>
        <v>0</v>
      </c>
      <c r="CR61" s="1014">
        <f t="shared" si="306"/>
        <v>0</v>
      </c>
      <c r="CS61" s="1014">
        <f t="shared" si="307"/>
        <v>0</v>
      </c>
      <c r="CT61" s="1014">
        <f t="shared" si="308"/>
        <v>0</v>
      </c>
      <c r="CU61" s="1015">
        <f t="shared" si="309"/>
        <v>0</v>
      </c>
      <c r="CV61" s="1030">
        <f t="shared" si="310"/>
        <v>0</v>
      </c>
      <c r="CW61" s="1014">
        <f t="shared" si="311"/>
        <v>0</v>
      </c>
      <c r="CX61" s="1014">
        <f t="shared" si="312"/>
        <v>0</v>
      </c>
      <c r="CY61" s="1014">
        <f t="shared" si="313"/>
        <v>0</v>
      </c>
      <c r="CZ61" s="1014">
        <f t="shared" si="314"/>
        <v>0</v>
      </c>
      <c r="DA61" s="1014">
        <f t="shared" si="315"/>
        <v>0</v>
      </c>
      <c r="DB61" s="1014">
        <f t="shared" si="316"/>
        <v>0</v>
      </c>
      <c r="DC61" s="1014">
        <f t="shared" si="317"/>
        <v>0</v>
      </c>
      <c r="DD61" s="1014">
        <f t="shared" si="318"/>
        <v>0</v>
      </c>
      <c r="DE61" s="1015">
        <f t="shared" si="319"/>
        <v>0</v>
      </c>
      <c r="DF61" s="1014">
        <f t="shared" si="320"/>
        <v>0</v>
      </c>
      <c r="DG61" s="1014">
        <f t="shared" si="321"/>
        <v>0</v>
      </c>
      <c r="DH61" s="1012">
        <f t="shared" si="359"/>
        <v>0</v>
      </c>
      <c r="DI61" s="1014">
        <f t="shared" si="322"/>
        <v>0</v>
      </c>
      <c r="DJ61" s="1014">
        <f t="shared" si="323"/>
        <v>0</v>
      </c>
      <c r="DK61" s="1014">
        <f t="shared" si="324"/>
        <v>0</v>
      </c>
      <c r="DL61" s="1014">
        <f t="shared" si="325"/>
        <v>0</v>
      </c>
      <c r="DM61" s="1014">
        <f t="shared" si="326"/>
        <v>0</v>
      </c>
      <c r="DN61" s="1014">
        <f t="shared" si="327"/>
        <v>0</v>
      </c>
      <c r="DO61" s="1014">
        <f t="shared" si="328"/>
        <v>0</v>
      </c>
      <c r="DP61" s="1014">
        <f t="shared" si="329"/>
        <v>0</v>
      </c>
      <c r="DQ61" s="1020">
        <f t="shared" si="330"/>
        <v>0</v>
      </c>
      <c r="DR61" s="1014">
        <f t="shared" si="331"/>
        <v>0</v>
      </c>
      <c r="DS61" s="1014">
        <f t="shared" si="332"/>
        <v>0</v>
      </c>
      <c r="DT61" s="1025">
        <f t="shared" si="360"/>
        <v>0</v>
      </c>
    </row>
    <row r="62" spans="1:124" x14ac:dyDescent="0.2">
      <c r="A62" s="908" t="s">
        <v>326</v>
      </c>
      <c r="B62" s="908"/>
      <c r="C62" s="910">
        <f t="shared" si="347"/>
        <v>0</v>
      </c>
      <c r="D62" s="910">
        <f t="shared" si="348"/>
        <v>0</v>
      </c>
      <c r="E62" s="910">
        <f t="shared" si="349"/>
        <v>0</v>
      </c>
      <c r="F62" s="910">
        <f t="shared" si="242"/>
        <v>0</v>
      </c>
      <c r="G62" s="910">
        <f t="shared" si="350"/>
        <v>0</v>
      </c>
      <c r="H62" s="910">
        <f t="shared" si="351"/>
        <v>1227844</v>
      </c>
      <c r="I62" s="910">
        <f t="shared" si="352"/>
        <v>1227844</v>
      </c>
      <c r="J62" s="910">
        <f t="shared" si="243"/>
        <v>0</v>
      </c>
      <c r="K62" s="910">
        <f t="shared" si="244"/>
        <v>0</v>
      </c>
      <c r="L62" s="910">
        <f t="shared" si="245"/>
        <v>0</v>
      </c>
      <c r="M62" s="910">
        <f t="shared" si="353"/>
        <v>0</v>
      </c>
      <c r="N62" s="910">
        <f t="shared" si="354"/>
        <v>0</v>
      </c>
      <c r="O62" s="910">
        <f t="shared" si="355"/>
        <v>0</v>
      </c>
      <c r="P62" s="910">
        <f t="shared" si="246"/>
        <v>0</v>
      </c>
      <c r="Q62" s="910">
        <f t="shared" si="356"/>
        <v>0</v>
      </c>
      <c r="R62" s="910">
        <f t="shared" si="357"/>
        <v>0</v>
      </c>
      <c r="S62" s="910">
        <f t="shared" si="358"/>
        <v>2455688</v>
      </c>
      <c r="T62" s="1037">
        <f t="shared" si="247"/>
        <v>920883</v>
      </c>
      <c r="U62" s="1034">
        <f t="shared" si="117"/>
        <v>0</v>
      </c>
      <c r="V62" s="1034">
        <f t="shared" si="118"/>
        <v>0</v>
      </c>
      <c r="W62" s="1034">
        <f t="shared" si="119"/>
        <v>0</v>
      </c>
      <c r="X62" s="1034">
        <f t="shared" si="120"/>
        <v>0</v>
      </c>
      <c r="Y62" s="1034">
        <f t="shared" si="121"/>
        <v>0</v>
      </c>
      <c r="Z62" s="1034">
        <f t="shared" si="122"/>
        <v>0</v>
      </c>
      <c r="AA62" s="1034">
        <f t="shared" si="123"/>
        <v>0</v>
      </c>
      <c r="AB62" s="1034">
        <f t="shared" si="124"/>
        <v>0</v>
      </c>
      <c r="AC62" s="1034">
        <f t="shared" si="125"/>
        <v>0</v>
      </c>
      <c r="AD62" s="1034">
        <f t="shared" si="126"/>
        <v>0</v>
      </c>
      <c r="AE62" s="1034">
        <f t="shared" si="127"/>
        <v>0</v>
      </c>
      <c r="AF62" s="1034">
        <f t="shared" si="128"/>
        <v>1227844</v>
      </c>
      <c r="AG62" s="1034">
        <f t="shared" si="129"/>
        <v>1534805</v>
      </c>
      <c r="AH62" s="1041">
        <f t="shared" si="130"/>
        <v>0.625</v>
      </c>
      <c r="AI62" s="1014">
        <f t="shared" si="248"/>
        <v>0</v>
      </c>
      <c r="AJ62" s="1025">
        <f t="shared" si="131"/>
        <v>0</v>
      </c>
      <c r="AK62" s="1014">
        <f t="shared" si="249"/>
        <v>0</v>
      </c>
      <c r="AL62" s="1025">
        <f t="shared" si="132"/>
        <v>0</v>
      </c>
      <c r="AM62" s="1014">
        <f t="shared" si="250"/>
        <v>0</v>
      </c>
      <c r="AN62" s="1025">
        <f t="shared" si="133"/>
        <v>0</v>
      </c>
      <c r="AO62" s="1014">
        <f t="shared" si="251"/>
        <v>0</v>
      </c>
      <c r="AP62" s="1014">
        <f t="shared" si="252"/>
        <v>0</v>
      </c>
      <c r="AQ62" s="1014">
        <f t="shared" si="253"/>
        <v>0</v>
      </c>
      <c r="AR62" s="1015">
        <f t="shared" si="254"/>
        <v>0</v>
      </c>
      <c r="AS62" s="1025">
        <f t="shared" si="255"/>
        <v>0</v>
      </c>
      <c r="AT62" s="1014">
        <f t="shared" si="256"/>
        <v>0</v>
      </c>
      <c r="AU62" s="1014">
        <f t="shared" si="257"/>
        <v>0</v>
      </c>
      <c r="AV62" s="1014">
        <f t="shared" si="258"/>
        <v>0</v>
      </c>
      <c r="AW62" s="1014">
        <f t="shared" si="259"/>
        <v>0</v>
      </c>
      <c r="AX62" s="1014">
        <f t="shared" si="260"/>
        <v>0</v>
      </c>
      <c r="AY62" s="1014">
        <f t="shared" si="261"/>
        <v>0</v>
      </c>
      <c r="AZ62" s="1025">
        <f t="shared" si="262"/>
        <v>0</v>
      </c>
      <c r="BA62" s="1014">
        <f t="shared" si="263"/>
        <v>0</v>
      </c>
      <c r="BB62" s="1014">
        <f t="shared" si="264"/>
        <v>0</v>
      </c>
      <c r="BC62" s="1014">
        <f t="shared" si="265"/>
        <v>0</v>
      </c>
      <c r="BD62" s="1014">
        <f t="shared" si="266"/>
        <v>0</v>
      </c>
      <c r="BE62" s="1014">
        <f t="shared" si="267"/>
        <v>0</v>
      </c>
      <c r="BF62" s="1014">
        <f t="shared" si="268"/>
        <v>0</v>
      </c>
      <c r="BG62" s="1025">
        <f t="shared" si="269"/>
        <v>0</v>
      </c>
      <c r="BH62" s="1014">
        <f t="shared" si="270"/>
        <v>0</v>
      </c>
      <c r="BI62" s="1014">
        <f t="shared" si="271"/>
        <v>0</v>
      </c>
      <c r="BJ62" s="1014">
        <f t="shared" si="272"/>
        <v>0</v>
      </c>
      <c r="BK62" s="1014">
        <f t="shared" si="273"/>
        <v>0</v>
      </c>
      <c r="BL62" s="1014">
        <f t="shared" si="274"/>
        <v>0</v>
      </c>
      <c r="BM62" s="1014">
        <f t="shared" si="275"/>
        <v>0</v>
      </c>
      <c r="BN62" s="1025">
        <f t="shared" si="276"/>
        <v>0</v>
      </c>
      <c r="BO62" s="1014">
        <f t="shared" si="277"/>
        <v>0</v>
      </c>
      <c r="BP62" s="1014">
        <f t="shared" si="278"/>
        <v>0</v>
      </c>
      <c r="BQ62" s="1014">
        <f t="shared" si="279"/>
        <v>0</v>
      </c>
      <c r="BR62" s="1014">
        <f t="shared" si="280"/>
        <v>0</v>
      </c>
      <c r="BS62" s="1014">
        <f t="shared" si="281"/>
        <v>0</v>
      </c>
      <c r="BT62" s="1025">
        <f t="shared" si="282"/>
        <v>0</v>
      </c>
      <c r="BU62" s="1014">
        <f t="shared" si="283"/>
        <v>0</v>
      </c>
      <c r="BV62" s="1014">
        <f t="shared" si="284"/>
        <v>0</v>
      </c>
      <c r="BW62" s="1014">
        <f t="shared" si="285"/>
        <v>0</v>
      </c>
      <c r="BX62" s="1014">
        <f t="shared" si="286"/>
        <v>0</v>
      </c>
      <c r="BY62" s="1014">
        <f t="shared" si="287"/>
        <v>0</v>
      </c>
      <c r="BZ62" s="1014">
        <f t="shared" si="288"/>
        <v>0</v>
      </c>
      <c r="CA62" s="1014">
        <f t="shared" si="289"/>
        <v>0</v>
      </c>
      <c r="CB62" s="1014">
        <f t="shared" si="290"/>
        <v>0</v>
      </c>
      <c r="CC62" s="1014">
        <f t="shared" si="291"/>
        <v>0</v>
      </c>
      <c r="CD62" s="1015">
        <f t="shared" si="292"/>
        <v>0</v>
      </c>
      <c r="CE62" s="1014">
        <f t="shared" si="293"/>
        <v>0</v>
      </c>
      <c r="CF62" s="1025">
        <f t="shared" si="294"/>
        <v>0</v>
      </c>
      <c r="CG62" s="1014">
        <f t="shared" si="295"/>
        <v>0</v>
      </c>
      <c r="CH62" s="1014">
        <f t="shared" si="296"/>
        <v>0</v>
      </c>
      <c r="CI62" s="1014">
        <f t="shared" si="297"/>
        <v>0</v>
      </c>
      <c r="CJ62" s="1014">
        <f t="shared" si="298"/>
        <v>0</v>
      </c>
      <c r="CK62" s="1014">
        <f t="shared" si="299"/>
        <v>0</v>
      </c>
      <c r="CL62" s="1014">
        <f t="shared" si="300"/>
        <v>0</v>
      </c>
      <c r="CM62" s="1014">
        <f t="shared" si="301"/>
        <v>0</v>
      </c>
      <c r="CN62" s="1015">
        <f t="shared" si="302"/>
        <v>0</v>
      </c>
      <c r="CO62" s="1014">
        <f t="shared" si="303"/>
        <v>0</v>
      </c>
      <c r="CP62" s="1025">
        <f t="shared" si="304"/>
        <v>0</v>
      </c>
      <c r="CQ62" s="1014">
        <f t="shared" si="305"/>
        <v>0</v>
      </c>
      <c r="CR62" s="1014">
        <f t="shared" si="306"/>
        <v>0</v>
      </c>
      <c r="CS62" s="1014">
        <f t="shared" si="307"/>
        <v>0</v>
      </c>
      <c r="CT62" s="1014">
        <f t="shared" si="308"/>
        <v>0</v>
      </c>
      <c r="CU62" s="1015">
        <f t="shared" si="309"/>
        <v>0</v>
      </c>
      <c r="CV62" s="1030">
        <f t="shared" si="310"/>
        <v>0</v>
      </c>
      <c r="CW62" s="1014">
        <f t="shared" si="311"/>
        <v>0</v>
      </c>
      <c r="CX62" s="1014">
        <f t="shared" si="312"/>
        <v>0</v>
      </c>
      <c r="CY62" s="1014">
        <f t="shared" si="313"/>
        <v>0</v>
      </c>
      <c r="CZ62" s="1014">
        <f t="shared" si="314"/>
        <v>0</v>
      </c>
      <c r="DA62" s="1014">
        <f t="shared" si="315"/>
        <v>613922</v>
      </c>
      <c r="DB62" s="1014">
        <f t="shared" si="316"/>
        <v>613922</v>
      </c>
      <c r="DC62" s="1014">
        <f t="shared" si="317"/>
        <v>0</v>
      </c>
      <c r="DD62" s="1014">
        <f t="shared" si="318"/>
        <v>0</v>
      </c>
      <c r="DE62" s="1015">
        <f t="shared" si="319"/>
        <v>0</v>
      </c>
      <c r="DF62" s="1014">
        <f t="shared" si="320"/>
        <v>0</v>
      </c>
      <c r="DG62" s="1014">
        <f t="shared" si="321"/>
        <v>0</v>
      </c>
      <c r="DH62" s="1012">
        <f t="shared" si="359"/>
        <v>1227844</v>
      </c>
      <c r="DI62" s="1014">
        <f t="shared" si="322"/>
        <v>0</v>
      </c>
      <c r="DJ62" s="1014">
        <f t="shared" si="323"/>
        <v>0</v>
      </c>
      <c r="DK62" s="1014">
        <f t="shared" si="324"/>
        <v>0</v>
      </c>
      <c r="DL62" s="1014">
        <f t="shared" si="325"/>
        <v>0</v>
      </c>
      <c r="DM62" s="1014">
        <f t="shared" si="326"/>
        <v>306961</v>
      </c>
      <c r="DN62" s="1014">
        <f t="shared" si="327"/>
        <v>0</v>
      </c>
      <c r="DO62" s="1014">
        <f t="shared" si="328"/>
        <v>0</v>
      </c>
      <c r="DP62" s="1014">
        <f t="shared" si="329"/>
        <v>0</v>
      </c>
      <c r="DQ62" s="1020">
        <f t="shared" si="330"/>
        <v>0</v>
      </c>
      <c r="DR62" s="1014">
        <f t="shared" si="331"/>
        <v>0</v>
      </c>
      <c r="DS62" s="1014">
        <f t="shared" si="332"/>
        <v>0</v>
      </c>
      <c r="DT62" s="1025">
        <f t="shared" si="360"/>
        <v>306961</v>
      </c>
    </row>
    <row r="63" spans="1:124" x14ac:dyDescent="0.2">
      <c r="A63" s="908" t="s">
        <v>346</v>
      </c>
      <c r="B63" s="908"/>
      <c r="C63" s="910">
        <f t="shared" si="347"/>
        <v>0</v>
      </c>
      <c r="D63" s="910">
        <f t="shared" si="348"/>
        <v>0</v>
      </c>
      <c r="E63" s="910">
        <f t="shared" si="349"/>
        <v>0</v>
      </c>
      <c r="F63" s="910">
        <f t="shared" si="242"/>
        <v>0</v>
      </c>
      <c r="G63" s="910">
        <f t="shared" si="350"/>
        <v>0</v>
      </c>
      <c r="H63" s="910">
        <f t="shared" si="351"/>
        <v>655125</v>
      </c>
      <c r="I63" s="910">
        <f t="shared" si="352"/>
        <v>655125</v>
      </c>
      <c r="J63" s="910">
        <f t="shared" si="243"/>
        <v>0</v>
      </c>
      <c r="K63" s="910">
        <f t="shared" si="244"/>
        <v>0</v>
      </c>
      <c r="L63" s="910">
        <f t="shared" si="245"/>
        <v>0</v>
      </c>
      <c r="M63" s="910">
        <f t="shared" si="353"/>
        <v>0</v>
      </c>
      <c r="N63" s="910">
        <f t="shared" si="354"/>
        <v>0</v>
      </c>
      <c r="O63" s="910">
        <f t="shared" si="355"/>
        <v>0</v>
      </c>
      <c r="P63" s="910">
        <f t="shared" si="246"/>
        <v>0</v>
      </c>
      <c r="Q63" s="910">
        <f t="shared" si="356"/>
        <v>0</v>
      </c>
      <c r="R63" s="910">
        <f t="shared" si="357"/>
        <v>0</v>
      </c>
      <c r="S63" s="910">
        <f t="shared" si="358"/>
        <v>1310250</v>
      </c>
      <c r="T63" s="1037">
        <f t="shared" si="247"/>
        <v>655125</v>
      </c>
      <c r="U63" s="1034">
        <f t="shared" si="117"/>
        <v>0</v>
      </c>
      <c r="V63" s="1034">
        <f t="shared" si="118"/>
        <v>0</v>
      </c>
      <c r="W63" s="1034">
        <f t="shared" si="119"/>
        <v>0</v>
      </c>
      <c r="X63" s="1034">
        <f t="shared" si="120"/>
        <v>0</v>
      </c>
      <c r="Y63" s="1034">
        <f t="shared" si="121"/>
        <v>0</v>
      </c>
      <c r="Z63" s="1034">
        <f t="shared" si="122"/>
        <v>0</v>
      </c>
      <c r="AA63" s="1034">
        <f t="shared" si="123"/>
        <v>0</v>
      </c>
      <c r="AB63" s="1034">
        <f t="shared" si="124"/>
        <v>0</v>
      </c>
      <c r="AC63" s="1034">
        <f t="shared" si="125"/>
        <v>0</v>
      </c>
      <c r="AD63" s="1034">
        <f t="shared" si="126"/>
        <v>0</v>
      </c>
      <c r="AE63" s="1034">
        <f t="shared" si="127"/>
        <v>0</v>
      </c>
      <c r="AF63" s="1034">
        <f t="shared" si="128"/>
        <v>655125</v>
      </c>
      <c r="AG63" s="1034">
        <f t="shared" si="129"/>
        <v>655125</v>
      </c>
      <c r="AH63" s="1041">
        <f t="shared" si="130"/>
        <v>0.5</v>
      </c>
      <c r="AI63" s="1014">
        <f t="shared" si="248"/>
        <v>0</v>
      </c>
      <c r="AJ63" s="1025">
        <f t="shared" si="131"/>
        <v>0</v>
      </c>
      <c r="AK63" s="1014">
        <f t="shared" si="249"/>
        <v>0</v>
      </c>
      <c r="AL63" s="1025">
        <f t="shared" si="132"/>
        <v>0</v>
      </c>
      <c r="AM63" s="1014">
        <f t="shared" si="250"/>
        <v>0</v>
      </c>
      <c r="AN63" s="1025">
        <f t="shared" si="133"/>
        <v>0</v>
      </c>
      <c r="AO63" s="1014">
        <f t="shared" si="251"/>
        <v>0</v>
      </c>
      <c r="AP63" s="1014">
        <f t="shared" si="252"/>
        <v>0</v>
      </c>
      <c r="AQ63" s="1014">
        <f t="shared" si="253"/>
        <v>0</v>
      </c>
      <c r="AR63" s="1015">
        <f t="shared" si="254"/>
        <v>0</v>
      </c>
      <c r="AS63" s="1025">
        <f t="shared" si="255"/>
        <v>0</v>
      </c>
      <c r="AT63" s="1014">
        <f t="shared" si="256"/>
        <v>0</v>
      </c>
      <c r="AU63" s="1014">
        <f t="shared" si="257"/>
        <v>0</v>
      </c>
      <c r="AV63" s="1014">
        <f t="shared" si="258"/>
        <v>0</v>
      </c>
      <c r="AW63" s="1014">
        <f t="shared" si="259"/>
        <v>0</v>
      </c>
      <c r="AX63" s="1014">
        <f t="shared" si="260"/>
        <v>0</v>
      </c>
      <c r="AY63" s="1014">
        <f t="shared" si="261"/>
        <v>0</v>
      </c>
      <c r="AZ63" s="1025">
        <f t="shared" si="262"/>
        <v>0</v>
      </c>
      <c r="BA63" s="1014">
        <f t="shared" si="263"/>
        <v>0</v>
      </c>
      <c r="BB63" s="1014">
        <f t="shared" si="264"/>
        <v>0</v>
      </c>
      <c r="BC63" s="1014">
        <f t="shared" si="265"/>
        <v>0</v>
      </c>
      <c r="BD63" s="1014">
        <f t="shared" si="266"/>
        <v>0</v>
      </c>
      <c r="BE63" s="1014">
        <f t="shared" si="267"/>
        <v>0</v>
      </c>
      <c r="BF63" s="1014">
        <f t="shared" si="268"/>
        <v>0</v>
      </c>
      <c r="BG63" s="1025">
        <f t="shared" si="269"/>
        <v>0</v>
      </c>
      <c r="BH63" s="1014">
        <f t="shared" si="270"/>
        <v>0</v>
      </c>
      <c r="BI63" s="1014">
        <f t="shared" si="271"/>
        <v>0</v>
      </c>
      <c r="BJ63" s="1014">
        <f t="shared" si="272"/>
        <v>0</v>
      </c>
      <c r="BK63" s="1014">
        <f t="shared" si="273"/>
        <v>0</v>
      </c>
      <c r="BL63" s="1014">
        <f t="shared" si="274"/>
        <v>0</v>
      </c>
      <c r="BM63" s="1014">
        <f t="shared" si="275"/>
        <v>0</v>
      </c>
      <c r="BN63" s="1025">
        <f t="shared" si="276"/>
        <v>0</v>
      </c>
      <c r="BO63" s="1014">
        <f t="shared" si="277"/>
        <v>0</v>
      </c>
      <c r="BP63" s="1014">
        <f t="shared" si="278"/>
        <v>0</v>
      </c>
      <c r="BQ63" s="1014">
        <f t="shared" si="279"/>
        <v>0</v>
      </c>
      <c r="BR63" s="1014">
        <f t="shared" si="280"/>
        <v>0</v>
      </c>
      <c r="BS63" s="1014">
        <f t="shared" si="281"/>
        <v>0</v>
      </c>
      <c r="BT63" s="1025">
        <f t="shared" si="282"/>
        <v>0</v>
      </c>
      <c r="BU63" s="1014">
        <f t="shared" si="283"/>
        <v>0</v>
      </c>
      <c r="BV63" s="1014">
        <f t="shared" si="284"/>
        <v>0</v>
      </c>
      <c r="BW63" s="1014">
        <f t="shared" si="285"/>
        <v>0</v>
      </c>
      <c r="BX63" s="1014">
        <f t="shared" si="286"/>
        <v>0</v>
      </c>
      <c r="BY63" s="1014">
        <f t="shared" si="287"/>
        <v>0</v>
      </c>
      <c r="BZ63" s="1014">
        <f t="shared" si="288"/>
        <v>0</v>
      </c>
      <c r="CA63" s="1014">
        <f t="shared" si="289"/>
        <v>0</v>
      </c>
      <c r="CB63" s="1014">
        <f t="shared" si="290"/>
        <v>0</v>
      </c>
      <c r="CC63" s="1014">
        <f t="shared" si="291"/>
        <v>0</v>
      </c>
      <c r="CD63" s="1015">
        <f t="shared" si="292"/>
        <v>0</v>
      </c>
      <c r="CE63" s="1014">
        <f t="shared" si="293"/>
        <v>0</v>
      </c>
      <c r="CF63" s="1025">
        <f t="shared" si="294"/>
        <v>0</v>
      </c>
      <c r="CG63" s="1014">
        <f t="shared" si="295"/>
        <v>0</v>
      </c>
      <c r="CH63" s="1014">
        <f t="shared" si="296"/>
        <v>0</v>
      </c>
      <c r="CI63" s="1014">
        <f t="shared" si="297"/>
        <v>0</v>
      </c>
      <c r="CJ63" s="1014">
        <f t="shared" si="298"/>
        <v>0</v>
      </c>
      <c r="CK63" s="1014">
        <f t="shared" si="299"/>
        <v>0</v>
      </c>
      <c r="CL63" s="1014">
        <f t="shared" si="300"/>
        <v>0</v>
      </c>
      <c r="CM63" s="1014">
        <f t="shared" si="301"/>
        <v>0</v>
      </c>
      <c r="CN63" s="1015">
        <f t="shared" si="302"/>
        <v>0</v>
      </c>
      <c r="CO63" s="1014">
        <f t="shared" si="303"/>
        <v>0</v>
      </c>
      <c r="CP63" s="1025">
        <f t="shared" si="304"/>
        <v>0</v>
      </c>
      <c r="CQ63" s="1014">
        <f t="shared" si="305"/>
        <v>0</v>
      </c>
      <c r="CR63" s="1014">
        <f t="shared" si="306"/>
        <v>0</v>
      </c>
      <c r="CS63" s="1014">
        <f t="shared" si="307"/>
        <v>0</v>
      </c>
      <c r="CT63" s="1014">
        <f t="shared" si="308"/>
        <v>0</v>
      </c>
      <c r="CU63" s="1015">
        <f t="shared" si="309"/>
        <v>0</v>
      </c>
      <c r="CV63" s="1030">
        <f t="shared" si="310"/>
        <v>0</v>
      </c>
      <c r="CW63" s="1014">
        <f t="shared" si="311"/>
        <v>0</v>
      </c>
      <c r="CX63" s="1014">
        <f t="shared" si="312"/>
        <v>0</v>
      </c>
      <c r="CY63" s="1014">
        <f t="shared" si="313"/>
        <v>0</v>
      </c>
      <c r="CZ63" s="1014">
        <f t="shared" si="314"/>
        <v>0</v>
      </c>
      <c r="DA63" s="1014">
        <f t="shared" si="315"/>
        <v>327562.5</v>
      </c>
      <c r="DB63" s="1014">
        <f t="shared" si="316"/>
        <v>327562.5</v>
      </c>
      <c r="DC63" s="1014">
        <f t="shared" si="317"/>
        <v>0</v>
      </c>
      <c r="DD63" s="1014">
        <f t="shared" si="318"/>
        <v>0</v>
      </c>
      <c r="DE63" s="1015">
        <f t="shared" si="319"/>
        <v>0</v>
      </c>
      <c r="DF63" s="1014">
        <f t="shared" si="320"/>
        <v>0</v>
      </c>
      <c r="DG63" s="1014">
        <f t="shared" si="321"/>
        <v>0</v>
      </c>
      <c r="DH63" s="1012">
        <f t="shared" si="359"/>
        <v>655125</v>
      </c>
      <c r="DI63" s="1014">
        <f t="shared" si="322"/>
        <v>0</v>
      </c>
      <c r="DJ63" s="1014">
        <f t="shared" si="323"/>
        <v>0</v>
      </c>
      <c r="DK63" s="1014">
        <f t="shared" si="324"/>
        <v>0</v>
      </c>
      <c r="DL63" s="1014">
        <f t="shared" si="325"/>
        <v>0</v>
      </c>
      <c r="DM63" s="1014">
        <f t="shared" si="326"/>
        <v>0</v>
      </c>
      <c r="DN63" s="1014">
        <f t="shared" si="327"/>
        <v>0</v>
      </c>
      <c r="DO63" s="1014">
        <f t="shared" si="328"/>
        <v>0</v>
      </c>
      <c r="DP63" s="1014">
        <f t="shared" si="329"/>
        <v>0</v>
      </c>
      <c r="DQ63" s="1020">
        <f t="shared" si="330"/>
        <v>0</v>
      </c>
      <c r="DR63" s="1014">
        <f t="shared" si="331"/>
        <v>0</v>
      </c>
      <c r="DS63" s="1014">
        <f t="shared" si="332"/>
        <v>0</v>
      </c>
      <c r="DT63" s="1025">
        <f t="shared" si="360"/>
        <v>0</v>
      </c>
    </row>
    <row r="64" spans="1:124" x14ac:dyDescent="0.2">
      <c r="A64" s="908" t="s">
        <v>285</v>
      </c>
      <c r="B64" s="908"/>
      <c r="C64" s="910">
        <f t="shared" si="347"/>
        <v>0</v>
      </c>
      <c r="D64" s="910">
        <f t="shared" si="348"/>
        <v>0</v>
      </c>
      <c r="E64" s="910">
        <f t="shared" si="349"/>
        <v>520000</v>
      </c>
      <c r="F64" s="910">
        <f t="shared" si="242"/>
        <v>0</v>
      </c>
      <c r="G64" s="910">
        <f t="shared" si="350"/>
        <v>0</v>
      </c>
      <c r="H64" s="910">
        <f t="shared" si="351"/>
        <v>0</v>
      </c>
      <c r="I64" s="910">
        <f t="shared" si="352"/>
        <v>0</v>
      </c>
      <c r="J64" s="910">
        <f t="shared" si="243"/>
        <v>0</v>
      </c>
      <c r="K64" s="910">
        <f t="shared" si="244"/>
        <v>0</v>
      </c>
      <c r="L64" s="910">
        <f t="shared" si="245"/>
        <v>0</v>
      </c>
      <c r="M64" s="910">
        <f t="shared" si="353"/>
        <v>0</v>
      </c>
      <c r="N64" s="910">
        <f t="shared" si="354"/>
        <v>0</v>
      </c>
      <c r="O64" s="910">
        <f t="shared" si="355"/>
        <v>0</v>
      </c>
      <c r="P64" s="910">
        <f t="shared" si="246"/>
        <v>0</v>
      </c>
      <c r="Q64" s="910">
        <f t="shared" si="356"/>
        <v>0</v>
      </c>
      <c r="R64" s="910">
        <f t="shared" si="357"/>
        <v>0</v>
      </c>
      <c r="S64" s="910">
        <f t="shared" si="358"/>
        <v>520000</v>
      </c>
      <c r="T64" s="1037">
        <f t="shared" si="247"/>
        <v>520000</v>
      </c>
      <c r="U64" s="1034">
        <f t="shared" si="117"/>
        <v>0</v>
      </c>
      <c r="V64" s="1034">
        <f t="shared" si="118"/>
        <v>0</v>
      </c>
      <c r="W64" s="1034">
        <f t="shared" si="119"/>
        <v>0</v>
      </c>
      <c r="X64" s="1034">
        <f t="shared" si="120"/>
        <v>0</v>
      </c>
      <c r="Y64" s="1034">
        <f t="shared" si="121"/>
        <v>0</v>
      </c>
      <c r="Z64" s="1034">
        <f t="shared" si="122"/>
        <v>0</v>
      </c>
      <c r="AA64" s="1034">
        <f t="shared" si="123"/>
        <v>0</v>
      </c>
      <c r="AB64" s="1034">
        <f t="shared" si="124"/>
        <v>0</v>
      </c>
      <c r="AC64" s="1034">
        <f t="shared" si="125"/>
        <v>0</v>
      </c>
      <c r="AD64" s="1034">
        <f t="shared" si="126"/>
        <v>0</v>
      </c>
      <c r="AE64" s="1034">
        <f t="shared" si="127"/>
        <v>0</v>
      </c>
      <c r="AF64" s="1034">
        <f t="shared" si="128"/>
        <v>0</v>
      </c>
      <c r="AG64" s="1034">
        <f t="shared" si="129"/>
        <v>0</v>
      </c>
      <c r="AH64" s="1041" t="str">
        <f t="shared" si="130"/>
        <v>-</v>
      </c>
      <c r="AI64" s="1014">
        <f t="shared" si="248"/>
        <v>0</v>
      </c>
      <c r="AJ64" s="1025">
        <f t="shared" si="131"/>
        <v>0</v>
      </c>
      <c r="AK64" s="1014">
        <f t="shared" si="249"/>
        <v>0</v>
      </c>
      <c r="AL64" s="1025">
        <f t="shared" si="132"/>
        <v>0</v>
      </c>
      <c r="AM64" s="1014">
        <f t="shared" si="250"/>
        <v>0</v>
      </c>
      <c r="AN64" s="1025">
        <f t="shared" si="133"/>
        <v>0</v>
      </c>
      <c r="AO64" s="1014">
        <f t="shared" si="251"/>
        <v>0</v>
      </c>
      <c r="AP64" s="1014">
        <f t="shared" si="252"/>
        <v>0</v>
      </c>
      <c r="AQ64" s="1014">
        <f t="shared" si="253"/>
        <v>0</v>
      </c>
      <c r="AR64" s="1015">
        <f t="shared" si="254"/>
        <v>0</v>
      </c>
      <c r="AS64" s="1025">
        <f t="shared" si="255"/>
        <v>0</v>
      </c>
      <c r="AT64" s="1014">
        <f t="shared" si="256"/>
        <v>0</v>
      </c>
      <c r="AU64" s="1014">
        <f t="shared" si="257"/>
        <v>0</v>
      </c>
      <c r="AV64" s="1014">
        <f t="shared" si="258"/>
        <v>0</v>
      </c>
      <c r="AW64" s="1014">
        <f t="shared" si="259"/>
        <v>0</v>
      </c>
      <c r="AX64" s="1014">
        <f t="shared" si="260"/>
        <v>0</v>
      </c>
      <c r="AY64" s="1014">
        <f t="shared" si="261"/>
        <v>0</v>
      </c>
      <c r="AZ64" s="1025">
        <f t="shared" si="262"/>
        <v>0</v>
      </c>
      <c r="BA64" s="1014">
        <f t="shared" si="263"/>
        <v>0</v>
      </c>
      <c r="BB64" s="1014">
        <f t="shared" si="264"/>
        <v>0</v>
      </c>
      <c r="BC64" s="1014">
        <f t="shared" si="265"/>
        <v>0</v>
      </c>
      <c r="BD64" s="1014">
        <f t="shared" si="266"/>
        <v>0</v>
      </c>
      <c r="BE64" s="1014">
        <f t="shared" si="267"/>
        <v>0</v>
      </c>
      <c r="BF64" s="1014">
        <f t="shared" si="268"/>
        <v>0</v>
      </c>
      <c r="BG64" s="1025">
        <f t="shared" si="269"/>
        <v>0</v>
      </c>
      <c r="BH64" s="1014">
        <f t="shared" si="270"/>
        <v>0</v>
      </c>
      <c r="BI64" s="1014">
        <f t="shared" si="271"/>
        <v>0</v>
      </c>
      <c r="BJ64" s="1014">
        <f t="shared" si="272"/>
        <v>0</v>
      </c>
      <c r="BK64" s="1014">
        <f t="shared" si="273"/>
        <v>0</v>
      </c>
      <c r="BL64" s="1014">
        <f t="shared" si="274"/>
        <v>0</v>
      </c>
      <c r="BM64" s="1014">
        <f t="shared" si="275"/>
        <v>0</v>
      </c>
      <c r="BN64" s="1025">
        <f t="shared" si="276"/>
        <v>0</v>
      </c>
      <c r="BO64" s="1014">
        <f t="shared" si="277"/>
        <v>0</v>
      </c>
      <c r="BP64" s="1014">
        <f t="shared" si="278"/>
        <v>0</v>
      </c>
      <c r="BQ64" s="1014">
        <f t="shared" si="279"/>
        <v>0</v>
      </c>
      <c r="BR64" s="1014">
        <f t="shared" si="280"/>
        <v>0</v>
      </c>
      <c r="BS64" s="1014">
        <f t="shared" si="281"/>
        <v>0</v>
      </c>
      <c r="BT64" s="1025">
        <f t="shared" si="282"/>
        <v>0</v>
      </c>
      <c r="BU64" s="1014">
        <f t="shared" si="283"/>
        <v>0</v>
      </c>
      <c r="BV64" s="1014">
        <f t="shared" si="284"/>
        <v>0</v>
      </c>
      <c r="BW64" s="1014">
        <f t="shared" si="285"/>
        <v>0</v>
      </c>
      <c r="BX64" s="1014">
        <f t="shared" si="286"/>
        <v>0</v>
      </c>
      <c r="BY64" s="1014">
        <f t="shared" si="287"/>
        <v>0</v>
      </c>
      <c r="BZ64" s="1014">
        <f t="shared" si="288"/>
        <v>0</v>
      </c>
      <c r="CA64" s="1014">
        <f t="shared" si="289"/>
        <v>0</v>
      </c>
      <c r="CB64" s="1014">
        <f t="shared" si="290"/>
        <v>0</v>
      </c>
      <c r="CC64" s="1014">
        <f t="shared" si="291"/>
        <v>0</v>
      </c>
      <c r="CD64" s="1015">
        <f t="shared" si="292"/>
        <v>0</v>
      </c>
      <c r="CE64" s="1014">
        <f t="shared" si="293"/>
        <v>0</v>
      </c>
      <c r="CF64" s="1025">
        <f t="shared" si="294"/>
        <v>0</v>
      </c>
      <c r="CG64" s="1014">
        <f t="shared" si="295"/>
        <v>0</v>
      </c>
      <c r="CH64" s="1014">
        <f t="shared" si="296"/>
        <v>0</v>
      </c>
      <c r="CI64" s="1014">
        <f t="shared" si="297"/>
        <v>0</v>
      </c>
      <c r="CJ64" s="1014">
        <f t="shared" si="298"/>
        <v>0</v>
      </c>
      <c r="CK64" s="1014">
        <f t="shared" si="299"/>
        <v>0</v>
      </c>
      <c r="CL64" s="1014">
        <f t="shared" si="300"/>
        <v>0</v>
      </c>
      <c r="CM64" s="1014">
        <f t="shared" si="301"/>
        <v>0</v>
      </c>
      <c r="CN64" s="1015">
        <f t="shared" si="302"/>
        <v>0</v>
      </c>
      <c r="CO64" s="1014">
        <f t="shared" si="303"/>
        <v>0</v>
      </c>
      <c r="CP64" s="1025">
        <f t="shared" si="304"/>
        <v>0</v>
      </c>
      <c r="CQ64" s="1014">
        <f t="shared" si="305"/>
        <v>0</v>
      </c>
      <c r="CR64" s="1014">
        <f t="shared" si="306"/>
        <v>0</v>
      </c>
      <c r="CS64" s="1014">
        <f t="shared" si="307"/>
        <v>0</v>
      </c>
      <c r="CT64" s="1014">
        <f t="shared" si="308"/>
        <v>0</v>
      </c>
      <c r="CU64" s="1015">
        <f t="shared" si="309"/>
        <v>0</v>
      </c>
      <c r="CV64" s="1030">
        <f t="shared" si="310"/>
        <v>0</v>
      </c>
      <c r="CW64" s="1014">
        <f t="shared" si="311"/>
        <v>0</v>
      </c>
      <c r="CX64" s="1014">
        <f t="shared" si="312"/>
        <v>0</v>
      </c>
      <c r="CY64" s="1014">
        <f t="shared" si="313"/>
        <v>0</v>
      </c>
      <c r="CZ64" s="1014">
        <f t="shared" si="314"/>
        <v>0</v>
      </c>
      <c r="DA64" s="1014">
        <f t="shared" si="315"/>
        <v>0</v>
      </c>
      <c r="DB64" s="1014">
        <f t="shared" si="316"/>
        <v>0</v>
      </c>
      <c r="DC64" s="1014">
        <f t="shared" si="317"/>
        <v>0</v>
      </c>
      <c r="DD64" s="1014">
        <f t="shared" si="318"/>
        <v>0</v>
      </c>
      <c r="DE64" s="1015">
        <f t="shared" si="319"/>
        <v>0</v>
      </c>
      <c r="DF64" s="1014">
        <f t="shared" si="320"/>
        <v>0</v>
      </c>
      <c r="DG64" s="1014">
        <f t="shared" si="321"/>
        <v>0</v>
      </c>
      <c r="DH64" s="1012">
        <f t="shared" si="359"/>
        <v>0</v>
      </c>
      <c r="DI64" s="1014">
        <f t="shared" si="322"/>
        <v>0</v>
      </c>
      <c r="DJ64" s="1014">
        <f t="shared" si="323"/>
        <v>0</v>
      </c>
      <c r="DK64" s="1014">
        <f t="shared" si="324"/>
        <v>0</v>
      </c>
      <c r="DL64" s="1014">
        <f t="shared" si="325"/>
        <v>0</v>
      </c>
      <c r="DM64" s="1014">
        <f t="shared" si="326"/>
        <v>0</v>
      </c>
      <c r="DN64" s="1014">
        <f t="shared" si="327"/>
        <v>0</v>
      </c>
      <c r="DO64" s="1014">
        <f t="shared" si="328"/>
        <v>0</v>
      </c>
      <c r="DP64" s="1014">
        <f t="shared" si="329"/>
        <v>0</v>
      </c>
      <c r="DQ64" s="1020">
        <f t="shared" si="330"/>
        <v>0</v>
      </c>
      <c r="DR64" s="1014">
        <f t="shared" si="331"/>
        <v>0</v>
      </c>
      <c r="DS64" s="1014">
        <f t="shared" si="332"/>
        <v>0</v>
      </c>
      <c r="DT64" s="1025">
        <f t="shared" si="360"/>
        <v>0</v>
      </c>
    </row>
    <row r="65" spans="1:124" x14ac:dyDescent="0.2">
      <c r="A65" s="908" t="s">
        <v>233</v>
      </c>
      <c r="B65" s="908"/>
      <c r="C65" s="910">
        <f t="shared" si="347"/>
        <v>0</v>
      </c>
      <c r="D65" s="910">
        <f t="shared" si="348"/>
        <v>0</v>
      </c>
      <c r="E65" s="910">
        <f t="shared" si="349"/>
        <v>400000</v>
      </c>
      <c r="F65" s="910">
        <f t="shared" si="242"/>
        <v>0</v>
      </c>
      <c r="G65" s="910">
        <f t="shared" si="350"/>
        <v>0</v>
      </c>
      <c r="H65" s="910">
        <f t="shared" si="351"/>
        <v>0</v>
      </c>
      <c r="I65" s="910">
        <f t="shared" si="352"/>
        <v>0</v>
      </c>
      <c r="J65" s="910">
        <f t="shared" si="243"/>
        <v>0</v>
      </c>
      <c r="K65" s="910">
        <f t="shared" si="244"/>
        <v>0</v>
      </c>
      <c r="L65" s="910">
        <f t="shared" si="245"/>
        <v>0</v>
      </c>
      <c r="M65" s="910">
        <f t="shared" si="353"/>
        <v>0</v>
      </c>
      <c r="N65" s="910">
        <f t="shared" si="354"/>
        <v>0</v>
      </c>
      <c r="O65" s="910">
        <f t="shared" si="355"/>
        <v>16082.955</v>
      </c>
      <c r="P65" s="910">
        <f t="shared" si="246"/>
        <v>0</v>
      </c>
      <c r="Q65" s="910">
        <f t="shared" si="356"/>
        <v>0</v>
      </c>
      <c r="R65" s="910">
        <f t="shared" si="357"/>
        <v>0</v>
      </c>
      <c r="S65" s="910">
        <f t="shared" si="358"/>
        <v>416082.95500000002</v>
      </c>
      <c r="T65" s="1037">
        <f t="shared" si="247"/>
        <v>416082.95500000002</v>
      </c>
      <c r="U65" s="1034">
        <f t="shared" si="117"/>
        <v>0</v>
      </c>
      <c r="V65" s="1034">
        <f t="shared" si="118"/>
        <v>0</v>
      </c>
      <c r="W65" s="1034">
        <f t="shared" si="119"/>
        <v>0</v>
      </c>
      <c r="X65" s="1034">
        <f t="shared" si="120"/>
        <v>0</v>
      </c>
      <c r="Y65" s="1034">
        <f t="shared" si="121"/>
        <v>0</v>
      </c>
      <c r="Z65" s="1034">
        <f t="shared" si="122"/>
        <v>0</v>
      </c>
      <c r="AA65" s="1034">
        <f t="shared" si="123"/>
        <v>0</v>
      </c>
      <c r="AB65" s="1034">
        <f t="shared" si="124"/>
        <v>0</v>
      </c>
      <c r="AC65" s="1034">
        <f t="shared" si="125"/>
        <v>0</v>
      </c>
      <c r="AD65" s="1034">
        <f t="shared" si="126"/>
        <v>0</v>
      </c>
      <c r="AE65" s="1034">
        <f t="shared" si="127"/>
        <v>0</v>
      </c>
      <c r="AF65" s="1034">
        <f t="shared" si="128"/>
        <v>0</v>
      </c>
      <c r="AG65" s="1034">
        <f t="shared" si="129"/>
        <v>0</v>
      </c>
      <c r="AH65" s="1041" t="str">
        <f t="shared" si="130"/>
        <v>-</v>
      </c>
      <c r="AI65" s="1014">
        <f t="shared" si="248"/>
        <v>0</v>
      </c>
      <c r="AJ65" s="1025">
        <f t="shared" si="131"/>
        <v>0</v>
      </c>
      <c r="AK65" s="1014">
        <f t="shared" si="249"/>
        <v>0</v>
      </c>
      <c r="AL65" s="1025">
        <f t="shared" si="132"/>
        <v>0</v>
      </c>
      <c r="AM65" s="1014">
        <f t="shared" si="250"/>
        <v>0</v>
      </c>
      <c r="AN65" s="1025">
        <f t="shared" si="133"/>
        <v>0</v>
      </c>
      <c r="AO65" s="1014">
        <f t="shared" si="251"/>
        <v>0</v>
      </c>
      <c r="AP65" s="1014">
        <f t="shared" si="252"/>
        <v>0</v>
      </c>
      <c r="AQ65" s="1014">
        <f t="shared" si="253"/>
        <v>0</v>
      </c>
      <c r="AR65" s="1015">
        <f t="shared" si="254"/>
        <v>0</v>
      </c>
      <c r="AS65" s="1025">
        <f t="shared" si="255"/>
        <v>0</v>
      </c>
      <c r="AT65" s="1014">
        <f t="shared" si="256"/>
        <v>0</v>
      </c>
      <c r="AU65" s="1014">
        <f t="shared" si="257"/>
        <v>0</v>
      </c>
      <c r="AV65" s="1014">
        <f t="shared" si="258"/>
        <v>0</v>
      </c>
      <c r="AW65" s="1014">
        <f t="shared" si="259"/>
        <v>0</v>
      </c>
      <c r="AX65" s="1014">
        <f t="shared" si="260"/>
        <v>0</v>
      </c>
      <c r="AY65" s="1014">
        <f t="shared" si="261"/>
        <v>0</v>
      </c>
      <c r="AZ65" s="1025">
        <f t="shared" si="262"/>
        <v>0</v>
      </c>
      <c r="BA65" s="1014">
        <f t="shared" si="263"/>
        <v>0</v>
      </c>
      <c r="BB65" s="1014">
        <f t="shared" si="264"/>
        <v>0</v>
      </c>
      <c r="BC65" s="1014">
        <f t="shared" si="265"/>
        <v>0</v>
      </c>
      <c r="BD65" s="1014">
        <f t="shared" si="266"/>
        <v>0</v>
      </c>
      <c r="BE65" s="1014">
        <f t="shared" si="267"/>
        <v>0</v>
      </c>
      <c r="BF65" s="1014">
        <f t="shared" si="268"/>
        <v>0</v>
      </c>
      <c r="BG65" s="1025">
        <f t="shared" si="269"/>
        <v>0</v>
      </c>
      <c r="BH65" s="1014">
        <f t="shared" si="270"/>
        <v>0</v>
      </c>
      <c r="BI65" s="1014">
        <f t="shared" si="271"/>
        <v>0</v>
      </c>
      <c r="BJ65" s="1014">
        <f t="shared" si="272"/>
        <v>0</v>
      </c>
      <c r="BK65" s="1014">
        <f t="shared" si="273"/>
        <v>0</v>
      </c>
      <c r="BL65" s="1014">
        <f t="shared" si="274"/>
        <v>0</v>
      </c>
      <c r="BM65" s="1014">
        <f t="shared" si="275"/>
        <v>0</v>
      </c>
      <c r="BN65" s="1025">
        <f t="shared" si="276"/>
        <v>0</v>
      </c>
      <c r="BO65" s="1014">
        <f t="shared" si="277"/>
        <v>0</v>
      </c>
      <c r="BP65" s="1014">
        <f t="shared" si="278"/>
        <v>0</v>
      </c>
      <c r="BQ65" s="1014">
        <f t="shared" si="279"/>
        <v>0</v>
      </c>
      <c r="BR65" s="1014">
        <f t="shared" si="280"/>
        <v>0</v>
      </c>
      <c r="BS65" s="1014">
        <f t="shared" si="281"/>
        <v>0</v>
      </c>
      <c r="BT65" s="1025">
        <f t="shared" si="282"/>
        <v>0</v>
      </c>
      <c r="BU65" s="1014">
        <f t="shared" si="283"/>
        <v>0</v>
      </c>
      <c r="BV65" s="1014">
        <f t="shared" si="284"/>
        <v>0</v>
      </c>
      <c r="BW65" s="1014">
        <f t="shared" si="285"/>
        <v>0</v>
      </c>
      <c r="BX65" s="1014">
        <f t="shared" si="286"/>
        <v>0</v>
      </c>
      <c r="BY65" s="1014">
        <f t="shared" si="287"/>
        <v>0</v>
      </c>
      <c r="BZ65" s="1014">
        <f t="shared" si="288"/>
        <v>0</v>
      </c>
      <c r="CA65" s="1014">
        <f t="shared" si="289"/>
        <v>0</v>
      </c>
      <c r="CB65" s="1014">
        <f t="shared" si="290"/>
        <v>0</v>
      </c>
      <c r="CC65" s="1014">
        <f t="shared" si="291"/>
        <v>0</v>
      </c>
      <c r="CD65" s="1015">
        <f t="shared" si="292"/>
        <v>0</v>
      </c>
      <c r="CE65" s="1014">
        <f t="shared" si="293"/>
        <v>0</v>
      </c>
      <c r="CF65" s="1025">
        <f t="shared" si="294"/>
        <v>0</v>
      </c>
      <c r="CG65" s="1014">
        <f t="shared" si="295"/>
        <v>0</v>
      </c>
      <c r="CH65" s="1014">
        <f t="shared" si="296"/>
        <v>0</v>
      </c>
      <c r="CI65" s="1014">
        <f t="shared" si="297"/>
        <v>0</v>
      </c>
      <c r="CJ65" s="1014">
        <f t="shared" si="298"/>
        <v>0</v>
      </c>
      <c r="CK65" s="1014">
        <f t="shared" si="299"/>
        <v>0</v>
      </c>
      <c r="CL65" s="1014">
        <f t="shared" si="300"/>
        <v>0</v>
      </c>
      <c r="CM65" s="1014">
        <f t="shared" si="301"/>
        <v>0</v>
      </c>
      <c r="CN65" s="1015">
        <f t="shared" si="302"/>
        <v>0</v>
      </c>
      <c r="CO65" s="1014">
        <f t="shared" si="303"/>
        <v>0</v>
      </c>
      <c r="CP65" s="1025">
        <f t="shared" si="304"/>
        <v>0</v>
      </c>
      <c r="CQ65" s="1014">
        <f t="shared" si="305"/>
        <v>0</v>
      </c>
      <c r="CR65" s="1014">
        <f t="shared" si="306"/>
        <v>0</v>
      </c>
      <c r="CS65" s="1014">
        <f t="shared" si="307"/>
        <v>0</v>
      </c>
      <c r="CT65" s="1014">
        <f t="shared" si="308"/>
        <v>0</v>
      </c>
      <c r="CU65" s="1015">
        <f t="shared" si="309"/>
        <v>0</v>
      </c>
      <c r="CV65" s="1030">
        <f t="shared" si="310"/>
        <v>0</v>
      </c>
      <c r="CW65" s="1014">
        <f t="shared" si="311"/>
        <v>0</v>
      </c>
      <c r="CX65" s="1014">
        <f t="shared" si="312"/>
        <v>0</v>
      </c>
      <c r="CY65" s="1014">
        <f t="shared" si="313"/>
        <v>0</v>
      </c>
      <c r="CZ65" s="1014">
        <f t="shared" si="314"/>
        <v>0</v>
      </c>
      <c r="DA65" s="1014">
        <f t="shared" si="315"/>
        <v>0</v>
      </c>
      <c r="DB65" s="1014">
        <f t="shared" si="316"/>
        <v>0</v>
      </c>
      <c r="DC65" s="1014">
        <f t="shared" si="317"/>
        <v>0</v>
      </c>
      <c r="DD65" s="1014">
        <f t="shared" si="318"/>
        <v>0</v>
      </c>
      <c r="DE65" s="1015">
        <f t="shared" si="319"/>
        <v>0</v>
      </c>
      <c r="DF65" s="1014">
        <f t="shared" si="320"/>
        <v>0</v>
      </c>
      <c r="DG65" s="1014">
        <f t="shared" si="321"/>
        <v>0</v>
      </c>
      <c r="DH65" s="1012">
        <f t="shared" si="359"/>
        <v>0</v>
      </c>
      <c r="DI65" s="1014">
        <f t="shared" si="322"/>
        <v>0</v>
      </c>
      <c r="DJ65" s="1014">
        <f t="shared" si="323"/>
        <v>0</v>
      </c>
      <c r="DK65" s="1014">
        <f t="shared" si="324"/>
        <v>0</v>
      </c>
      <c r="DL65" s="1014">
        <f t="shared" si="325"/>
        <v>0</v>
      </c>
      <c r="DM65" s="1014">
        <f t="shared" si="326"/>
        <v>0</v>
      </c>
      <c r="DN65" s="1014">
        <f t="shared" si="327"/>
        <v>0</v>
      </c>
      <c r="DO65" s="1014">
        <f t="shared" si="328"/>
        <v>0</v>
      </c>
      <c r="DP65" s="1014">
        <f t="shared" si="329"/>
        <v>0</v>
      </c>
      <c r="DQ65" s="1020">
        <f t="shared" si="330"/>
        <v>0</v>
      </c>
      <c r="DR65" s="1014">
        <f t="shared" si="331"/>
        <v>0</v>
      </c>
      <c r="DS65" s="1014">
        <f t="shared" si="332"/>
        <v>0</v>
      </c>
      <c r="DT65" s="1025">
        <f t="shared" si="360"/>
        <v>0</v>
      </c>
    </row>
    <row r="66" spans="1:124" x14ac:dyDescent="0.2">
      <c r="A66" s="908" t="s">
        <v>306</v>
      </c>
      <c r="B66" s="908"/>
      <c r="C66" s="910">
        <f t="shared" si="347"/>
        <v>0</v>
      </c>
      <c r="D66" s="910">
        <f t="shared" si="348"/>
        <v>462500</v>
      </c>
      <c r="E66" s="910">
        <f t="shared" si="349"/>
        <v>0</v>
      </c>
      <c r="F66" s="910">
        <f t="shared" si="242"/>
        <v>0</v>
      </c>
      <c r="G66" s="910">
        <f t="shared" si="350"/>
        <v>0</v>
      </c>
      <c r="H66" s="910">
        <f t="shared" si="351"/>
        <v>0</v>
      </c>
      <c r="I66" s="910">
        <f t="shared" si="352"/>
        <v>0</v>
      </c>
      <c r="J66" s="910">
        <f t="shared" si="243"/>
        <v>0</v>
      </c>
      <c r="K66" s="910">
        <f t="shared" si="244"/>
        <v>0</v>
      </c>
      <c r="L66" s="910">
        <f t="shared" si="245"/>
        <v>0</v>
      </c>
      <c r="M66" s="910">
        <f t="shared" si="353"/>
        <v>0</v>
      </c>
      <c r="N66" s="910">
        <f t="shared" si="354"/>
        <v>0</v>
      </c>
      <c r="O66" s="910">
        <f t="shared" si="355"/>
        <v>54723.06</v>
      </c>
      <c r="P66" s="910">
        <f t="shared" si="246"/>
        <v>0</v>
      </c>
      <c r="Q66" s="910">
        <f t="shared" si="356"/>
        <v>0</v>
      </c>
      <c r="R66" s="910">
        <f t="shared" si="357"/>
        <v>0</v>
      </c>
      <c r="S66" s="910">
        <f t="shared" si="358"/>
        <v>517223.06</v>
      </c>
      <c r="T66" s="1037">
        <f t="shared" si="247"/>
        <v>351786.81</v>
      </c>
      <c r="U66" s="1034">
        <f t="shared" si="117"/>
        <v>0</v>
      </c>
      <c r="V66" s="1034">
        <f t="shared" si="118"/>
        <v>0</v>
      </c>
      <c r="W66" s="1034">
        <f t="shared" si="119"/>
        <v>0</v>
      </c>
      <c r="X66" s="1034">
        <f t="shared" si="120"/>
        <v>0</v>
      </c>
      <c r="Y66" s="1034">
        <f t="shared" si="121"/>
        <v>0</v>
      </c>
      <c r="Z66" s="1034">
        <f t="shared" si="122"/>
        <v>0</v>
      </c>
      <c r="AA66" s="1034">
        <f t="shared" si="123"/>
        <v>0</v>
      </c>
      <c r="AB66" s="1034">
        <f t="shared" si="124"/>
        <v>0</v>
      </c>
      <c r="AC66" s="1034">
        <f t="shared" si="125"/>
        <v>0</v>
      </c>
      <c r="AD66" s="1034">
        <f t="shared" si="126"/>
        <v>0</v>
      </c>
      <c r="AE66" s="1034">
        <f t="shared" si="127"/>
        <v>0</v>
      </c>
      <c r="AF66" s="1034">
        <f t="shared" si="128"/>
        <v>92500</v>
      </c>
      <c r="AG66" s="1034">
        <f t="shared" si="129"/>
        <v>165436.25</v>
      </c>
      <c r="AH66" s="1041">
        <f t="shared" si="130"/>
        <v>0.31985474506879102</v>
      </c>
      <c r="AI66" s="1014">
        <f t="shared" si="248"/>
        <v>0</v>
      </c>
      <c r="AJ66" s="1025">
        <f t="shared" si="131"/>
        <v>0</v>
      </c>
      <c r="AK66" s="1014">
        <f t="shared" si="249"/>
        <v>0</v>
      </c>
      <c r="AL66" s="1025">
        <f t="shared" si="132"/>
        <v>0</v>
      </c>
      <c r="AM66" s="1014">
        <f t="shared" si="250"/>
        <v>0</v>
      </c>
      <c r="AN66" s="1025">
        <f t="shared" si="133"/>
        <v>0</v>
      </c>
      <c r="AO66" s="1014">
        <f t="shared" si="251"/>
        <v>0</v>
      </c>
      <c r="AP66" s="1014">
        <f t="shared" si="252"/>
        <v>0</v>
      </c>
      <c r="AQ66" s="1014">
        <f t="shared" si="253"/>
        <v>0</v>
      </c>
      <c r="AR66" s="1015">
        <f t="shared" si="254"/>
        <v>0</v>
      </c>
      <c r="AS66" s="1025">
        <f t="shared" si="255"/>
        <v>0</v>
      </c>
      <c r="AT66" s="1014">
        <f t="shared" si="256"/>
        <v>0</v>
      </c>
      <c r="AU66" s="1014">
        <f t="shared" si="257"/>
        <v>0</v>
      </c>
      <c r="AV66" s="1014">
        <f t="shared" si="258"/>
        <v>0</v>
      </c>
      <c r="AW66" s="1014">
        <f t="shared" si="259"/>
        <v>0</v>
      </c>
      <c r="AX66" s="1014">
        <f t="shared" si="260"/>
        <v>0</v>
      </c>
      <c r="AY66" s="1014">
        <f t="shared" si="261"/>
        <v>0</v>
      </c>
      <c r="AZ66" s="1025">
        <f t="shared" si="262"/>
        <v>0</v>
      </c>
      <c r="BA66" s="1014">
        <f t="shared" si="263"/>
        <v>0</v>
      </c>
      <c r="BB66" s="1014">
        <f t="shared" si="264"/>
        <v>0</v>
      </c>
      <c r="BC66" s="1014">
        <f t="shared" si="265"/>
        <v>0</v>
      </c>
      <c r="BD66" s="1014">
        <f t="shared" si="266"/>
        <v>0</v>
      </c>
      <c r="BE66" s="1014">
        <f t="shared" si="267"/>
        <v>0</v>
      </c>
      <c r="BF66" s="1014">
        <f t="shared" si="268"/>
        <v>0</v>
      </c>
      <c r="BG66" s="1025">
        <f t="shared" si="269"/>
        <v>0</v>
      </c>
      <c r="BH66" s="1014">
        <f t="shared" si="270"/>
        <v>0</v>
      </c>
      <c r="BI66" s="1014">
        <f t="shared" si="271"/>
        <v>0</v>
      </c>
      <c r="BJ66" s="1014">
        <f t="shared" si="272"/>
        <v>0</v>
      </c>
      <c r="BK66" s="1014">
        <f t="shared" si="273"/>
        <v>0</v>
      </c>
      <c r="BL66" s="1014">
        <f t="shared" si="274"/>
        <v>0</v>
      </c>
      <c r="BM66" s="1014">
        <f t="shared" si="275"/>
        <v>0</v>
      </c>
      <c r="BN66" s="1025">
        <f t="shared" si="276"/>
        <v>0</v>
      </c>
      <c r="BO66" s="1014">
        <f t="shared" si="277"/>
        <v>0</v>
      </c>
      <c r="BP66" s="1014">
        <f t="shared" si="278"/>
        <v>0</v>
      </c>
      <c r="BQ66" s="1014">
        <f t="shared" si="279"/>
        <v>0</v>
      </c>
      <c r="BR66" s="1014">
        <f t="shared" si="280"/>
        <v>0</v>
      </c>
      <c r="BS66" s="1014">
        <f t="shared" si="281"/>
        <v>0</v>
      </c>
      <c r="BT66" s="1025">
        <f t="shared" si="282"/>
        <v>0</v>
      </c>
      <c r="BU66" s="1014">
        <f t="shared" si="283"/>
        <v>0</v>
      </c>
      <c r="BV66" s="1014">
        <f t="shared" si="284"/>
        <v>0</v>
      </c>
      <c r="BW66" s="1014">
        <f t="shared" si="285"/>
        <v>0</v>
      </c>
      <c r="BX66" s="1014">
        <f t="shared" si="286"/>
        <v>0</v>
      </c>
      <c r="BY66" s="1014">
        <f t="shared" si="287"/>
        <v>0</v>
      </c>
      <c r="BZ66" s="1014">
        <f t="shared" si="288"/>
        <v>0</v>
      </c>
      <c r="CA66" s="1014">
        <f t="shared" si="289"/>
        <v>0</v>
      </c>
      <c r="CB66" s="1014">
        <f t="shared" si="290"/>
        <v>0</v>
      </c>
      <c r="CC66" s="1014">
        <f t="shared" si="291"/>
        <v>0</v>
      </c>
      <c r="CD66" s="1015">
        <f t="shared" si="292"/>
        <v>0</v>
      </c>
      <c r="CE66" s="1014">
        <f t="shared" si="293"/>
        <v>0</v>
      </c>
      <c r="CF66" s="1025">
        <f t="shared" si="294"/>
        <v>0</v>
      </c>
      <c r="CG66" s="1014">
        <f t="shared" si="295"/>
        <v>0</v>
      </c>
      <c r="CH66" s="1014">
        <f t="shared" si="296"/>
        <v>0</v>
      </c>
      <c r="CI66" s="1014">
        <f t="shared" si="297"/>
        <v>0</v>
      </c>
      <c r="CJ66" s="1014">
        <f t="shared" si="298"/>
        <v>0</v>
      </c>
      <c r="CK66" s="1014">
        <f t="shared" si="299"/>
        <v>0</v>
      </c>
      <c r="CL66" s="1014">
        <f t="shared" si="300"/>
        <v>0</v>
      </c>
      <c r="CM66" s="1014">
        <f t="shared" si="301"/>
        <v>0</v>
      </c>
      <c r="CN66" s="1015">
        <f t="shared" si="302"/>
        <v>0</v>
      </c>
      <c r="CO66" s="1014">
        <f t="shared" si="303"/>
        <v>0</v>
      </c>
      <c r="CP66" s="1025">
        <f t="shared" si="304"/>
        <v>0</v>
      </c>
      <c r="CQ66" s="1014">
        <f t="shared" si="305"/>
        <v>0</v>
      </c>
      <c r="CR66" s="1014">
        <f t="shared" si="306"/>
        <v>0</v>
      </c>
      <c r="CS66" s="1014">
        <f t="shared" si="307"/>
        <v>0</v>
      </c>
      <c r="CT66" s="1014">
        <f t="shared" si="308"/>
        <v>0</v>
      </c>
      <c r="CU66" s="1015">
        <f t="shared" si="309"/>
        <v>0</v>
      </c>
      <c r="CV66" s="1030">
        <f t="shared" si="310"/>
        <v>0</v>
      </c>
      <c r="CW66" s="1014">
        <f t="shared" si="311"/>
        <v>0</v>
      </c>
      <c r="CX66" s="1014">
        <f t="shared" si="312"/>
        <v>92500</v>
      </c>
      <c r="CY66" s="1014">
        <f t="shared" si="313"/>
        <v>0</v>
      </c>
      <c r="CZ66" s="1014">
        <f t="shared" si="314"/>
        <v>0</v>
      </c>
      <c r="DA66" s="1014">
        <f t="shared" si="315"/>
        <v>0</v>
      </c>
      <c r="DB66" s="1014">
        <f t="shared" si="316"/>
        <v>0</v>
      </c>
      <c r="DC66" s="1014">
        <f t="shared" si="317"/>
        <v>0</v>
      </c>
      <c r="DD66" s="1014">
        <f t="shared" si="318"/>
        <v>0</v>
      </c>
      <c r="DE66" s="1015">
        <f t="shared" si="319"/>
        <v>0</v>
      </c>
      <c r="DF66" s="1014">
        <f t="shared" si="320"/>
        <v>0</v>
      </c>
      <c r="DG66" s="1014">
        <f t="shared" si="321"/>
        <v>0</v>
      </c>
      <c r="DH66" s="1012">
        <f t="shared" si="359"/>
        <v>92500</v>
      </c>
      <c r="DI66" s="1014">
        <f t="shared" si="322"/>
        <v>0</v>
      </c>
      <c r="DJ66" s="1014">
        <f t="shared" si="323"/>
        <v>72936.25</v>
      </c>
      <c r="DK66" s="1014">
        <f t="shared" si="324"/>
        <v>0</v>
      </c>
      <c r="DL66" s="1014">
        <f t="shared" si="325"/>
        <v>0</v>
      </c>
      <c r="DM66" s="1014">
        <f t="shared" si="326"/>
        <v>0</v>
      </c>
      <c r="DN66" s="1014">
        <f t="shared" si="327"/>
        <v>0</v>
      </c>
      <c r="DO66" s="1014">
        <f t="shared" si="328"/>
        <v>0</v>
      </c>
      <c r="DP66" s="1014">
        <f t="shared" si="329"/>
        <v>0</v>
      </c>
      <c r="DQ66" s="1020">
        <f t="shared" si="330"/>
        <v>0</v>
      </c>
      <c r="DR66" s="1014">
        <f t="shared" si="331"/>
        <v>0</v>
      </c>
      <c r="DS66" s="1014">
        <f t="shared" si="332"/>
        <v>0</v>
      </c>
      <c r="DT66" s="1025">
        <f t="shared" si="360"/>
        <v>72936.25</v>
      </c>
    </row>
    <row r="67" spans="1:124" x14ac:dyDescent="0.2">
      <c r="A67" s="908" t="s">
        <v>132</v>
      </c>
      <c r="B67" s="908">
        <v>2019</v>
      </c>
      <c r="C67" s="910">
        <f t="shared" si="347"/>
        <v>0</v>
      </c>
      <c r="D67" s="910">
        <f t="shared" si="348"/>
        <v>0</v>
      </c>
      <c r="E67" s="910">
        <f t="shared" si="349"/>
        <v>360000</v>
      </c>
      <c r="F67" s="910">
        <f t="shared" ref="F67:F90" si="361">SUMPRODUCT((OP_ST_LEU=A67)*(Bdgt_ST_LEU))</f>
        <v>0</v>
      </c>
      <c r="G67" s="910">
        <f t="shared" si="350"/>
        <v>0</v>
      </c>
      <c r="H67" s="910">
        <f t="shared" si="351"/>
        <v>0</v>
      </c>
      <c r="I67" s="910">
        <f t="shared" si="352"/>
        <v>0</v>
      </c>
      <c r="J67" s="910">
        <f t="shared" ref="J67:J90" si="362">SUMPRODUCT((OP_DIECCTE=A67)*(Bdgt_DIECCTE))</f>
        <v>0</v>
      </c>
      <c r="K67" s="910">
        <f t="shared" ref="K67:K90" si="363">SUMPRODUCT((OP_TCO=A67)*(Bdgt_TCO))</f>
        <v>0</v>
      </c>
      <c r="L67" s="910">
        <f t="shared" ref="L67:L90" si="364">SUMPRODUCT((OP_FEDER=A67)*(Bdgt_FEDER))</f>
        <v>0</v>
      </c>
      <c r="M67" s="910">
        <f t="shared" si="353"/>
        <v>0</v>
      </c>
      <c r="N67" s="910">
        <f t="shared" si="354"/>
        <v>0</v>
      </c>
      <c r="O67" s="910">
        <f t="shared" si="355"/>
        <v>22103.5766</v>
      </c>
      <c r="P67" s="910">
        <f t="shared" ref="P67:P90" si="365">SUMPRODUCT((OP_EAU=A67)*(Bdgt_EAU))</f>
        <v>0</v>
      </c>
      <c r="Q67" s="910">
        <f t="shared" si="356"/>
        <v>0</v>
      </c>
      <c r="R67" s="910">
        <f t="shared" si="357"/>
        <v>0</v>
      </c>
      <c r="S67" s="910">
        <f t="shared" si="358"/>
        <v>382103.57660000003</v>
      </c>
      <c r="T67" s="1037">
        <f t="shared" ref="T67:T90" si="366">S67-AG67</f>
        <v>180647.57660000003</v>
      </c>
      <c r="U67" s="1034">
        <f t="shared" si="117"/>
        <v>0</v>
      </c>
      <c r="V67" s="1034">
        <f t="shared" si="118"/>
        <v>0</v>
      </c>
      <c r="W67" s="1034">
        <f t="shared" si="119"/>
        <v>0</v>
      </c>
      <c r="X67" s="1034">
        <f t="shared" si="120"/>
        <v>0</v>
      </c>
      <c r="Y67" s="1034">
        <f t="shared" si="121"/>
        <v>0</v>
      </c>
      <c r="Z67" s="1034">
        <f t="shared" si="122"/>
        <v>0</v>
      </c>
      <c r="AA67" s="1034">
        <f t="shared" si="123"/>
        <v>0</v>
      </c>
      <c r="AB67" s="1034">
        <f t="shared" si="124"/>
        <v>0</v>
      </c>
      <c r="AC67" s="1034">
        <f t="shared" si="125"/>
        <v>0</v>
      </c>
      <c r="AD67" s="1034">
        <f t="shared" si="126"/>
        <v>0</v>
      </c>
      <c r="AE67" s="1034">
        <f t="shared" si="127"/>
        <v>0</v>
      </c>
      <c r="AF67" s="1034">
        <f t="shared" si="128"/>
        <v>144900</v>
      </c>
      <c r="AG67" s="1034">
        <f t="shared" si="129"/>
        <v>201456</v>
      </c>
      <c r="AH67" s="1041">
        <f t="shared" si="130"/>
        <v>0.52722877339327157</v>
      </c>
      <c r="AI67" s="1014">
        <f t="shared" ref="AI67:AI90" si="367">SUMPRODUCT((OP_FRAFU=A67)*(DatePmt&lt;&gt;"")*(DatePmt&lt;&gt;"en attente")*(YEAR(DatePmt)=$AI$1)*(ISNUMBER(MontantPaye)),MontantPaye)</f>
        <v>0</v>
      </c>
      <c r="AJ67" s="1025">
        <f t="shared" si="131"/>
        <v>0</v>
      </c>
      <c r="AK67" s="1014">
        <f t="shared" ref="AK67:AK90" si="368">SUMPRODUCT((OP_FRAFU=A67)*(DatePmt&lt;&gt;"")*(DatePmt&lt;&gt;"en attente")*(YEAR(DatePmt)=$AK$1)*(ISNUMBER(MontantPaye)),MontantPaye)</f>
        <v>0</v>
      </c>
      <c r="AL67" s="1025">
        <f t="shared" si="132"/>
        <v>0</v>
      </c>
      <c r="AM67" s="1014">
        <f t="shared" ref="AM67:AM90" si="369">SUMPRODUCT((OP_LBU=A67)*(DatePmt_LBU&lt;&gt;"")*(DatePmt_LBU&lt;&gt;"en attente")*(YEAR(DatePmt_LBU)=$AM$1)*(ISNUMBER(MtntPaye_LBU)),MtntPaye_LBU)</f>
        <v>0</v>
      </c>
      <c r="AN67" s="1025">
        <f t="shared" si="133"/>
        <v>0</v>
      </c>
      <c r="AO67" s="1014">
        <f t="shared" ref="AO67:AO90" si="370">SUMPRODUCT((OP_FRAFU=A67)*(DatePmt&lt;&gt;"")*(DatePmt&lt;&gt;"en attente")*(YEAR(DatePmt)=$AO$1)*(ISNUMBER(MontantPaye)),MontantPaye)</f>
        <v>0</v>
      </c>
      <c r="AP67" s="1014">
        <f t="shared" ref="AP67:AP90" si="371">SUMPRODUCT((OP_LBU=A67)*(DatePmt_LBU&lt;&gt;"")*(DatePmt_LBU&lt;&gt;"en attente")*(YEAR(DatePmt_LBU)=$AO$1)*(ISNUMBER(MtntPaye_LBU)),MtntPaye_LBU)</f>
        <v>0</v>
      </c>
      <c r="AQ67" s="1014">
        <f t="shared" ref="AQ67:AQ90" si="372">SUMPRODUCT((OP_TCO=A67)*(DatePmt_TCO&lt;&gt;"")*(DatePmt_TCO&lt;&gt;"en attente")*(YEAR(DatePmt_TCO)=$AO$1)*(ISNUMBER(MtntPaye_TCO)),MtntPaye_TCO)</f>
        <v>0</v>
      </c>
      <c r="AR67" s="1015">
        <f t="shared" ref="AR67:AR90" si="373">SUMPRODUCT((OP_EAU=A67)*(DatePmt_EAU&lt;&gt;"")*(DatePmt_EAU&lt;&gt;"en attente")*(YEAR(DatePmt_EAU)=$AO$1)*(ISNUMBER(MtntPaye_EAU)),MtntPaye_EAU)</f>
        <v>0</v>
      </c>
      <c r="AS67" s="1025">
        <f t="shared" ref="AS67:AS90" si="374">SUM(AO67:AR67)</f>
        <v>0</v>
      </c>
      <c r="AT67" s="1014">
        <f t="shared" ref="AT67:AT90" si="375">SUMPRODUCT((OP_FRAFU=A67)*(DatePmt&lt;&gt;"")*(DatePmt&lt;&gt;"en attente")*(YEAR(DatePmt)=$AT$1)*(ISNUMBER(MontantPaye)),MontantPaye)</f>
        <v>0</v>
      </c>
      <c r="AU67" s="1014">
        <f t="shared" ref="AU67:AU90" si="376">SUMPRODUCT((OP_LBU=A67)*(DatePmt_LBU&lt;&gt;"")*(DatePmt_LBU&lt;&gt;"en attente")*(YEAR(DatePmt_LBU)=$AT$1)*(ISNUMBER(MtntPaye_LBU)),MtntPaye_LBU)</f>
        <v>0</v>
      </c>
      <c r="AV67" s="1014">
        <f t="shared" ref="AV67:AV90" si="377">SUMPRODUCT((OP_Region=A67)*(DatePmt_Region&lt;&gt;"")*(DatePmt_Region&lt;&gt;"en attente")*(YEAR(DatePmt_Region)=$AT$1)*(ISNUMBER(MtntPaye_Region)),MtntPaye_Region)</f>
        <v>0</v>
      </c>
      <c r="AW67" s="1014">
        <f t="shared" ref="AW67:AW90" si="378">SUMPRODUCT((OP_FEDER=A67)*(DatePmt_FEDER&lt;&gt;"")*(DatePmt_FEDER&lt;&gt;"en attente")*(YEAR(DatePmt_FEDER)=$AT$1)*(ISNUMBER(MtntPaye_FEDER)),MtntPaye_FEDER)</f>
        <v>0</v>
      </c>
      <c r="AX67" s="1014">
        <f t="shared" ref="AX67:AX90" si="379">SUMPRODUCT((OP_ADEME=A67)*(DatePmt_ADEME&lt;&gt;"")*(DatePmt_ADEME&lt;&gt;"en attente")*(YEAR(DatePmt_ADEME)=$AT$1)*(ISNUMBER(MtntPaye_ADEME)),MtntPaye_ADEME)</f>
        <v>0</v>
      </c>
      <c r="AY67" s="1014">
        <f t="shared" ref="AY67:AY90" si="380">SUMPRODUCT((OP_P_Ile=A67)*(DatePmt_P_ILE&lt;&gt;"")*(DatePmt_P_ILE&lt;&gt;"en attente")*(YEAR(DatePmt_P_ILE)=$AT$1)*(ISNUMBER(MtntPaye_P_ILE)),MtntPaye_P_ILE)</f>
        <v>0</v>
      </c>
      <c r="AZ67" s="1025">
        <f t="shared" ref="AZ67:AZ90" si="381">SUM(AT67:AY67)</f>
        <v>0</v>
      </c>
      <c r="BA67" s="1014">
        <f t="shared" ref="BA67:BA90" si="382">SUMPRODUCT((OP_FRAFU=A67)*(DatePmt&lt;&gt;"")*(DatePmt&lt;&gt;"en attente")*(YEAR(DatePmt)=$BA$1)*(ISNUMBER(MontantPaye)),MontantPaye)</f>
        <v>0</v>
      </c>
      <c r="BB67" s="1014">
        <f t="shared" ref="BB67:BB90" si="383">SUMPRODUCT((OP_LBU=A67)*(DatePmt_LBU&lt;&gt;"")*(DatePmt_LBU&lt;&gt;"en attente")*(YEAR(DatePmt_LBU)=$BA$1)*(ISNUMBER(MtntPaye_LBU)),MtntPaye_LBU)</f>
        <v>0</v>
      </c>
      <c r="BC67" s="1014">
        <f t="shared" ref="BC67:BC90" si="384">SUMPRODUCT((OP_ST_LEU=A67)*(DatePmt_ST_LEU&lt;&gt;"")*(DatePmt_ST_LEU&lt;&gt;"en attente")*(YEAR(DatePmt_ST_LEU)=$BA$1)*(ISNUMBER(MtntPaye_ST_LEU)),MtntPaye_ST_LEU)</f>
        <v>0</v>
      </c>
      <c r="BD67" s="1014">
        <f t="shared" ref="BD67:BD90" si="385">SUMPRODUCT((OP_CAF=A67)*(DatePmt_caf&lt;&gt;"")*(DatePmt_caf&lt;&gt;"en attente")*(YEAR(DatePmt_caf)=$BA$1)*(ISNUMBER(MtntPaye_CAF)),MtntPaye_CAF)</f>
        <v>0</v>
      </c>
      <c r="BE67" s="1014">
        <f t="shared" ref="BE67:BE90" si="386">SUMPRODUCT((OP_TCO=A67)*(DatePmt_TCO&lt;&gt;"")*(DatePmt_TCO&lt;&gt;"en attente")*(YEAR(DatePmt_TCO)=$BA$1)*(ISNUMBER(MtntPaye_TCO)),MtntPaye_TCO)</f>
        <v>0</v>
      </c>
      <c r="BF67" s="1014">
        <f t="shared" ref="BF67:BF90" si="387">SUMPRODUCT((OP_P_Ile=A67)*(DatePmt_P_ILE&lt;&gt;"")*(DatePmt_P_ILE&lt;&gt;"en attente")*(YEAR(DatePmt_P_ILE)=$BA$1)*(ISNUMBER(MtntPaye_P_ILE)),MtntPaye_P_ILE)</f>
        <v>0</v>
      </c>
      <c r="BG67" s="1025">
        <f t="shared" ref="BG67:BG90" si="388">SUM(BA67:BF67)</f>
        <v>0</v>
      </c>
      <c r="BH67" s="1014">
        <f t="shared" ref="BH67:BH90" si="389">SUMPRODUCT((OP_FRAFU=A67)*(DatePmt&lt;&gt;"")*(DatePmt&lt;&gt;"en attente")*(YEAR(DatePmt)=$BH$1)*(ISNUMBER(MontantPaye)),MontantPaye)</f>
        <v>0</v>
      </c>
      <c r="BI67" s="1014">
        <f t="shared" ref="BI67:BI90" si="390">SUMPRODUCT((OP_LBU=A67)*(DatePmt_LBU&lt;&gt;"")*(DatePmt_LBU&lt;&gt;"en attente")*(YEAR(DatePmt_LBU)=$BH$1)*(ISNUMBER(MtntPaye_LBU)),MtntPaye_LBU)</f>
        <v>0</v>
      </c>
      <c r="BJ67" s="1014">
        <f t="shared" ref="BJ67:BJ90" si="391">SUMPRODUCT((OP_ST_LEU=A67)*(DatePmt_ST_LEU&lt;&gt;"")*(DatePmt_ST_LEU&lt;&gt;"en attente")*(YEAR(DatePmt_ST_LEU)=$BH$1)*(ISNUMBER(MtntPaye_ST_LEU)),MtntPaye_ST_LEU)</f>
        <v>0</v>
      </c>
      <c r="BK67" s="1014">
        <f t="shared" ref="BK67:BK90" si="392">SUMPRODUCT((OP_CAF=A67)*(DatePmt_caf&lt;&gt;"")*(DatePmt_caf&lt;&gt;"en attente")*(YEAR(DatePmt_caf)=$BH$1)*(ISNUMBER(MtntPaye_CAF)),MtntPaye_CAF)</f>
        <v>0</v>
      </c>
      <c r="BL67" s="1014">
        <f t="shared" ref="BL67:BL90" si="393">SUMPRODUCT((OP_Region=A67)*(DatePmt_Region&lt;&gt;"")*(DatePmt_Region&lt;&gt;"en attente")*(YEAR(DatePmt_Region)=$BH$1)*(ISNUMBER(MtntPaye_Region)),MtntPaye_Region)</f>
        <v>0</v>
      </c>
      <c r="BM67" s="1014">
        <f t="shared" ref="BM67:BM90" si="394">SUMPRODUCT((OP_TCO=A67)*(DatePmt_TCO&lt;&gt;"")*(DatePmt_TCO&lt;&gt;"en attente")*(YEAR(DatePmt_TCO)=$BH$1)*(ISNUMBER(MtntPaye_TCO)),MtntPaye_TCO)</f>
        <v>0</v>
      </c>
      <c r="BN67" s="1025">
        <f t="shared" ref="BN67:BN90" si="395">SUM(BH67:BM67)</f>
        <v>0</v>
      </c>
      <c r="BO67" s="1014">
        <f t="shared" ref="BO67:BO90" si="396">SUMPRODUCT((OP_FRAFU=A67)*(DatePmt&lt;&gt;"")*(DatePmt&lt;&gt;"en attente")*(YEAR(DatePmt)=$BO$1)*(ISNUMBER(MontantPaye)),MontantPaye)</f>
        <v>0</v>
      </c>
      <c r="BP67" s="1014">
        <f t="shared" ref="BP67:BP90" si="397">SUMPRODUCT((OP_LBU=A67)*(DatePmt_LBU&lt;&gt;"")*(DatePmt_LBU&lt;&gt;"en attente")*(YEAR(DatePmt_LBU)=$BO$1)*(ISNUMBER(MtntPaye_LBU)),MtntPaye_LBU)</f>
        <v>0</v>
      </c>
      <c r="BQ67" s="1014">
        <f t="shared" ref="BQ67:BQ90" si="398">SUMPRODUCT((OP_ST_LEU=A67)*(DatePmt_ST_LEU&lt;&gt;"")*(DatePmt_ST_LEU&lt;&gt;"en attente")*(YEAR(DatePmt_ST_LEU)=$BO$1)*(ISNUMBER(MtntPaye_ST_LEU)),MtntPaye_ST_LEU)</f>
        <v>0</v>
      </c>
      <c r="BR67" s="1014">
        <f t="shared" ref="BR67:BR90" si="399">SUMPRODUCT((OP_CAF=A67)*(DatePmt_caf&lt;&gt;"")*(DatePmt_caf&lt;&gt;"en attente")*(YEAR(DatePmt_caf)=$BO$1)*(ISNUMBER(MtntPaye_CAF)),MtntPaye_CAF)</f>
        <v>0</v>
      </c>
      <c r="BS67" s="1014">
        <f t="shared" ref="BS67:BS90" si="400">SUMPRODUCT((OP_ADEME=A67)*(DatePmt_ADEME&lt;&gt;"")*(DatePmt_ADEME&lt;&gt;"en attente")*(YEAR(DatePmt_ADEME)=$BO$1)*(ISNUMBER(MtntPaye_ADEME)),MtntPaye_ADEME)</f>
        <v>0</v>
      </c>
      <c r="BT67" s="1025">
        <f t="shared" ref="BT67:BT90" si="401">SUM(BO67:BS67)</f>
        <v>0</v>
      </c>
      <c r="BU67" s="1014">
        <f t="shared" ref="BU67:BU90" si="402">SUMPRODUCT((OP_FRAFU=A67)*(DatePmt&lt;&gt;"")*(DatePmt&lt;&gt;"en attente")*(YEAR(DatePmt)=$BU$1)*(ISNUMBER(MontantPaye)),MontantPaye)</f>
        <v>0</v>
      </c>
      <c r="BV67" s="1014">
        <f t="shared" ref="BV67:BV90" si="403">SUMPRODUCT((OP_LBU=A67)*(DatePmt_LBU&lt;&gt;"")*(DatePmt_LBU&lt;&gt;"en attente")*(YEAR(DatePmt_LBU)=$BU$1)*(ISNUMBER(MtntPaye_LBU)),MtntPaye_LBU)</f>
        <v>0</v>
      </c>
      <c r="BW67" s="1014">
        <f t="shared" ref="BW67:BW90" si="404">SUMPRODUCT((OP_ST_LEU=A67)*(DatePmt_ST_LEU&lt;&gt;"")*(DatePmt_ST_LEU&lt;&gt;"en attente")*(YEAR(DatePmt_ST_LEU)=$BU$1)*(ISNUMBER(MtntPaye_ST_LEU)),MtntPaye_ST_LEU)</f>
        <v>0</v>
      </c>
      <c r="BX67" s="1014">
        <f t="shared" ref="BX67:BX90" si="405">SUMPRODUCT((OP_CAF=A67)*(DatePmt_caf&lt;&gt;"")*(DatePmt_caf&lt;&gt;"en attente")*(YEAR(DatePmt_caf)=$BU$1)*(ISNUMBER(MtntPaye_CAF)),MtntPaye_CAF)</f>
        <v>0</v>
      </c>
      <c r="BY67" s="1014">
        <f t="shared" ref="BY67:BY90" si="406">SUMPRODUCT((OP_Region=A67)*(DatePmt_Region&lt;&gt;"")*(DatePmt_Region&lt;&gt;"en attente")*(YEAR(DatePmt_Region)=$BU$1)*(ISNUMBER(MtntPaye_Region)),MtntPaye_Region)</f>
        <v>0</v>
      </c>
      <c r="BZ67" s="1014">
        <f t="shared" ref="BZ67:BZ90" si="407">SUMPRODUCT((OP_DIECCTE=A67)*(DatePmt_DIECCTE&lt;&gt;"")*(DatePmt_DIECCTE&lt;&gt;"en attente")*(YEAR(DatePmt_DIECCTE)=$BU$1)*(ISNUMBER(MtntPaye_DIECCTE)),MtntPaye_DIECCTE)</f>
        <v>0</v>
      </c>
      <c r="CA67" s="1014">
        <f t="shared" ref="CA67:CA90" si="408">SUMPRODUCT((OP_FEDER=A67)*(DatePmt_FEDER&lt;&gt;"")*(DatePmt_FEDER&lt;&gt;"en attente")*(YEAR(DatePmt_FEDER)=$BU$1)*(ISNUMBER(MtntPaye_FEDER)),MtntPaye_FEDER)</f>
        <v>0</v>
      </c>
      <c r="CB67" s="1014">
        <f t="shared" ref="CB67:CB90" si="409">SUMPRODUCT((OP_ADEME=A67)*(DatePmt_ADEME&lt;&gt;"")*(DatePmt_ADEME&lt;&gt;"en attente")*(YEAR(DatePmt_ADEME)=$BU$1)*(ISNUMBER(MtntPaye_ADEME)),MtntPaye_ADEME)</f>
        <v>0</v>
      </c>
      <c r="CC67" s="1014">
        <f t="shared" ref="CC67:CC90" si="410">SUMPRODUCT((OP_P_Ile=A67)*(DatePmt_P_ILE&lt;&gt;"")*(DatePmt_P_ILE&lt;&gt;"en attente")*(YEAR(DatePmt_P_ILE)=$BU$1)*(ISNUMBER(MtntPaye_P_ILE)),MtntPaye_P_ILE)</f>
        <v>0</v>
      </c>
      <c r="CD67" s="1015">
        <f t="shared" ref="CD67:CD90" si="411">SUMPRODUCT((OP_EAU=A67)*(DatePmt_EAU&lt;&gt;"")*(DatePmt_EAU&lt;&gt;"en attente")*(YEAR(DatePmt_EAU)=$BU$1)*(ISNUMBER(MtntPaye_EAU)),MtntPaye_EAU)</f>
        <v>0</v>
      </c>
      <c r="CE67" s="1014">
        <f t="shared" ref="CE67:CE90" si="412">SUMPRODUCT((OP_ETG_SALE=A67)*(DatePmt_ETG_SALE&lt;&gt;"")*(DatePmt_ETG_SALE&lt;&gt;"en attente")*(YEAR(DatePmt_ETG_SALE)=$BU$1)*(ISNUMBER(MtntPaye_ETG_SALE)),MtntPaye_ETG_SALE)</f>
        <v>0</v>
      </c>
      <c r="CF67" s="1025">
        <f t="shared" ref="CF67:CF90" si="413">SUM(BU67:CE67)</f>
        <v>0</v>
      </c>
      <c r="CG67" s="1014">
        <f t="shared" ref="CG67:CG90" si="414">SUMPRODUCT((OP_FRAFU=A67)*(DatePmt&lt;&gt;"")*(DatePmt&lt;&gt;"en attente")*(YEAR(DatePmt)=$CG$1)*(ISNUMBER(MontantPaye)),MontantPaye)</f>
        <v>0</v>
      </c>
      <c r="CH67" s="1014">
        <f t="shared" ref="CH67:CH90" si="415">SUMPRODUCT((OP_LBU=A67)*(DatePmt_LBU&lt;&gt;"")*(DatePmt_LBU&lt;&gt;"en attente")*(YEAR(DatePmt_LBU)=$CG$1)*(ISNUMBER(MtntPaye_LBU)),MtntPaye_LBU)</f>
        <v>0</v>
      </c>
      <c r="CI67" s="1014">
        <f t="shared" ref="CI67:CI90" si="416">SUMPRODUCT((OP_ST_LEU=A67)*(DatePmt_ST_LEU&lt;&gt;"")*(DatePmt_ST_LEU&lt;&gt;"en attente")*(YEAR(DatePmt_ST_LEU)=$CG$1)*(ISNUMBER(MtntPaye_ST_LEU)),MtntPaye_ST_LEU)</f>
        <v>0</v>
      </c>
      <c r="CJ67" s="1014">
        <f t="shared" ref="CJ67:CJ90" si="417">SUMPRODUCT((OP_CAF=A67)*(DatePmt_caf&lt;&gt;"")*(DatePmt_caf&lt;&gt;"en attente")*(YEAR(DatePmt_caf)=$CG$1)*(ISNUMBER(MtntPaye_CAF)),MtntPaye_CAF)</f>
        <v>0</v>
      </c>
      <c r="CK67" s="1014">
        <f t="shared" ref="CK67:CK90" si="418">SUMPRODUCT((OP_Region=A67)*(DatePmt_Region&lt;&gt;"")*(DatePmt_Region&lt;&gt;"en attente")*(YEAR(DatePmt_Region)=$CG$1)*(ISNUMBER(MtntPaye_Region)),MtntPaye_Region)</f>
        <v>0</v>
      </c>
      <c r="CL67" s="1014">
        <f t="shared" ref="CL67:CL90" si="419">SUMPRODUCT((OP_FEDER=A67)*(DatePmt_FEDER&lt;&gt;"")*(DatePmt_FEDER&lt;&gt;"en attente")*(YEAR(DatePmt_FEDER)=$CG$1)*(ISNUMBER(MtntPaye_FEDER)),MtntPaye_FEDER)</f>
        <v>0</v>
      </c>
      <c r="CM67" s="1014">
        <f t="shared" ref="CM67:CM90" si="420">SUMPRODUCT((OP_P_Ile=A67)*(DatePmt_P_ILE&lt;&gt;"")*(DatePmt_P_ILE&lt;&gt;"en attente")*(YEAR(DatePmt_P_ILE)=$CG$1)*(ISNUMBER(MtntPaye_P_ILE)),MtntPaye_P_ILE)</f>
        <v>0</v>
      </c>
      <c r="CN67" s="1015">
        <f t="shared" ref="CN67:CN90" si="421">SUMPRODUCT((OP_EDF=A67)*(DatePmt_EDF&lt;&gt;"")*(DatePmt_EDF&lt;&gt;"en attente")*(YEAR(DatePmt_EDF)=$CG$1)*(ISNUMBER(MtntPaye_EDF)),MtntPaye_EDF)</f>
        <v>0</v>
      </c>
      <c r="CO67" s="1014">
        <f t="shared" ref="CO67:CO90" si="422">SUMPRODUCT((OP_ST_JO=A67)*(DatePmt_ST_JOSEPH&lt;&gt;"")*(DatePmt_ST_JOSEPH&lt;&gt;"en attente")*(YEAR(DatePmt_ST_JOSEPH)=$CG$1)*(ISNUMBER(MtntPaye_ST_JOSEPH)),MtntPaye_ST_JOSEPH)</f>
        <v>0</v>
      </c>
      <c r="CP67" s="1025">
        <f t="shared" ref="CP67:CP90" si="423">SUM(CG67:CO67)</f>
        <v>0</v>
      </c>
      <c r="CQ67" s="1014">
        <f t="shared" ref="CQ67:CQ90" si="424">SUMPRODUCT((OP_FRAFU=A67)*(DatePmt&lt;&gt;"")*(DatePmt&lt;&gt;"en attente")*(YEAR(DatePmt)=$CQ$1)*(ISNUMBER(MontantPaye)),MontantPaye)</f>
        <v>0</v>
      </c>
      <c r="CR67" s="1014">
        <f t="shared" ref="CR67:CR90" si="425">SUMPRODUCT((OP_LBU=A67)*(DatePmt_LBU&lt;&gt;"")*(DatePmt_LBU&lt;&gt;"en attente")*(YEAR(DatePmt_LBU)=$CQ$1)*(ISNUMBER(MtntPaye_LBU)),MtntPaye_LBU)</f>
        <v>0</v>
      </c>
      <c r="CS67" s="1014">
        <f t="shared" ref="CS67:CS90" si="426">SUMPRODUCT((OP_CAF=A67)*(DatePmt_caf&lt;&gt;"")*(DatePmt_caf&lt;&gt;"en attente")*(YEAR(DatePmt_caf)=$CQ$1)*(ISNUMBER(MtntPaye_CAF)),MtntPaye_CAF)</f>
        <v>0</v>
      </c>
      <c r="CT67" s="1014">
        <f t="shared" ref="CT67:CT90" si="427">SUMPRODUCT((OP_Region=A67)*(DatePmt_Region&lt;&gt;"")*(DatePmt_Region&lt;&gt;"en attente")*(YEAR(DatePmt_Region)=$CQ$1)*(ISNUMBER(MtntPaye_Region)),MtntPaye_Region)</f>
        <v>0</v>
      </c>
      <c r="CU67" s="1015">
        <f t="shared" ref="CU67:CU90" si="428">SUMPRODUCT((OP_EDF=A67)*(DatePmt_EDF&lt;&gt;"")*(DatePmt_EDF&lt;&gt;"en attente")*(YEAR(DatePmt_EDF)=$CQ$1)*(ISNUMBER(MtntPaye_EDF)),MtntPaye_EDF)</f>
        <v>0</v>
      </c>
      <c r="CV67" s="1030">
        <f t="shared" ref="CV67:CV90" si="429">SUM(CQ67:CU67)</f>
        <v>0</v>
      </c>
      <c r="CW67" s="1014">
        <f t="shared" ref="CW67:CW90" si="430">SUMPRODUCT((OP_FRAFU=A67)*(DatePmt&lt;&gt;"")*(DatePmt&lt;&gt;"en attente")*(YEAR(DatePmt)=$CW$1)*(ISNUMBER(MontantPaye)),MontantPaye)</f>
        <v>0</v>
      </c>
      <c r="CX67" s="1014">
        <f t="shared" ref="CX67:CX90" si="431">SUMPRODUCT((OP_Rehab=A67)*(DatePmtRehab&lt;&gt;"")*(DatePmtRehab&lt;&gt;"en attente")*(YEAR(DatePmtRehab)=$CW$1)*(ISNUMBER(MontantPayeRehab)),MontantPayeRehab)</f>
        <v>0</v>
      </c>
      <c r="CY67" s="1014">
        <f t="shared" ref="CY67:CY90" si="432">SUMPRODUCT((OP_LBU=A67)*(DatePmt_LBU&lt;&gt;"")*(DatePmt_LBU&lt;&gt;"en attente")*(YEAR(DatePmt_LBU)=$CW$1)*(ISNUMBER(MtntPaye_LBU)),MtntPaye_LBU)</f>
        <v>144900</v>
      </c>
      <c r="CZ67" s="1014">
        <f t="shared" ref="CZ67:CZ90" si="433">SUMPRODUCT((OP_CAF=A67)*(DatePmt_caf&lt;&gt;"")*(DatePmt_caf&lt;&gt;"en attente")*(YEAR(DatePmt_caf)=$CW$1)*(ISNUMBER(MtntPaye_CAF)),MtntPaye_CAF)</f>
        <v>0</v>
      </c>
      <c r="DA67" s="1014">
        <f t="shared" ref="DA67:DA90" si="434">SUMPRODUCT((OP_Region=A67)*(DatePmt_Region&lt;&gt;"")*(DatePmt_Region&lt;&gt;"en attente")*(YEAR(DatePmt_Region)=$CW$1)*(ISNUMBER(MtntPaye_Region)),MtntPaye_Region)</f>
        <v>0</v>
      </c>
      <c r="DB67" s="1014">
        <f t="shared" ref="DB67:DB90" si="435">SUMPRODUCT((OP_Rectorat=A67)*(DatePmt_Rectorat&lt;&gt;"")*(DatePmt_Rectorat&lt;&gt;"en attente")*(YEAR(DatePmt_Rectorat)=$CW$1)*(ISNUMBER(MtntPaye_Rectorat)),MtntPaye_Rectorat)</f>
        <v>0</v>
      </c>
      <c r="DC67" s="1014">
        <f t="shared" ref="DC67:DC90" si="436">SUMPRODUCT((OP_ADEME=A67)*(DatePmt_ADEME&lt;&gt;"")*(DatePmt_ADEME&lt;&gt;"en attente")*(YEAR(DatePmt_ADEME)=$CW$1)*(ISNUMBER(MtntPaye_ADEME)),MtntPaye_ADEME)</f>
        <v>0</v>
      </c>
      <c r="DD67" s="1014">
        <f t="shared" ref="DD67:DD90" si="437">SUMPRODUCT((OP_P_Ile=A67)*(DatePmt_P_ILE&lt;&gt;"")*(DatePmt_P_ILE&lt;&gt;"en attente")*(YEAR(DatePmt_P_ILE)=$CW$1)*(ISNUMBER(MtntPaye_P_ILE)),MtntPaye_P_ILE)</f>
        <v>0</v>
      </c>
      <c r="DE67" s="1015">
        <f t="shared" ref="DE67:DE90" si="438">SUMPRODUCT((OP_EDF=A67)*(DatePmt_EDF&lt;&gt;"")*(DatePmt_EDF&lt;&gt;"en attente")*(YEAR(DatePmt_EDF)=$CW$1)*(ISNUMBER(MtntPaye_EDF)),MtntPaye_EDF)</f>
        <v>0</v>
      </c>
      <c r="DF67" s="1014">
        <f t="shared" ref="DF67:DF90" si="439">SUMPRODUCT((OP_ETG_SALE=A67)*(DatePmt_ETG_SALE&lt;&gt;"")*(DatePmt_ETG_SALE&lt;&gt;"en attente")*(YEAR(DatePmt_ETG_SALE)=$CW$1)*(ISNUMBER(MtntPaye_ETG_SALE)),MtntPaye_ETG_SALE)</f>
        <v>0</v>
      </c>
      <c r="DG67" s="1014">
        <f t="shared" ref="DG67:DG90" si="440">SUMPRODUCT((OP_ST_JO=A67)*(DatePmt_ST_JOSEPH&lt;&gt;"")*(DatePmt_ST_JOSEPH&lt;&gt;"en attente")*(YEAR(DatePmt_ST_JOSEPH)=$CW$1)*(ISNUMBER(MtntPaye_ST_JOSEPH)),MtntPaye_ST_JOSEPH)</f>
        <v>0</v>
      </c>
      <c r="DH67" s="1012">
        <f t="shared" si="359"/>
        <v>144900</v>
      </c>
      <c r="DI67" s="1014">
        <f t="shared" ref="DI67:DI90" si="441">SUMPRODUCT((OP_FRAFU=A67)*(DatePmt&lt;&gt;"")*(DatePmt&lt;&gt;"en attente")*(YEAR(DatePmt)=$DI$1)*(ISNUMBER(MontantPaye)),MontantPaye)</f>
        <v>0</v>
      </c>
      <c r="DJ67" s="1014">
        <f t="shared" ref="DJ67:DJ90" si="442">SUMPRODUCT((OP_Rehab=A67)*(DatePmtRehab&lt;&gt;"")*(DatePmtRehab&lt;&gt;"en attente")*(YEAR(DatePmtRehab)=$DI$1)*(ISNUMBER(MontantPayeRehab)),MontantPayeRehab)</f>
        <v>0</v>
      </c>
      <c r="DK67" s="1014">
        <f t="shared" ref="DK67:DK90" si="443">SUMPRODUCT((OP_LBU=A67)*(DatePmt_LBU&lt;&gt;"")*(DatePmt_LBU&lt;&gt;"en attente")*(YEAR(DatePmt_LBU)=$DI$1)*(ISNUMBER(MtntPaye_LBU)),MtntPaye_LBU)</f>
        <v>56556</v>
      </c>
      <c r="DL67" s="1014">
        <f t="shared" ref="DL67:DL90" si="444">SUMPRODUCT((OP_CAF=A67)*(DatePmt_caf&lt;&gt;"")*(DatePmt_caf&lt;&gt;"en attente")*(YEAR(DatePmt_caf)=$DI$1)*(ISNUMBER(MtntPaye_CAF)),MtntPaye_CAF)</f>
        <v>0</v>
      </c>
      <c r="DM67" s="1014">
        <f t="shared" ref="DM67:DM90" si="445">SUMPRODUCT((OP_Region=A67)*(DatePmt_Region&lt;&gt;"")*(DatePmt_Region&lt;&gt;"en attente")*(YEAR(DatePmt_Region)=$DI$1)*(ISNUMBER(MtntPaye_Region)),MtntPaye_Region)</f>
        <v>0</v>
      </c>
      <c r="DN67" s="1014">
        <f t="shared" ref="DN67:DN90" si="446">SUMPRODUCT((OP_Rectorat=A67)*(DatePmt_Rectorat&lt;&gt;"")*(DatePmt_Rectorat&lt;&gt;"en attente")*(YEAR(DatePmt_Rectorat)=$DI$1)*(ISNUMBER(MtntPaye_Rectorat)),MtntPaye_Rectorat)</f>
        <v>0</v>
      </c>
      <c r="DO67" s="1014">
        <f t="shared" ref="DO67:DO90" si="447">SUMPRODUCT((OP_ADEME=A67)*(DatePmt_ADEME&lt;&gt;"")*(DatePmt_ADEME&lt;&gt;"en attente")*(YEAR(DatePmt_ADEME)=$DI$1)*(ISNUMBER(MtntPaye_ADEME)),MtntPaye_ADEME)</f>
        <v>0</v>
      </c>
      <c r="DP67" s="1014">
        <f t="shared" ref="DP67:DP90" si="448">SUMPRODUCT((OP_P_Ile=A67)*(DatePmt_P_ILE&lt;&gt;"")*(DatePmt_P_ILE&lt;&gt;"en attente")*(YEAR(DatePmt_P_ILE)=$DI$1)*(ISNUMBER(MtntPaye_P_ILE)),MtntPaye_P_ILE)</f>
        <v>0</v>
      </c>
      <c r="DQ67" s="1020">
        <f t="shared" ref="DQ67:DQ90" si="449">SUMPRODUCT((OP_EDF=A67)*(DatePmt_EDF&lt;&gt;"")*(DatePmt_EDF&lt;&gt;"en attente")*(YEAR(DatePmt_EDF)=$DI$1)*(ISNUMBER(MtntPaye_EDF)),MtntPaye_EDF)</f>
        <v>0</v>
      </c>
      <c r="DR67" s="1014">
        <f t="shared" ref="DR67:DR90" si="450">SUMPRODUCT((OP_ETG_SALE=A67)*(DatePmt_ETG_SALE&lt;&gt;"")*(DatePmt_ETG_SALE&lt;&gt;"en attente")*(YEAR(DatePmt_ETG_SALE)=$DI$1)*(ISNUMBER(MtntPaye_ETG_SALE)),MtntPaye_ETG_SALE)</f>
        <v>0</v>
      </c>
      <c r="DS67" s="1014">
        <f t="shared" ref="DS67:DS90" si="451">SUMPRODUCT((OP_ST_JO=A67)*(DatePmt_ST_JOSEPH&lt;&gt;"")*(DatePmt_ST_JOSEPH&lt;&gt;"en attente")*(YEAR(DatePmt_ST_JOSEPH)=$DI$1)*(ISNUMBER(MtntPaye_ST_JOSEPH)),MtntPaye_ST_JOSEPH)</f>
        <v>0</v>
      </c>
      <c r="DT67" s="1025">
        <f t="shared" si="360"/>
        <v>56556</v>
      </c>
    </row>
    <row r="68" spans="1:124" x14ac:dyDescent="0.2">
      <c r="A68" s="908" t="s">
        <v>283</v>
      </c>
      <c r="B68" s="908"/>
      <c r="C68" s="910">
        <f t="shared" si="347"/>
        <v>0</v>
      </c>
      <c r="D68" s="910">
        <f t="shared" si="348"/>
        <v>0</v>
      </c>
      <c r="E68" s="910">
        <f t="shared" si="349"/>
        <v>1512000</v>
      </c>
      <c r="F68" s="910">
        <f t="shared" si="361"/>
        <v>0</v>
      </c>
      <c r="G68" s="910">
        <f t="shared" si="350"/>
        <v>0</v>
      </c>
      <c r="H68" s="910">
        <f t="shared" si="351"/>
        <v>0</v>
      </c>
      <c r="I68" s="910">
        <f t="shared" si="352"/>
        <v>0</v>
      </c>
      <c r="J68" s="910">
        <f t="shared" si="362"/>
        <v>0</v>
      </c>
      <c r="K68" s="910">
        <f t="shared" si="363"/>
        <v>0</v>
      </c>
      <c r="L68" s="910">
        <f t="shared" si="364"/>
        <v>0</v>
      </c>
      <c r="M68" s="910">
        <f t="shared" si="353"/>
        <v>0</v>
      </c>
      <c r="N68" s="910">
        <f t="shared" si="354"/>
        <v>0</v>
      </c>
      <c r="O68" s="910">
        <f t="shared" si="355"/>
        <v>0</v>
      </c>
      <c r="P68" s="910">
        <f t="shared" si="365"/>
        <v>0</v>
      </c>
      <c r="Q68" s="910">
        <f t="shared" si="356"/>
        <v>0</v>
      </c>
      <c r="R68" s="910">
        <f t="shared" si="357"/>
        <v>0</v>
      </c>
      <c r="S68" s="910">
        <f t="shared" si="358"/>
        <v>1512000</v>
      </c>
      <c r="T68" s="1037">
        <f t="shared" si="366"/>
        <v>1512000</v>
      </c>
      <c r="U68" s="1034">
        <f t="shared" ref="U68:U90" si="452">AJ68</f>
        <v>0</v>
      </c>
      <c r="V68" s="1034">
        <f t="shared" ref="V68:V91" si="453">AL68+U68</f>
        <v>0</v>
      </c>
      <c r="W68" s="1034">
        <f t="shared" ref="W68:W91" si="454">V68+AN68</f>
        <v>0</v>
      </c>
      <c r="X68" s="1034">
        <f t="shared" ref="X68:X91" si="455">W68+AS68</f>
        <v>0</v>
      </c>
      <c r="Y68" s="1034">
        <f t="shared" ref="Y68:Y91" si="456">X68+AZ68</f>
        <v>0</v>
      </c>
      <c r="Z68" s="1034">
        <f t="shared" ref="Z68:Z91" si="457">Y68+BG68</f>
        <v>0</v>
      </c>
      <c r="AA68" s="1034">
        <f t="shared" ref="AA68:AA91" si="458">Z68+BN68</f>
        <v>0</v>
      </c>
      <c r="AB68" s="1034">
        <f t="shared" ref="AB68:AB91" si="459">AA68+BT68</f>
        <v>0</v>
      </c>
      <c r="AC68" s="1034">
        <f t="shared" ref="AC68:AC91" si="460">AB68+CF68</f>
        <v>0</v>
      </c>
      <c r="AD68" s="1034">
        <f t="shared" ref="AD68:AD91" si="461">AC68+CP68</f>
        <v>0</v>
      </c>
      <c r="AE68" s="1034">
        <f t="shared" ref="AE68:AE91" si="462">AD68+CV68</f>
        <v>0</v>
      </c>
      <c r="AF68" s="1034">
        <f t="shared" ref="AF68:AF91" si="463">AE68+DH68</f>
        <v>0</v>
      </c>
      <c r="AG68" s="1034">
        <f t="shared" ref="AG68:AG91" si="464">AF68+DT68</f>
        <v>0</v>
      </c>
      <c r="AH68" s="1041" t="str">
        <f t="shared" ref="AH68:AH90" si="465">IF(AG68/S68=0,"-",AG68/S68)</f>
        <v>-</v>
      </c>
      <c r="AI68" s="1014">
        <f t="shared" si="367"/>
        <v>0</v>
      </c>
      <c r="AJ68" s="1025">
        <f t="shared" ref="AJ68:AJ90" si="466">SUM(AI68:AI68)</f>
        <v>0</v>
      </c>
      <c r="AK68" s="1014">
        <f t="shared" si="368"/>
        <v>0</v>
      </c>
      <c r="AL68" s="1025">
        <f t="shared" ref="AL68:AL90" si="467">SUM(AK68:AK68)</f>
        <v>0</v>
      </c>
      <c r="AM68" s="1014">
        <f t="shared" si="369"/>
        <v>0</v>
      </c>
      <c r="AN68" s="1025">
        <f t="shared" ref="AN68:AN90" si="468">SUM(AM68:AM68)</f>
        <v>0</v>
      </c>
      <c r="AO68" s="1014">
        <f t="shared" si="370"/>
        <v>0</v>
      </c>
      <c r="AP68" s="1014">
        <f t="shared" si="371"/>
        <v>0</v>
      </c>
      <c r="AQ68" s="1014">
        <f t="shared" si="372"/>
        <v>0</v>
      </c>
      <c r="AR68" s="1015">
        <f t="shared" si="373"/>
        <v>0</v>
      </c>
      <c r="AS68" s="1025">
        <f t="shared" si="374"/>
        <v>0</v>
      </c>
      <c r="AT68" s="1014">
        <f t="shared" si="375"/>
        <v>0</v>
      </c>
      <c r="AU68" s="1014">
        <f t="shared" si="376"/>
        <v>0</v>
      </c>
      <c r="AV68" s="1014">
        <f t="shared" si="377"/>
        <v>0</v>
      </c>
      <c r="AW68" s="1014">
        <f t="shared" si="378"/>
        <v>0</v>
      </c>
      <c r="AX68" s="1014">
        <f t="shared" si="379"/>
        <v>0</v>
      </c>
      <c r="AY68" s="1014">
        <f t="shared" si="380"/>
        <v>0</v>
      </c>
      <c r="AZ68" s="1025">
        <f t="shared" si="381"/>
        <v>0</v>
      </c>
      <c r="BA68" s="1014">
        <f t="shared" si="382"/>
        <v>0</v>
      </c>
      <c r="BB68" s="1014">
        <f t="shared" si="383"/>
        <v>0</v>
      </c>
      <c r="BC68" s="1014">
        <f t="shared" si="384"/>
        <v>0</v>
      </c>
      <c r="BD68" s="1014">
        <f t="shared" si="385"/>
        <v>0</v>
      </c>
      <c r="BE68" s="1014">
        <f t="shared" si="386"/>
        <v>0</v>
      </c>
      <c r="BF68" s="1014">
        <f t="shared" si="387"/>
        <v>0</v>
      </c>
      <c r="BG68" s="1025">
        <f t="shared" si="388"/>
        <v>0</v>
      </c>
      <c r="BH68" s="1014">
        <f t="shared" si="389"/>
        <v>0</v>
      </c>
      <c r="BI68" s="1014">
        <f t="shared" si="390"/>
        <v>0</v>
      </c>
      <c r="BJ68" s="1014">
        <f t="shared" si="391"/>
        <v>0</v>
      </c>
      <c r="BK68" s="1014">
        <f t="shared" si="392"/>
        <v>0</v>
      </c>
      <c r="BL68" s="1014">
        <f t="shared" si="393"/>
        <v>0</v>
      </c>
      <c r="BM68" s="1014">
        <f t="shared" si="394"/>
        <v>0</v>
      </c>
      <c r="BN68" s="1025">
        <f t="shared" si="395"/>
        <v>0</v>
      </c>
      <c r="BO68" s="1014">
        <f t="shared" si="396"/>
        <v>0</v>
      </c>
      <c r="BP68" s="1014">
        <f t="shared" si="397"/>
        <v>0</v>
      </c>
      <c r="BQ68" s="1014">
        <f t="shared" si="398"/>
        <v>0</v>
      </c>
      <c r="BR68" s="1014">
        <f t="shared" si="399"/>
        <v>0</v>
      </c>
      <c r="BS68" s="1014">
        <f t="shared" si="400"/>
        <v>0</v>
      </c>
      <c r="BT68" s="1025">
        <f t="shared" si="401"/>
        <v>0</v>
      </c>
      <c r="BU68" s="1014">
        <f t="shared" si="402"/>
        <v>0</v>
      </c>
      <c r="BV68" s="1014">
        <f t="shared" si="403"/>
        <v>0</v>
      </c>
      <c r="BW68" s="1014">
        <f t="shared" si="404"/>
        <v>0</v>
      </c>
      <c r="BX68" s="1014">
        <f t="shared" si="405"/>
        <v>0</v>
      </c>
      <c r="BY68" s="1014">
        <f t="shared" si="406"/>
        <v>0</v>
      </c>
      <c r="BZ68" s="1014">
        <f t="shared" si="407"/>
        <v>0</v>
      </c>
      <c r="CA68" s="1014">
        <f t="shared" si="408"/>
        <v>0</v>
      </c>
      <c r="CB68" s="1014">
        <f t="shared" si="409"/>
        <v>0</v>
      </c>
      <c r="CC68" s="1014">
        <f t="shared" si="410"/>
        <v>0</v>
      </c>
      <c r="CD68" s="1015">
        <f t="shared" si="411"/>
        <v>0</v>
      </c>
      <c r="CE68" s="1014">
        <f t="shared" si="412"/>
        <v>0</v>
      </c>
      <c r="CF68" s="1025">
        <f t="shared" si="413"/>
        <v>0</v>
      </c>
      <c r="CG68" s="1014">
        <f t="shared" si="414"/>
        <v>0</v>
      </c>
      <c r="CH68" s="1014">
        <f t="shared" si="415"/>
        <v>0</v>
      </c>
      <c r="CI68" s="1014">
        <f t="shared" si="416"/>
        <v>0</v>
      </c>
      <c r="CJ68" s="1014">
        <f t="shared" si="417"/>
        <v>0</v>
      </c>
      <c r="CK68" s="1014">
        <f t="shared" si="418"/>
        <v>0</v>
      </c>
      <c r="CL68" s="1014">
        <f t="shared" si="419"/>
        <v>0</v>
      </c>
      <c r="CM68" s="1014">
        <f t="shared" si="420"/>
        <v>0</v>
      </c>
      <c r="CN68" s="1015">
        <f t="shared" si="421"/>
        <v>0</v>
      </c>
      <c r="CO68" s="1014">
        <f t="shared" si="422"/>
        <v>0</v>
      </c>
      <c r="CP68" s="1025">
        <f t="shared" si="423"/>
        <v>0</v>
      </c>
      <c r="CQ68" s="1014">
        <f t="shared" si="424"/>
        <v>0</v>
      </c>
      <c r="CR68" s="1014">
        <f t="shared" si="425"/>
        <v>0</v>
      </c>
      <c r="CS68" s="1014">
        <f t="shared" si="426"/>
        <v>0</v>
      </c>
      <c r="CT68" s="1014">
        <f t="shared" si="427"/>
        <v>0</v>
      </c>
      <c r="CU68" s="1015">
        <f t="shared" si="428"/>
        <v>0</v>
      </c>
      <c r="CV68" s="1030">
        <f t="shared" si="429"/>
        <v>0</v>
      </c>
      <c r="CW68" s="1014">
        <f t="shared" si="430"/>
        <v>0</v>
      </c>
      <c r="CX68" s="1014">
        <f t="shared" si="431"/>
        <v>0</v>
      </c>
      <c r="CY68" s="1014">
        <f t="shared" si="432"/>
        <v>0</v>
      </c>
      <c r="CZ68" s="1014">
        <f t="shared" si="433"/>
        <v>0</v>
      </c>
      <c r="DA68" s="1014">
        <f t="shared" si="434"/>
        <v>0</v>
      </c>
      <c r="DB68" s="1014">
        <f t="shared" si="435"/>
        <v>0</v>
      </c>
      <c r="DC68" s="1014">
        <f t="shared" si="436"/>
        <v>0</v>
      </c>
      <c r="DD68" s="1014">
        <f t="shared" si="437"/>
        <v>0</v>
      </c>
      <c r="DE68" s="1015">
        <f t="shared" si="438"/>
        <v>0</v>
      </c>
      <c r="DF68" s="1014">
        <f t="shared" si="439"/>
        <v>0</v>
      </c>
      <c r="DG68" s="1014">
        <f t="shared" si="440"/>
        <v>0</v>
      </c>
      <c r="DH68" s="1012">
        <f t="shared" si="359"/>
        <v>0</v>
      </c>
      <c r="DI68" s="1014">
        <f t="shared" si="441"/>
        <v>0</v>
      </c>
      <c r="DJ68" s="1014">
        <f t="shared" si="442"/>
        <v>0</v>
      </c>
      <c r="DK68" s="1014">
        <f t="shared" si="443"/>
        <v>0</v>
      </c>
      <c r="DL68" s="1014">
        <f t="shared" si="444"/>
        <v>0</v>
      </c>
      <c r="DM68" s="1014">
        <f t="shared" si="445"/>
        <v>0</v>
      </c>
      <c r="DN68" s="1014">
        <f t="shared" si="446"/>
        <v>0</v>
      </c>
      <c r="DO68" s="1014">
        <f t="shared" si="447"/>
        <v>0</v>
      </c>
      <c r="DP68" s="1014">
        <f t="shared" si="448"/>
        <v>0</v>
      </c>
      <c r="DQ68" s="1020">
        <f t="shared" si="449"/>
        <v>0</v>
      </c>
      <c r="DR68" s="1014">
        <f t="shared" si="450"/>
        <v>0</v>
      </c>
      <c r="DS68" s="1014">
        <f t="shared" si="451"/>
        <v>0</v>
      </c>
      <c r="DT68" s="1025">
        <f t="shared" si="360"/>
        <v>0</v>
      </c>
    </row>
    <row r="69" spans="1:124" x14ac:dyDescent="0.2">
      <c r="A69" s="908" t="s">
        <v>331</v>
      </c>
      <c r="B69" s="908"/>
      <c r="C69" s="910">
        <f t="shared" si="347"/>
        <v>0</v>
      </c>
      <c r="D69" s="910">
        <f t="shared" si="348"/>
        <v>0</v>
      </c>
      <c r="E69" s="910">
        <f t="shared" si="349"/>
        <v>418000</v>
      </c>
      <c r="F69" s="910">
        <f t="shared" si="361"/>
        <v>0</v>
      </c>
      <c r="G69" s="910">
        <f t="shared" si="350"/>
        <v>0</v>
      </c>
      <c r="H69" s="910">
        <f t="shared" si="351"/>
        <v>0</v>
      </c>
      <c r="I69" s="910">
        <f t="shared" si="352"/>
        <v>0</v>
      </c>
      <c r="J69" s="910">
        <f t="shared" si="362"/>
        <v>0</v>
      </c>
      <c r="K69" s="910">
        <f t="shared" si="363"/>
        <v>0</v>
      </c>
      <c r="L69" s="910">
        <f t="shared" si="364"/>
        <v>0</v>
      </c>
      <c r="M69" s="910">
        <f t="shared" si="353"/>
        <v>0</v>
      </c>
      <c r="N69" s="910">
        <f t="shared" si="354"/>
        <v>0</v>
      </c>
      <c r="O69" s="910">
        <f t="shared" si="355"/>
        <v>0</v>
      </c>
      <c r="P69" s="910">
        <f t="shared" si="365"/>
        <v>0</v>
      </c>
      <c r="Q69" s="910">
        <f t="shared" si="356"/>
        <v>0</v>
      </c>
      <c r="R69" s="910">
        <f t="shared" si="357"/>
        <v>0</v>
      </c>
      <c r="S69" s="910">
        <f t="shared" si="358"/>
        <v>418000</v>
      </c>
      <c r="T69" s="1037">
        <f t="shared" si="366"/>
        <v>418000</v>
      </c>
      <c r="U69" s="1034">
        <f t="shared" si="452"/>
        <v>0</v>
      </c>
      <c r="V69" s="1034">
        <f t="shared" si="453"/>
        <v>0</v>
      </c>
      <c r="W69" s="1034">
        <f t="shared" si="454"/>
        <v>0</v>
      </c>
      <c r="X69" s="1034">
        <f t="shared" si="455"/>
        <v>0</v>
      </c>
      <c r="Y69" s="1034">
        <f t="shared" si="456"/>
        <v>0</v>
      </c>
      <c r="Z69" s="1034">
        <f t="shared" si="457"/>
        <v>0</v>
      </c>
      <c r="AA69" s="1034">
        <f t="shared" si="458"/>
        <v>0</v>
      </c>
      <c r="AB69" s="1034">
        <f t="shared" si="459"/>
        <v>0</v>
      </c>
      <c r="AC69" s="1034">
        <f t="shared" si="460"/>
        <v>0</v>
      </c>
      <c r="AD69" s="1034">
        <f t="shared" si="461"/>
        <v>0</v>
      </c>
      <c r="AE69" s="1034">
        <f t="shared" si="462"/>
        <v>0</v>
      </c>
      <c r="AF69" s="1034">
        <f t="shared" si="463"/>
        <v>0</v>
      </c>
      <c r="AG69" s="1034">
        <f t="shared" si="464"/>
        <v>0</v>
      </c>
      <c r="AH69" s="1041" t="str">
        <f t="shared" si="465"/>
        <v>-</v>
      </c>
      <c r="AI69" s="1014">
        <f t="shared" si="367"/>
        <v>0</v>
      </c>
      <c r="AJ69" s="1025">
        <f t="shared" si="466"/>
        <v>0</v>
      </c>
      <c r="AK69" s="1014">
        <f t="shared" si="368"/>
        <v>0</v>
      </c>
      <c r="AL69" s="1025">
        <f t="shared" si="467"/>
        <v>0</v>
      </c>
      <c r="AM69" s="1014">
        <f t="shared" si="369"/>
        <v>0</v>
      </c>
      <c r="AN69" s="1025">
        <f t="shared" si="468"/>
        <v>0</v>
      </c>
      <c r="AO69" s="1014">
        <f t="shared" si="370"/>
        <v>0</v>
      </c>
      <c r="AP69" s="1014">
        <f t="shared" si="371"/>
        <v>0</v>
      </c>
      <c r="AQ69" s="1014">
        <f t="shared" si="372"/>
        <v>0</v>
      </c>
      <c r="AR69" s="1015">
        <f t="shared" si="373"/>
        <v>0</v>
      </c>
      <c r="AS69" s="1025">
        <f t="shared" si="374"/>
        <v>0</v>
      </c>
      <c r="AT69" s="1014">
        <f t="shared" si="375"/>
        <v>0</v>
      </c>
      <c r="AU69" s="1014">
        <f t="shared" si="376"/>
        <v>0</v>
      </c>
      <c r="AV69" s="1014">
        <f t="shared" si="377"/>
        <v>0</v>
      </c>
      <c r="AW69" s="1014">
        <f t="shared" si="378"/>
        <v>0</v>
      </c>
      <c r="AX69" s="1014">
        <f t="shared" si="379"/>
        <v>0</v>
      </c>
      <c r="AY69" s="1014">
        <f t="shared" si="380"/>
        <v>0</v>
      </c>
      <c r="AZ69" s="1025">
        <f t="shared" si="381"/>
        <v>0</v>
      </c>
      <c r="BA69" s="1014">
        <f t="shared" si="382"/>
        <v>0</v>
      </c>
      <c r="BB69" s="1014">
        <f t="shared" si="383"/>
        <v>0</v>
      </c>
      <c r="BC69" s="1014">
        <f t="shared" si="384"/>
        <v>0</v>
      </c>
      <c r="BD69" s="1014">
        <f t="shared" si="385"/>
        <v>0</v>
      </c>
      <c r="BE69" s="1014">
        <f t="shared" si="386"/>
        <v>0</v>
      </c>
      <c r="BF69" s="1014">
        <f t="shared" si="387"/>
        <v>0</v>
      </c>
      <c r="BG69" s="1025">
        <f t="shared" si="388"/>
        <v>0</v>
      </c>
      <c r="BH69" s="1014">
        <f t="shared" si="389"/>
        <v>0</v>
      </c>
      <c r="BI69" s="1014">
        <f t="shared" si="390"/>
        <v>0</v>
      </c>
      <c r="BJ69" s="1014">
        <f t="shared" si="391"/>
        <v>0</v>
      </c>
      <c r="BK69" s="1014">
        <f t="shared" si="392"/>
        <v>0</v>
      </c>
      <c r="BL69" s="1014">
        <f t="shared" si="393"/>
        <v>0</v>
      </c>
      <c r="BM69" s="1014">
        <f t="shared" si="394"/>
        <v>0</v>
      </c>
      <c r="BN69" s="1025">
        <f t="shared" si="395"/>
        <v>0</v>
      </c>
      <c r="BO69" s="1014">
        <f t="shared" si="396"/>
        <v>0</v>
      </c>
      <c r="BP69" s="1014">
        <f t="shared" si="397"/>
        <v>0</v>
      </c>
      <c r="BQ69" s="1014">
        <f t="shared" si="398"/>
        <v>0</v>
      </c>
      <c r="BR69" s="1014">
        <f t="shared" si="399"/>
        <v>0</v>
      </c>
      <c r="BS69" s="1014">
        <f t="shared" si="400"/>
        <v>0</v>
      </c>
      <c r="BT69" s="1025">
        <f t="shared" si="401"/>
        <v>0</v>
      </c>
      <c r="BU69" s="1014">
        <f t="shared" si="402"/>
        <v>0</v>
      </c>
      <c r="BV69" s="1014">
        <f t="shared" si="403"/>
        <v>0</v>
      </c>
      <c r="BW69" s="1014">
        <f t="shared" si="404"/>
        <v>0</v>
      </c>
      <c r="BX69" s="1014">
        <f t="shared" si="405"/>
        <v>0</v>
      </c>
      <c r="BY69" s="1014">
        <f t="shared" si="406"/>
        <v>0</v>
      </c>
      <c r="BZ69" s="1014">
        <f t="shared" si="407"/>
        <v>0</v>
      </c>
      <c r="CA69" s="1014">
        <f t="shared" si="408"/>
        <v>0</v>
      </c>
      <c r="CB69" s="1014">
        <f t="shared" si="409"/>
        <v>0</v>
      </c>
      <c r="CC69" s="1014">
        <f t="shared" si="410"/>
        <v>0</v>
      </c>
      <c r="CD69" s="1015">
        <f t="shared" si="411"/>
        <v>0</v>
      </c>
      <c r="CE69" s="1014">
        <f t="shared" si="412"/>
        <v>0</v>
      </c>
      <c r="CF69" s="1025">
        <f t="shared" si="413"/>
        <v>0</v>
      </c>
      <c r="CG69" s="1014">
        <f t="shared" si="414"/>
        <v>0</v>
      </c>
      <c r="CH69" s="1014">
        <f t="shared" si="415"/>
        <v>0</v>
      </c>
      <c r="CI69" s="1014">
        <f t="shared" si="416"/>
        <v>0</v>
      </c>
      <c r="CJ69" s="1014">
        <f t="shared" si="417"/>
        <v>0</v>
      </c>
      <c r="CK69" s="1014">
        <f t="shared" si="418"/>
        <v>0</v>
      </c>
      <c r="CL69" s="1014">
        <f t="shared" si="419"/>
        <v>0</v>
      </c>
      <c r="CM69" s="1014">
        <f t="shared" si="420"/>
        <v>0</v>
      </c>
      <c r="CN69" s="1015">
        <f t="shared" si="421"/>
        <v>0</v>
      </c>
      <c r="CO69" s="1014">
        <f t="shared" si="422"/>
        <v>0</v>
      </c>
      <c r="CP69" s="1025">
        <f t="shared" si="423"/>
        <v>0</v>
      </c>
      <c r="CQ69" s="1014">
        <f t="shared" si="424"/>
        <v>0</v>
      </c>
      <c r="CR69" s="1014">
        <f t="shared" si="425"/>
        <v>0</v>
      </c>
      <c r="CS69" s="1014">
        <f t="shared" si="426"/>
        <v>0</v>
      </c>
      <c r="CT69" s="1014">
        <f t="shared" si="427"/>
        <v>0</v>
      </c>
      <c r="CU69" s="1015">
        <f t="shared" si="428"/>
        <v>0</v>
      </c>
      <c r="CV69" s="1030">
        <f t="shared" si="429"/>
        <v>0</v>
      </c>
      <c r="CW69" s="1014">
        <f t="shared" si="430"/>
        <v>0</v>
      </c>
      <c r="CX69" s="1014">
        <f t="shared" si="431"/>
        <v>0</v>
      </c>
      <c r="CY69" s="1014">
        <f t="shared" si="432"/>
        <v>0</v>
      </c>
      <c r="CZ69" s="1014">
        <f t="shared" si="433"/>
        <v>0</v>
      </c>
      <c r="DA69" s="1014">
        <f t="shared" si="434"/>
        <v>0</v>
      </c>
      <c r="DB69" s="1014">
        <f t="shared" si="435"/>
        <v>0</v>
      </c>
      <c r="DC69" s="1014">
        <f t="shared" si="436"/>
        <v>0</v>
      </c>
      <c r="DD69" s="1014">
        <f t="shared" si="437"/>
        <v>0</v>
      </c>
      <c r="DE69" s="1015">
        <f t="shared" si="438"/>
        <v>0</v>
      </c>
      <c r="DF69" s="1014">
        <f t="shared" si="439"/>
        <v>0</v>
      </c>
      <c r="DG69" s="1014">
        <f t="shared" si="440"/>
        <v>0</v>
      </c>
      <c r="DH69" s="1012">
        <f t="shared" si="359"/>
        <v>0</v>
      </c>
      <c r="DI69" s="1014">
        <f t="shared" si="441"/>
        <v>0</v>
      </c>
      <c r="DJ69" s="1014">
        <f t="shared" si="442"/>
        <v>0</v>
      </c>
      <c r="DK69" s="1014">
        <f t="shared" si="443"/>
        <v>0</v>
      </c>
      <c r="DL69" s="1014">
        <f t="shared" si="444"/>
        <v>0</v>
      </c>
      <c r="DM69" s="1014">
        <f t="shared" si="445"/>
        <v>0</v>
      </c>
      <c r="DN69" s="1014">
        <f t="shared" si="446"/>
        <v>0</v>
      </c>
      <c r="DO69" s="1014">
        <f t="shared" si="447"/>
        <v>0</v>
      </c>
      <c r="DP69" s="1014">
        <f t="shared" si="448"/>
        <v>0</v>
      </c>
      <c r="DQ69" s="1020">
        <f t="shared" si="449"/>
        <v>0</v>
      </c>
      <c r="DR69" s="1014">
        <f t="shared" si="450"/>
        <v>0</v>
      </c>
      <c r="DS69" s="1014">
        <f t="shared" si="451"/>
        <v>0</v>
      </c>
      <c r="DT69" s="1025">
        <f t="shared" si="360"/>
        <v>0</v>
      </c>
    </row>
    <row r="70" spans="1:124" x14ac:dyDescent="0.2">
      <c r="A70" s="908" t="s">
        <v>332</v>
      </c>
      <c r="B70" s="908"/>
      <c r="C70" s="910">
        <f t="shared" si="347"/>
        <v>0</v>
      </c>
      <c r="D70" s="910">
        <f t="shared" si="348"/>
        <v>0</v>
      </c>
      <c r="E70" s="910">
        <f t="shared" si="349"/>
        <v>714000</v>
      </c>
      <c r="F70" s="910">
        <f t="shared" si="361"/>
        <v>0</v>
      </c>
      <c r="G70" s="910">
        <f t="shared" si="350"/>
        <v>0</v>
      </c>
      <c r="H70" s="910">
        <f t="shared" si="351"/>
        <v>0</v>
      </c>
      <c r="I70" s="910">
        <f t="shared" si="352"/>
        <v>0</v>
      </c>
      <c r="J70" s="910">
        <f t="shared" si="362"/>
        <v>0</v>
      </c>
      <c r="K70" s="910">
        <f t="shared" si="363"/>
        <v>0</v>
      </c>
      <c r="L70" s="910">
        <f t="shared" si="364"/>
        <v>0</v>
      </c>
      <c r="M70" s="910">
        <f t="shared" si="353"/>
        <v>0</v>
      </c>
      <c r="N70" s="910">
        <f t="shared" si="354"/>
        <v>0</v>
      </c>
      <c r="O70" s="910">
        <f t="shared" si="355"/>
        <v>0</v>
      </c>
      <c r="P70" s="910">
        <f t="shared" si="365"/>
        <v>0</v>
      </c>
      <c r="Q70" s="910">
        <f t="shared" si="356"/>
        <v>0</v>
      </c>
      <c r="R70" s="910">
        <f t="shared" si="357"/>
        <v>0</v>
      </c>
      <c r="S70" s="910">
        <f t="shared" si="358"/>
        <v>714000</v>
      </c>
      <c r="T70" s="1037">
        <f t="shared" si="366"/>
        <v>714000</v>
      </c>
      <c r="U70" s="1034">
        <f t="shared" si="452"/>
        <v>0</v>
      </c>
      <c r="V70" s="1034">
        <f t="shared" si="453"/>
        <v>0</v>
      </c>
      <c r="W70" s="1034">
        <f t="shared" si="454"/>
        <v>0</v>
      </c>
      <c r="X70" s="1034">
        <f t="shared" si="455"/>
        <v>0</v>
      </c>
      <c r="Y70" s="1034">
        <f t="shared" si="456"/>
        <v>0</v>
      </c>
      <c r="Z70" s="1034">
        <f t="shared" si="457"/>
        <v>0</v>
      </c>
      <c r="AA70" s="1034">
        <f t="shared" si="458"/>
        <v>0</v>
      </c>
      <c r="AB70" s="1034">
        <f t="shared" si="459"/>
        <v>0</v>
      </c>
      <c r="AC70" s="1034">
        <f t="shared" si="460"/>
        <v>0</v>
      </c>
      <c r="AD70" s="1034">
        <f t="shared" si="461"/>
        <v>0</v>
      </c>
      <c r="AE70" s="1034">
        <f t="shared" si="462"/>
        <v>0</v>
      </c>
      <c r="AF70" s="1034">
        <f t="shared" si="463"/>
        <v>0</v>
      </c>
      <c r="AG70" s="1034">
        <f t="shared" si="464"/>
        <v>0</v>
      </c>
      <c r="AH70" s="1041" t="str">
        <f t="shared" si="465"/>
        <v>-</v>
      </c>
      <c r="AI70" s="1014">
        <f t="shared" si="367"/>
        <v>0</v>
      </c>
      <c r="AJ70" s="1025">
        <f t="shared" si="466"/>
        <v>0</v>
      </c>
      <c r="AK70" s="1014">
        <f t="shared" si="368"/>
        <v>0</v>
      </c>
      <c r="AL70" s="1025">
        <f t="shared" si="467"/>
        <v>0</v>
      </c>
      <c r="AM70" s="1014">
        <f t="shared" si="369"/>
        <v>0</v>
      </c>
      <c r="AN70" s="1025">
        <f t="shared" si="468"/>
        <v>0</v>
      </c>
      <c r="AO70" s="1014">
        <f t="shared" si="370"/>
        <v>0</v>
      </c>
      <c r="AP70" s="1014">
        <f t="shared" si="371"/>
        <v>0</v>
      </c>
      <c r="AQ70" s="1014">
        <f t="shared" si="372"/>
        <v>0</v>
      </c>
      <c r="AR70" s="1015">
        <f t="shared" si="373"/>
        <v>0</v>
      </c>
      <c r="AS70" s="1025">
        <f t="shared" si="374"/>
        <v>0</v>
      </c>
      <c r="AT70" s="1014">
        <f t="shared" si="375"/>
        <v>0</v>
      </c>
      <c r="AU70" s="1014">
        <f t="shared" si="376"/>
        <v>0</v>
      </c>
      <c r="AV70" s="1014">
        <f t="shared" si="377"/>
        <v>0</v>
      </c>
      <c r="AW70" s="1014">
        <f t="shared" si="378"/>
        <v>0</v>
      </c>
      <c r="AX70" s="1014">
        <f t="shared" si="379"/>
        <v>0</v>
      </c>
      <c r="AY70" s="1014">
        <f t="shared" si="380"/>
        <v>0</v>
      </c>
      <c r="AZ70" s="1025">
        <f t="shared" si="381"/>
        <v>0</v>
      </c>
      <c r="BA70" s="1014">
        <f t="shared" si="382"/>
        <v>0</v>
      </c>
      <c r="BB70" s="1014">
        <f t="shared" si="383"/>
        <v>0</v>
      </c>
      <c r="BC70" s="1014">
        <f t="shared" si="384"/>
        <v>0</v>
      </c>
      <c r="BD70" s="1014">
        <f t="shared" si="385"/>
        <v>0</v>
      </c>
      <c r="BE70" s="1014">
        <f t="shared" si="386"/>
        <v>0</v>
      </c>
      <c r="BF70" s="1014">
        <f t="shared" si="387"/>
        <v>0</v>
      </c>
      <c r="BG70" s="1025">
        <f t="shared" si="388"/>
        <v>0</v>
      </c>
      <c r="BH70" s="1014">
        <f t="shared" si="389"/>
        <v>0</v>
      </c>
      <c r="BI70" s="1014">
        <f t="shared" si="390"/>
        <v>0</v>
      </c>
      <c r="BJ70" s="1014">
        <f t="shared" si="391"/>
        <v>0</v>
      </c>
      <c r="BK70" s="1014">
        <f t="shared" si="392"/>
        <v>0</v>
      </c>
      <c r="BL70" s="1014">
        <f t="shared" si="393"/>
        <v>0</v>
      </c>
      <c r="BM70" s="1014">
        <f t="shared" si="394"/>
        <v>0</v>
      </c>
      <c r="BN70" s="1025">
        <f t="shared" si="395"/>
        <v>0</v>
      </c>
      <c r="BO70" s="1014">
        <f t="shared" si="396"/>
        <v>0</v>
      </c>
      <c r="BP70" s="1014">
        <f t="shared" si="397"/>
        <v>0</v>
      </c>
      <c r="BQ70" s="1014">
        <f t="shared" si="398"/>
        <v>0</v>
      </c>
      <c r="BR70" s="1014">
        <f t="shared" si="399"/>
        <v>0</v>
      </c>
      <c r="BS70" s="1014">
        <f t="shared" si="400"/>
        <v>0</v>
      </c>
      <c r="BT70" s="1025">
        <f t="shared" si="401"/>
        <v>0</v>
      </c>
      <c r="BU70" s="1014">
        <f t="shared" si="402"/>
        <v>0</v>
      </c>
      <c r="BV70" s="1014">
        <f t="shared" si="403"/>
        <v>0</v>
      </c>
      <c r="BW70" s="1014">
        <f t="shared" si="404"/>
        <v>0</v>
      </c>
      <c r="BX70" s="1014">
        <f t="shared" si="405"/>
        <v>0</v>
      </c>
      <c r="BY70" s="1014">
        <f t="shared" si="406"/>
        <v>0</v>
      </c>
      <c r="BZ70" s="1014">
        <f t="shared" si="407"/>
        <v>0</v>
      </c>
      <c r="CA70" s="1014">
        <f t="shared" si="408"/>
        <v>0</v>
      </c>
      <c r="CB70" s="1014">
        <f t="shared" si="409"/>
        <v>0</v>
      </c>
      <c r="CC70" s="1014">
        <f t="shared" si="410"/>
        <v>0</v>
      </c>
      <c r="CD70" s="1015">
        <f t="shared" si="411"/>
        <v>0</v>
      </c>
      <c r="CE70" s="1014">
        <f t="shared" si="412"/>
        <v>0</v>
      </c>
      <c r="CF70" s="1025">
        <f t="shared" si="413"/>
        <v>0</v>
      </c>
      <c r="CG70" s="1014">
        <f t="shared" si="414"/>
        <v>0</v>
      </c>
      <c r="CH70" s="1014">
        <f t="shared" si="415"/>
        <v>0</v>
      </c>
      <c r="CI70" s="1014">
        <f t="shared" si="416"/>
        <v>0</v>
      </c>
      <c r="CJ70" s="1014">
        <f t="shared" si="417"/>
        <v>0</v>
      </c>
      <c r="CK70" s="1014">
        <f t="shared" si="418"/>
        <v>0</v>
      </c>
      <c r="CL70" s="1014">
        <f t="shared" si="419"/>
        <v>0</v>
      </c>
      <c r="CM70" s="1014">
        <f t="shared" si="420"/>
        <v>0</v>
      </c>
      <c r="CN70" s="1015">
        <f t="shared" si="421"/>
        <v>0</v>
      </c>
      <c r="CO70" s="1014">
        <f t="shared" si="422"/>
        <v>0</v>
      </c>
      <c r="CP70" s="1025">
        <f t="shared" si="423"/>
        <v>0</v>
      </c>
      <c r="CQ70" s="1014">
        <f t="shared" si="424"/>
        <v>0</v>
      </c>
      <c r="CR70" s="1014">
        <f t="shared" si="425"/>
        <v>0</v>
      </c>
      <c r="CS70" s="1014">
        <f t="shared" si="426"/>
        <v>0</v>
      </c>
      <c r="CT70" s="1014">
        <f t="shared" si="427"/>
        <v>0</v>
      </c>
      <c r="CU70" s="1015">
        <f t="shared" si="428"/>
        <v>0</v>
      </c>
      <c r="CV70" s="1030">
        <f t="shared" si="429"/>
        <v>0</v>
      </c>
      <c r="CW70" s="1014">
        <f t="shared" si="430"/>
        <v>0</v>
      </c>
      <c r="CX70" s="1014">
        <f t="shared" si="431"/>
        <v>0</v>
      </c>
      <c r="CY70" s="1014">
        <f t="shared" si="432"/>
        <v>0</v>
      </c>
      <c r="CZ70" s="1014">
        <f t="shared" si="433"/>
        <v>0</v>
      </c>
      <c r="DA70" s="1014">
        <f t="shared" si="434"/>
        <v>0</v>
      </c>
      <c r="DB70" s="1014">
        <f t="shared" si="435"/>
        <v>0</v>
      </c>
      <c r="DC70" s="1014">
        <f t="shared" si="436"/>
        <v>0</v>
      </c>
      <c r="DD70" s="1014">
        <f t="shared" si="437"/>
        <v>0</v>
      </c>
      <c r="DE70" s="1015">
        <f t="shared" si="438"/>
        <v>0</v>
      </c>
      <c r="DF70" s="1014">
        <f t="shared" si="439"/>
        <v>0</v>
      </c>
      <c r="DG70" s="1014">
        <f t="shared" si="440"/>
        <v>0</v>
      </c>
      <c r="DH70" s="1012">
        <f t="shared" si="359"/>
        <v>0</v>
      </c>
      <c r="DI70" s="1014">
        <f t="shared" si="441"/>
        <v>0</v>
      </c>
      <c r="DJ70" s="1014">
        <f t="shared" si="442"/>
        <v>0</v>
      </c>
      <c r="DK70" s="1014">
        <f t="shared" si="443"/>
        <v>0</v>
      </c>
      <c r="DL70" s="1014">
        <f t="shared" si="444"/>
        <v>0</v>
      </c>
      <c r="DM70" s="1014">
        <f t="shared" si="445"/>
        <v>0</v>
      </c>
      <c r="DN70" s="1014">
        <f t="shared" si="446"/>
        <v>0</v>
      </c>
      <c r="DO70" s="1014">
        <f t="shared" si="447"/>
        <v>0</v>
      </c>
      <c r="DP70" s="1014">
        <f t="shared" si="448"/>
        <v>0</v>
      </c>
      <c r="DQ70" s="1020">
        <f t="shared" si="449"/>
        <v>0</v>
      </c>
      <c r="DR70" s="1014">
        <f t="shared" si="450"/>
        <v>0</v>
      </c>
      <c r="DS70" s="1014">
        <f t="shared" si="451"/>
        <v>0</v>
      </c>
      <c r="DT70" s="1025">
        <f t="shared" si="360"/>
        <v>0</v>
      </c>
    </row>
    <row r="71" spans="1:124" x14ac:dyDescent="0.2">
      <c r="A71" s="908" t="s">
        <v>373</v>
      </c>
      <c r="B71" s="908"/>
      <c r="C71" s="910">
        <f t="shared" si="347"/>
        <v>0</v>
      </c>
      <c r="D71" s="910">
        <f t="shared" si="348"/>
        <v>150000</v>
      </c>
      <c r="E71" s="910">
        <f t="shared" si="349"/>
        <v>0</v>
      </c>
      <c r="F71" s="910">
        <f t="shared" si="361"/>
        <v>0</v>
      </c>
      <c r="G71" s="910">
        <f t="shared" si="350"/>
        <v>0</v>
      </c>
      <c r="H71" s="910">
        <f t="shared" si="351"/>
        <v>0</v>
      </c>
      <c r="I71" s="910">
        <f t="shared" si="352"/>
        <v>0</v>
      </c>
      <c r="J71" s="910">
        <f t="shared" si="362"/>
        <v>0</v>
      </c>
      <c r="K71" s="910">
        <f t="shared" si="363"/>
        <v>0</v>
      </c>
      <c r="L71" s="910">
        <f t="shared" si="364"/>
        <v>0</v>
      </c>
      <c r="M71" s="910">
        <f t="shared" si="353"/>
        <v>0</v>
      </c>
      <c r="N71" s="910">
        <f t="shared" si="354"/>
        <v>0</v>
      </c>
      <c r="O71" s="910">
        <f t="shared" si="355"/>
        <v>0</v>
      </c>
      <c r="P71" s="910">
        <f t="shared" si="365"/>
        <v>0</v>
      </c>
      <c r="Q71" s="910">
        <f t="shared" si="356"/>
        <v>0</v>
      </c>
      <c r="R71" s="910">
        <f t="shared" si="357"/>
        <v>0</v>
      </c>
      <c r="S71" s="910">
        <f t="shared" si="358"/>
        <v>150000</v>
      </c>
      <c r="T71" s="1037">
        <f t="shared" si="366"/>
        <v>150000</v>
      </c>
      <c r="U71" s="1034">
        <f t="shared" si="452"/>
        <v>0</v>
      </c>
      <c r="V71" s="1034">
        <f t="shared" si="453"/>
        <v>0</v>
      </c>
      <c r="W71" s="1034">
        <f t="shared" si="454"/>
        <v>0</v>
      </c>
      <c r="X71" s="1034">
        <f t="shared" si="455"/>
        <v>0</v>
      </c>
      <c r="Y71" s="1034">
        <f t="shared" si="456"/>
        <v>0</v>
      </c>
      <c r="Z71" s="1034">
        <f t="shared" si="457"/>
        <v>0</v>
      </c>
      <c r="AA71" s="1034">
        <f t="shared" si="458"/>
        <v>0</v>
      </c>
      <c r="AB71" s="1034">
        <f t="shared" si="459"/>
        <v>0</v>
      </c>
      <c r="AC71" s="1034">
        <f t="shared" si="460"/>
        <v>0</v>
      </c>
      <c r="AD71" s="1034">
        <f t="shared" si="461"/>
        <v>0</v>
      </c>
      <c r="AE71" s="1034">
        <f t="shared" si="462"/>
        <v>0</v>
      </c>
      <c r="AF71" s="1034">
        <f t="shared" si="463"/>
        <v>0</v>
      </c>
      <c r="AG71" s="1034">
        <f t="shared" si="464"/>
        <v>0</v>
      </c>
      <c r="AH71" s="1041" t="str">
        <f t="shared" si="465"/>
        <v>-</v>
      </c>
      <c r="AI71" s="1014">
        <f t="shared" si="367"/>
        <v>0</v>
      </c>
      <c r="AJ71" s="1025">
        <f t="shared" si="466"/>
        <v>0</v>
      </c>
      <c r="AK71" s="1014">
        <f t="shared" si="368"/>
        <v>0</v>
      </c>
      <c r="AL71" s="1025">
        <f t="shared" si="467"/>
        <v>0</v>
      </c>
      <c r="AM71" s="1014">
        <f t="shared" si="369"/>
        <v>0</v>
      </c>
      <c r="AN71" s="1025">
        <f t="shared" si="468"/>
        <v>0</v>
      </c>
      <c r="AO71" s="1014">
        <f t="shared" si="370"/>
        <v>0</v>
      </c>
      <c r="AP71" s="1014">
        <f t="shared" si="371"/>
        <v>0</v>
      </c>
      <c r="AQ71" s="1014">
        <f t="shared" si="372"/>
        <v>0</v>
      </c>
      <c r="AR71" s="1015">
        <f t="shared" si="373"/>
        <v>0</v>
      </c>
      <c r="AS71" s="1025">
        <f t="shared" si="374"/>
        <v>0</v>
      </c>
      <c r="AT71" s="1014">
        <f t="shared" si="375"/>
        <v>0</v>
      </c>
      <c r="AU71" s="1014">
        <f t="shared" si="376"/>
        <v>0</v>
      </c>
      <c r="AV71" s="1014">
        <f t="shared" si="377"/>
        <v>0</v>
      </c>
      <c r="AW71" s="1014">
        <f t="shared" si="378"/>
        <v>0</v>
      </c>
      <c r="AX71" s="1014">
        <f t="shared" si="379"/>
        <v>0</v>
      </c>
      <c r="AY71" s="1014">
        <f t="shared" si="380"/>
        <v>0</v>
      </c>
      <c r="AZ71" s="1025">
        <f t="shared" si="381"/>
        <v>0</v>
      </c>
      <c r="BA71" s="1014">
        <f t="shared" si="382"/>
        <v>0</v>
      </c>
      <c r="BB71" s="1014">
        <f t="shared" si="383"/>
        <v>0</v>
      </c>
      <c r="BC71" s="1014">
        <f t="shared" si="384"/>
        <v>0</v>
      </c>
      <c r="BD71" s="1014">
        <f t="shared" si="385"/>
        <v>0</v>
      </c>
      <c r="BE71" s="1014">
        <f t="shared" si="386"/>
        <v>0</v>
      </c>
      <c r="BF71" s="1014">
        <f t="shared" si="387"/>
        <v>0</v>
      </c>
      <c r="BG71" s="1025">
        <f t="shared" si="388"/>
        <v>0</v>
      </c>
      <c r="BH71" s="1014">
        <f t="shared" si="389"/>
        <v>0</v>
      </c>
      <c r="BI71" s="1014">
        <f t="shared" si="390"/>
        <v>0</v>
      </c>
      <c r="BJ71" s="1014">
        <f t="shared" si="391"/>
        <v>0</v>
      </c>
      <c r="BK71" s="1014">
        <f t="shared" si="392"/>
        <v>0</v>
      </c>
      <c r="BL71" s="1014">
        <f t="shared" si="393"/>
        <v>0</v>
      </c>
      <c r="BM71" s="1014">
        <f t="shared" si="394"/>
        <v>0</v>
      </c>
      <c r="BN71" s="1025">
        <f t="shared" si="395"/>
        <v>0</v>
      </c>
      <c r="BO71" s="1014">
        <f t="shared" si="396"/>
        <v>0</v>
      </c>
      <c r="BP71" s="1014">
        <f t="shared" si="397"/>
        <v>0</v>
      </c>
      <c r="BQ71" s="1014">
        <f t="shared" si="398"/>
        <v>0</v>
      </c>
      <c r="BR71" s="1014">
        <f t="shared" si="399"/>
        <v>0</v>
      </c>
      <c r="BS71" s="1014">
        <f t="shared" si="400"/>
        <v>0</v>
      </c>
      <c r="BT71" s="1025">
        <f t="shared" si="401"/>
        <v>0</v>
      </c>
      <c r="BU71" s="1014">
        <f t="shared" si="402"/>
        <v>0</v>
      </c>
      <c r="BV71" s="1014">
        <f t="shared" si="403"/>
        <v>0</v>
      </c>
      <c r="BW71" s="1014">
        <f t="shared" si="404"/>
        <v>0</v>
      </c>
      <c r="BX71" s="1014">
        <f t="shared" si="405"/>
        <v>0</v>
      </c>
      <c r="BY71" s="1014">
        <f t="shared" si="406"/>
        <v>0</v>
      </c>
      <c r="BZ71" s="1014">
        <f t="shared" si="407"/>
        <v>0</v>
      </c>
      <c r="CA71" s="1014">
        <f t="shared" si="408"/>
        <v>0</v>
      </c>
      <c r="CB71" s="1014">
        <f t="shared" si="409"/>
        <v>0</v>
      </c>
      <c r="CC71" s="1014">
        <f t="shared" si="410"/>
        <v>0</v>
      </c>
      <c r="CD71" s="1015">
        <f t="shared" si="411"/>
        <v>0</v>
      </c>
      <c r="CE71" s="1014">
        <f t="shared" si="412"/>
        <v>0</v>
      </c>
      <c r="CF71" s="1025">
        <f t="shared" si="413"/>
        <v>0</v>
      </c>
      <c r="CG71" s="1014">
        <f t="shared" si="414"/>
        <v>0</v>
      </c>
      <c r="CH71" s="1014">
        <f t="shared" si="415"/>
        <v>0</v>
      </c>
      <c r="CI71" s="1014">
        <f t="shared" si="416"/>
        <v>0</v>
      </c>
      <c r="CJ71" s="1014">
        <f t="shared" si="417"/>
        <v>0</v>
      </c>
      <c r="CK71" s="1014">
        <f t="shared" si="418"/>
        <v>0</v>
      </c>
      <c r="CL71" s="1014">
        <f t="shared" si="419"/>
        <v>0</v>
      </c>
      <c r="CM71" s="1014">
        <f t="shared" si="420"/>
        <v>0</v>
      </c>
      <c r="CN71" s="1015">
        <f t="shared" si="421"/>
        <v>0</v>
      </c>
      <c r="CO71" s="1014">
        <f t="shared" si="422"/>
        <v>0</v>
      </c>
      <c r="CP71" s="1025">
        <f t="shared" si="423"/>
        <v>0</v>
      </c>
      <c r="CQ71" s="1014">
        <f t="shared" si="424"/>
        <v>0</v>
      </c>
      <c r="CR71" s="1014">
        <f t="shared" si="425"/>
        <v>0</v>
      </c>
      <c r="CS71" s="1014">
        <f t="shared" si="426"/>
        <v>0</v>
      </c>
      <c r="CT71" s="1014">
        <f t="shared" si="427"/>
        <v>0</v>
      </c>
      <c r="CU71" s="1015">
        <f t="shared" si="428"/>
        <v>0</v>
      </c>
      <c r="CV71" s="1030">
        <f t="shared" si="429"/>
        <v>0</v>
      </c>
      <c r="CW71" s="1014">
        <f t="shared" si="430"/>
        <v>0</v>
      </c>
      <c r="CX71" s="1014">
        <f t="shared" si="431"/>
        <v>0</v>
      </c>
      <c r="CY71" s="1014">
        <f t="shared" si="432"/>
        <v>0</v>
      </c>
      <c r="CZ71" s="1014">
        <f t="shared" si="433"/>
        <v>0</v>
      </c>
      <c r="DA71" s="1014">
        <f t="shared" si="434"/>
        <v>0</v>
      </c>
      <c r="DB71" s="1014">
        <f t="shared" si="435"/>
        <v>0</v>
      </c>
      <c r="DC71" s="1014">
        <f t="shared" si="436"/>
        <v>0</v>
      </c>
      <c r="DD71" s="1014">
        <f t="shared" si="437"/>
        <v>0</v>
      </c>
      <c r="DE71" s="1015">
        <f t="shared" si="438"/>
        <v>0</v>
      </c>
      <c r="DF71" s="1014">
        <f t="shared" si="439"/>
        <v>0</v>
      </c>
      <c r="DG71" s="1014">
        <f t="shared" si="440"/>
        <v>0</v>
      </c>
      <c r="DH71" s="1012">
        <f t="shared" si="359"/>
        <v>0</v>
      </c>
      <c r="DI71" s="1014">
        <f t="shared" si="441"/>
        <v>0</v>
      </c>
      <c r="DJ71" s="1014">
        <f t="shared" si="442"/>
        <v>0</v>
      </c>
      <c r="DK71" s="1014">
        <f t="shared" si="443"/>
        <v>0</v>
      </c>
      <c r="DL71" s="1014">
        <f t="shared" si="444"/>
        <v>0</v>
      </c>
      <c r="DM71" s="1014">
        <f t="shared" si="445"/>
        <v>0</v>
      </c>
      <c r="DN71" s="1014">
        <f t="shared" si="446"/>
        <v>0</v>
      </c>
      <c r="DO71" s="1014">
        <f t="shared" si="447"/>
        <v>0</v>
      </c>
      <c r="DP71" s="1014">
        <f t="shared" si="448"/>
        <v>0</v>
      </c>
      <c r="DQ71" s="1020">
        <f t="shared" si="449"/>
        <v>0</v>
      </c>
      <c r="DR71" s="1014">
        <f t="shared" si="450"/>
        <v>0</v>
      </c>
      <c r="DS71" s="1014">
        <f t="shared" si="451"/>
        <v>0</v>
      </c>
      <c r="DT71" s="1025">
        <f t="shared" si="360"/>
        <v>0</v>
      </c>
    </row>
    <row r="72" spans="1:124" x14ac:dyDescent="0.2">
      <c r="A72" s="908" t="s">
        <v>366</v>
      </c>
      <c r="B72" s="908"/>
      <c r="C72" s="910">
        <f t="shared" si="347"/>
        <v>0</v>
      </c>
      <c r="D72" s="910">
        <f t="shared" si="348"/>
        <v>0</v>
      </c>
      <c r="E72" s="910">
        <f t="shared" si="349"/>
        <v>0</v>
      </c>
      <c r="F72" s="910">
        <f t="shared" si="361"/>
        <v>0</v>
      </c>
      <c r="G72" s="910">
        <f t="shared" si="350"/>
        <v>0</v>
      </c>
      <c r="H72" s="910">
        <f t="shared" si="351"/>
        <v>0</v>
      </c>
      <c r="I72" s="910">
        <f t="shared" si="352"/>
        <v>0</v>
      </c>
      <c r="J72" s="910">
        <f t="shared" si="362"/>
        <v>0</v>
      </c>
      <c r="K72" s="910">
        <f t="shared" si="363"/>
        <v>0</v>
      </c>
      <c r="L72" s="910">
        <f t="shared" si="364"/>
        <v>0</v>
      </c>
      <c r="M72" s="910">
        <f t="shared" si="353"/>
        <v>1575</v>
      </c>
      <c r="N72" s="910">
        <f t="shared" si="354"/>
        <v>0</v>
      </c>
      <c r="O72" s="910">
        <f t="shared" si="355"/>
        <v>0</v>
      </c>
      <c r="P72" s="910">
        <f t="shared" si="365"/>
        <v>0</v>
      </c>
      <c r="Q72" s="910">
        <f t="shared" si="356"/>
        <v>0</v>
      </c>
      <c r="R72" s="910">
        <f t="shared" si="357"/>
        <v>0</v>
      </c>
      <c r="S72" s="910">
        <f t="shared" si="358"/>
        <v>1575</v>
      </c>
      <c r="T72" s="1037">
        <f t="shared" si="366"/>
        <v>1575</v>
      </c>
      <c r="U72" s="1034">
        <f t="shared" si="452"/>
        <v>0</v>
      </c>
      <c r="V72" s="1034">
        <f t="shared" si="453"/>
        <v>0</v>
      </c>
      <c r="W72" s="1034">
        <f t="shared" si="454"/>
        <v>0</v>
      </c>
      <c r="X72" s="1034">
        <f t="shared" si="455"/>
        <v>0</v>
      </c>
      <c r="Y72" s="1034">
        <f t="shared" si="456"/>
        <v>0</v>
      </c>
      <c r="Z72" s="1034">
        <f t="shared" si="457"/>
        <v>0</v>
      </c>
      <c r="AA72" s="1034">
        <f t="shared" si="458"/>
        <v>0</v>
      </c>
      <c r="AB72" s="1034">
        <f t="shared" si="459"/>
        <v>0</v>
      </c>
      <c r="AC72" s="1034">
        <f t="shared" si="460"/>
        <v>0</v>
      </c>
      <c r="AD72" s="1034">
        <f t="shared" si="461"/>
        <v>0</v>
      </c>
      <c r="AE72" s="1034">
        <f t="shared" si="462"/>
        <v>0</v>
      </c>
      <c r="AF72" s="1034">
        <f t="shared" si="463"/>
        <v>0</v>
      </c>
      <c r="AG72" s="1034">
        <f t="shared" si="464"/>
        <v>0</v>
      </c>
      <c r="AH72" s="1041" t="str">
        <f t="shared" si="465"/>
        <v>-</v>
      </c>
      <c r="AI72" s="1014">
        <f t="shared" si="367"/>
        <v>0</v>
      </c>
      <c r="AJ72" s="1025">
        <f t="shared" si="466"/>
        <v>0</v>
      </c>
      <c r="AK72" s="1014">
        <f t="shared" si="368"/>
        <v>0</v>
      </c>
      <c r="AL72" s="1025">
        <f t="shared" si="467"/>
        <v>0</v>
      </c>
      <c r="AM72" s="1014">
        <f t="shared" si="369"/>
        <v>0</v>
      </c>
      <c r="AN72" s="1025">
        <f t="shared" si="468"/>
        <v>0</v>
      </c>
      <c r="AO72" s="1014">
        <f t="shared" si="370"/>
        <v>0</v>
      </c>
      <c r="AP72" s="1014">
        <f t="shared" si="371"/>
        <v>0</v>
      </c>
      <c r="AQ72" s="1014">
        <f t="shared" si="372"/>
        <v>0</v>
      </c>
      <c r="AR72" s="1015">
        <f t="shared" si="373"/>
        <v>0</v>
      </c>
      <c r="AS72" s="1025">
        <f t="shared" si="374"/>
        <v>0</v>
      </c>
      <c r="AT72" s="1014">
        <f t="shared" si="375"/>
        <v>0</v>
      </c>
      <c r="AU72" s="1014">
        <f t="shared" si="376"/>
        <v>0</v>
      </c>
      <c r="AV72" s="1014">
        <f t="shared" si="377"/>
        <v>0</v>
      </c>
      <c r="AW72" s="1014">
        <f t="shared" si="378"/>
        <v>0</v>
      </c>
      <c r="AX72" s="1014">
        <f t="shared" si="379"/>
        <v>0</v>
      </c>
      <c r="AY72" s="1014">
        <f t="shared" si="380"/>
        <v>0</v>
      </c>
      <c r="AZ72" s="1025">
        <f t="shared" si="381"/>
        <v>0</v>
      </c>
      <c r="BA72" s="1014">
        <f t="shared" si="382"/>
        <v>0</v>
      </c>
      <c r="BB72" s="1014">
        <f t="shared" si="383"/>
        <v>0</v>
      </c>
      <c r="BC72" s="1014">
        <f t="shared" si="384"/>
        <v>0</v>
      </c>
      <c r="BD72" s="1014">
        <f t="shared" si="385"/>
        <v>0</v>
      </c>
      <c r="BE72" s="1014">
        <f t="shared" si="386"/>
        <v>0</v>
      </c>
      <c r="BF72" s="1014">
        <f t="shared" si="387"/>
        <v>0</v>
      </c>
      <c r="BG72" s="1025">
        <f t="shared" si="388"/>
        <v>0</v>
      </c>
      <c r="BH72" s="1014">
        <f t="shared" si="389"/>
        <v>0</v>
      </c>
      <c r="BI72" s="1014">
        <f t="shared" si="390"/>
        <v>0</v>
      </c>
      <c r="BJ72" s="1014">
        <f t="shared" si="391"/>
        <v>0</v>
      </c>
      <c r="BK72" s="1014">
        <f t="shared" si="392"/>
        <v>0</v>
      </c>
      <c r="BL72" s="1014">
        <f t="shared" si="393"/>
        <v>0</v>
      </c>
      <c r="BM72" s="1014">
        <f t="shared" si="394"/>
        <v>0</v>
      </c>
      <c r="BN72" s="1025">
        <f t="shared" si="395"/>
        <v>0</v>
      </c>
      <c r="BO72" s="1014">
        <f t="shared" si="396"/>
        <v>0</v>
      </c>
      <c r="BP72" s="1014">
        <f t="shared" si="397"/>
        <v>0</v>
      </c>
      <c r="BQ72" s="1014">
        <f t="shared" si="398"/>
        <v>0</v>
      </c>
      <c r="BR72" s="1014">
        <f t="shared" si="399"/>
        <v>0</v>
      </c>
      <c r="BS72" s="1014">
        <f t="shared" si="400"/>
        <v>0</v>
      </c>
      <c r="BT72" s="1025">
        <f t="shared" si="401"/>
        <v>0</v>
      </c>
      <c r="BU72" s="1014">
        <f t="shared" si="402"/>
        <v>0</v>
      </c>
      <c r="BV72" s="1014">
        <f t="shared" si="403"/>
        <v>0</v>
      </c>
      <c r="BW72" s="1014">
        <f t="shared" si="404"/>
        <v>0</v>
      </c>
      <c r="BX72" s="1014">
        <f t="shared" si="405"/>
        <v>0</v>
      </c>
      <c r="BY72" s="1014">
        <f t="shared" si="406"/>
        <v>0</v>
      </c>
      <c r="BZ72" s="1014">
        <f t="shared" si="407"/>
        <v>0</v>
      </c>
      <c r="CA72" s="1014">
        <f t="shared" si="408"/>
        <v>0</v>
      </c>
      <c r="CB72" s="1014">
        <f t="shared" si="409"/>
        <v>0</v>
      </c>
      <c r="CC72" s="1014">
        <f t="shared" si="410"/>
        <v>0</v>
      </c>
      <c r="CD72" s="1015">
        <f t="shared" si="411"/>
        <v>0</v>
      </c>
      <c r="CE72" s="1014">
        <f t="shared" si="412"/>
        <v>0</v>
      </c>
      <c r="CF72" s="1025">
        <f t="shared" si="413"/>
        <v>0</v>
      </c>
      <c r="CG72" s="1014">
        <f t="shared" si="414"/>
        <v>0</v>
      </c>
      <c r="CH72" s="1014">
        <f t="shared" si="415"/>
        <v>0</v>
      </c>
      <c r="CI72" s="1014">
        <f t="shared" si="416"/>
        <v>0</v>
      </c>
      <c r="CJ72" s="1014">
        <f t="shared" si="417"/>
        <v>0</v>
      </c>
      <c r="CK72" s="1014">
        <f t="shared" si="418"/>
        <v>0</v>
      </c>
      <c r="CL72" s="1014">
        <f t="shared" si="419"/>
        <v>0</v>
      </c>
      <c r="CM72" s="1014">
        <f t="shared" si="420"/>
        <v>0</v>
      </c>
      <c r="CN72" s="1015">
        <f t="shared" si="421"/>
        <v>0</v>
      </c>
      <c r="CO72" s="1014">
        <f t="shared" si="422"/>
        <v>0</v>
      </c>
      <c r="CP72" s="1025">
        <f t="shared" si="423"/>
        <v>0</v>
      </c>
      <c r="CQ72" s="1014">
        <f t="shared" si="424"/>
        <v>0</v>
      </c>
      <c r="CR72" s="1014">
        <f t="shared" si="425"/>
        <v>0</v>
      </c>
      <c r="CS72" s="1014">
        <f t="shared" si="426"/>
        <v>0</v>
      </c>
      <c r="CT72" s="1014">
        <f t="shared" si="427"/>
        <v>0</v>
      </c>
      <c r="CU72" s="1015">
        <f t="shared" si="428"/>
        <v>0</v>
      </c>
      <c r="CV72" s="1030">
        <f t="shared" si="429"/>
        <v>0</v>
      </c>
      <c r="CW72" s="1014">
        <f t="shared" si="430"/>
        <v>0</v>
      </c>
      <c r="CX72" s="1014">
        <f t="shared" si="431"/>
        <v>0</v>
      </c>
      <c r="CY72" s="1014">
        <f t="shared" si="432"/>
        <v>0</v>
      </c>
      <c r="CZ72" s="1014">
        <f t="shared" si="433"/>
        <v>0</v>
      </c>
      <c r="DA72" s="1014">
        <f t="shared" si="434"/>
        <v>0</v>
      </c>
      <c r="DB72" s="1014">
        <f t="shared" si="435"/>
        <v>0</v>
      </c>
      <c r="DC72" s="1014">
        <f t="shared" si="436"/>
        <v>0</v>
      </c>
      <c r="DD72" s="1014">
        <f t="shared" si="437"/>
        <v>0</v>
      </c>
      <c r="DE72" s="1015">
        <f t="shared" si="438"/>
        <v>0</v>
      </c>
      <c r="DF72" s="1014">
        <f t="shared" si="439"/>
        <v>0</v>
      </c>
      <c r="DG72" s="1014">
        <f t="shared" si="440"/>
        <v>0</v>
      </c>
      <c r="DH72" s="1012">
        <f t="shared" si="359"/>
        <v>0</v>
      </c>
      <c r="DI72" s="1014">
        <f t="shared" si="441"/>
        <v>0</v>
      </c>
      <c r="DJ72" s="1014">
        <f t="shared" si="442"/>
        <v>0</v>
      </c>
      <c r="DK72" s="1014">
        <f t="shared" si="443"/>
        <v>0</v>
      </c>
      <c r="DL72" s="1014">
        <f t="shared" si="444"/>
        <v>0</v>
      </c>
      <c r="DM72" s="1014">
        <f t="shared" si="445"/>
        <v>0</v>
      </c>
      <c r="DN72" s="1014">
        <f t="shared" si="446"/>
        <v>0</v>
      </c>
      <c r="DO72" s="1014">
        <f t="shared" si="447"/>
        <v>0</v>
      </c>
      <c r="DP72" s="1014">
        <f t="shared" si="448"/>
        <v>0</v>
      </c>
      <c r="DQ72" s="1020">
        <f t="shared" si="449"/>
        <v>0</v>
      </c>
      <c r="DR72" s="1014">
        <f t="shared" si="450"/>
        <v>0</v>
      </c>
      <c r="DS72" s="1014">
        <f t="shared" si="451"/>
        <v>0</v>
      </c>
      <c r="DT72" s="1025">
        <f t="shared" si="360"/>
        <v>0</v>
      </c>
    </row>
    <row r="73" spans="1:124" ht="13.5" customHeight="1" x14ac:dyDescent="0.2">
      <c r="A73" s="908" t="s">
        <v>292</v>
      </c>
      <c r="B73" s="908"/>
      <c r="C73" s="910">
        <f t="shared" si="347"/>
        <v>0</v>
      </c>
      <c r="D73" s="910">
        <f t="shared" si="348"/>
        <v>0</v>
      </c>
      <c r="E73" s="910">
        <f t="shared" si="349"/>
        <v>504000</v>
      </c>
      <c r="F73" s="910">
        <f t="shared" si="361"/>
        <v>0</v>
      </c>
      <c r="G73" s="910">
        <f t="shared" si="350"/>
        <v>0</v>
      </c>
      <c r="H73" s="910">
        <f t="shared" si="351"/>
        <v>0</v>
      </c>
      <c r="I73" s="910">
        <f t="shared" si="352"/>
        <v>0</v>
      </c>
      <c r="J73" s="910">
        <f t="shared" si="362"/>
        <v>0</v>
      </c>
      <c r="K73" s="910">
        <f t="shared" si="363"/>
        <v>0</v>
      </c>
      <c r="L73" s="910">
        <f t="shared" si="364"/>
        <v>0</v>
      </c>
      <c r="M73" s="910">
        <f t="shared" si="353"/>
        <v>0</v>
      </c>
      <c r="N73" s="910">
        <f t="shared" si="354"/>
        <v>0</v>
      </c>
      <c r="O73" s="910">
        <f t="shared" si="355"/>
        <v>102991.94324999998</v>
      </c>
      <c r="P73" s="910">
        <f t="shared" si="365"/>
        <v>0</v>
      </c>
      <c r="Q73" s="910">
        <f t="shared" si="356"/>
        <v>0</v>
      </c>
      <c r="R73" s="910">
        <f t="shared" si="357"/>
        <v>0</v>
      </c>
      <c r="S73" s="910">
        <f t="shared" si="358"/>
        <v>606991.94325000001</v>
      </c>
      <c r="T73" s="1037">
        <f t="shared" si="366"/>
        <v>455791.94325000001</v>
      </c>
      <c r="U73" s="1034">
        <f t="shared" si="452"/>
        <v>0</v>
      </c>
      <c r="V73" s="1034">
        <f t="shared" si="453"/>
        <v>0</v>
      </c>
      <c r="W73" s="1034">
        <f t="shared" si="454"/>
        <v>0</v>
      </c>
      <c r="X73" s="1034">
        <f t="shared" si="455"/>
        <v>0</v>
      </c>
      <c r="Y73" s="1034">
        <f t="shared" si="456"/>
        <v>0</v>
      </c>
      <c r="Z73" s="1034">
        <f t="shared" si="457"/>
        <v>0</v>
      </c>
      <c r="AA73" s="1034">
        <f t="shared" si="458"/>
        <v>0</v>
      </c>
      <c r="AB73" s="1034">
        <f t="shared" si="459"/>
        <v>0</v>
      </c>
      <c r="AC73" s="1034">
        <f t="shared" si="460"/>
        <v>0</v>
      </c>
      <c r="AD73" s="1034">
        <f t="shared" si="461"/>
        <v>0</v>
      </c>
      <c r="AE73" s="1034">
        <f t="shared" si="462"/>
        <v>0</v>
      </c>
      <c r="AF73" s="1034">
        <f t="shared" si="463"/>
        <v>0</v>
      </c>
      <c r="AG73" s="1034">
        <f t="shared" si="464"/>
        <v>151200</v>
      </c>
      <c r="AH73" s="1041">
        <f t="shared" si="465"/>
        <v>0.24909721073138807</v>
      </c>
      <c r="AI73" s="1014">
        <f t="shared" si="367"/>
        <v>0</v>
      </c>
      <c r="AJ73" s="1025">
        <f t="shared" si="466"/>
        <v>0</v>
      </c>
      <c r="AK73" s="1014">
        <f t="shared" si="368"/>
        <v>0</v>
      </c>
      <c r="AL73" s="1025">
        <f t="shared" si="467"/>
        <v>0</v>
      </c>
      <c r="AM73" s="1014">
        <f t="shared" si="369"/>
        <v>0</v>
      </c>
      <c r="AN73" s="1025">
        <f t="shared" si="468"/>
        <v>0</v>
      </c>
      <c r="AO73" s="1014">
        <f t="shared" si="370"/>
        <v>0</v>
      </c>
      <c r="AP73" s="1014">
        <f t="shared" si="371"/>
        <v>0</v>
      </c>
      <c r="AQ73" s="1014">
        <f t="shared" si="372"/>
        <v>0</v>
      </c>
      <c r="AR73" s="1015">
        <f t="shared" si="373"/>
        <v>0</v>
      </c>
      <c r="AS73" s="1025">
        <f t="shared" si="374"/>
        <v>0</v>
      </c>
      <c r="AT73" s="1014">
        <f t="shared" si="375"/>
        <v>0</v>
      </c>
      <c r="AU73" s="1014">
        <f t="shared" si="376"/>
        <v>0</v>
      </c>
      <c r="AV73" s="1014">
        <f t="shared" si="377"/>
        <v>0</v>
      </c>
      <c r="AW73" s="1014">
        <f t="shared" si="378"/>
        <v>0</v>
      </c>
      <c r="AX73" s="1014">
        <f t="shared" si="379"/>
        <v>0</v>
      </c>
      <c r="AY73" s="1014">
        <f t="shared" si="380"/>
        <v>0</v>
      </c>
      <c r="AZ73" s="1025">
        <f t="shared" si="381"/>
        <v>0</v>
      </c>
      <c r="BA73" s="1014">
        <f t="shared" si="382"/>
        <v>0</v>
      </c>
      <c r="BB73" s="1014">
        <f t="shared" si="383"/>
        <v>0</v>
      </c>
      <c r="BC73" s="1014">
        <f t="shared" si="384"/>
        <v>0</v>
      </c>
      <c r="BD73" s="1014">
        <f t="shared" si="385"/>
        <v>0</v>
      </c>
      <c r="BE73" s="1014">
        <f t="shared" si="386"/>
        <v>0</v>
      </c>
      <c r="BF73" s="1014">
        <f t="shared" si="387"/>
        <v>0</v>
      </c>
      <c r="BG73" s="1025">
        <f t="shared" si="388"/>
        <v>0</v>
      </c>
      <c r="BH73" s="1014">
        <f t="shared" si="389"/>
        <v>0</v>
      </c>
      <c r="BI73" s="1014">
        <f t="shared" si="390"/>
        <v>0</v>
      </c>
      <c r="BJ73" s="1014">
        <f t="shared" si="391"/>
        <v>0</v>
      </c>
      <c r="BK73" s="1014">
        <f t="shared" si="392"/>
        <v>0</v>
      </c>
      <c r="BL73" s="1014">
        <f t="shared" si="393"/>
        <v>0</v>
      </c>
      <c r="BM73" s="1014">
        <f t="shared" si="394"/>
        <v>0</v>
      </c>
      <c r="BN73" s="1025">
        <f t="shared" si="395"/>
        <v>0</v>
      </c>
      <c r="BO73" s="1014">
        <f t="shared" si="396"/>
        <v>0</v>
      </c>
      <c r="BP73" s="1014">
        <f t="shared" si="397"/>
        <v>0</v>
      </c>
      <c r="BQ73" s="1014">
        <f t="shared" si="398"/>
        <v>0</v>
      </c>
      <c r="BR73" s="1014">
        <f t="shared" si="399"/>
        <v>0</v>
      </c>
      <c r="BS73" s="1014">
        <f t="shared" si="400"/>
        <v>0</v>
      </c>
      <c r="BT73" s="1025">
        <f t="shared" si="401"/>
        <v>0</v>
      </c>
      <c r="BU73" s="1014">
        <f t="shared" si="402"/>
        <v>0</v>
      </c>
      <c r="BV73" s="1014">
        <f t="shared" si="403"/>
        <v>0</v>
      </c>
      <c r="BW73" s="1014">
        <f t="shared" si="404"/>
        <v>0</v>
      </c>
      <c r="BX73" s="1014">
        <f t="shared" si="405"/>
        <v>0</v>
      </c>
      <c r="BY73" s="1014">
        <f t="shared" si="406"/>
        <v>0</v>
      </c>
      <c r="BZ73" s="1014">
        <f t="shared" si="407"/>
        <v>0</v>
      </c>
      <c r="CA73" s="1014">
        <f t="shared" si="408"/>
        <v>0</v>
      </c>
      <c r="CB73" s="1014">
        <f t="shared" si="409"/>
        <v>0</v>
      </c>
      <c r="CC73" s="1014">
        <f t="shared" si="410"/>
        <v>0</v>
      </c>
      <c r="CD73" s="1015">
        <f t="shared" si="411"/>
        <v>0</v>
      </c>
      <c r="CE73" s="1014">
        <f t="shared" si="412"/>
        <v>0</v>
      </c>
      <c r="CF73" s="1025">
        <f t="shared" si="413"/>
        <v>0</v>
      </c>
      <c r="CG73" s="1014">
        <f t="shared" si="414"/>
        <v>0</v>
      </c>
      <c r="CH73" s="1014">
        <f t="shared" si="415"/>
        <v>0</v>
      </c>
      <c r="CI73" s="1014">
        <f t="shared" si="416"/>
        <v>0</v>
      </c>
      <c r="CJ73" s="1014">
        <f t="shared" si="417"/>
        <v>0</v>
      </c>
      <c r="CK73" s="1014">
        <f t="shared" si="418"/>
        <v>0</v>
      </c>
      <c r="CL73" s="1014">
        <f t="shared" si="419"/>
        <v>0</v>
      </c>
      <c r="CM73" s="1014">
        <f t="shared" si="420"/>
        <v>0</v>
      </c>
      <c r="CN73" s="1015">
        <f t="shared" si="421"/>
        <v>0</v>
      </c>
      <c r="CO73" s="1014">
        <f t="shared" si="422"/>
        <v>0</v>
      </c>
      <c r="CP73" s="1025">
        <f t="shared" si="423"/>
        <v>0</v>
      </c>
      <c r="CQ73" s="1014">
        <f t="shared" si="424"/>
        <v>0</v>
      </c>
      <c r="CR73" s="1014">
        <f t="shared" si="425"/>
        <v>0</v>
      </c>
      <c r="CS73" s="1014">
        <f t="shared" si="426"/>
        <v>0</v>
      </c>
      <c r="CT73" s="1014">
        <f t="shared" si="427"/>
        <v>0</v>
      </c>
      <c r="CU73" s="1015">
        <f t="shared" si="428"/>
        <v>0</v>
      </c>
      <c r="CV73" s="1030">
        <f t="shared" si="429"/>
        <v>0</v>
      </c>
      <c r="CW73" s="1014">
        <f t="shared" si="430"/>
        <v>0</v>
      </c>
      <c r="CX73" s="1014">
        <f t="shared" si="431"/>
        <v>0</v>
      </c>
      <c r="CY73" s="1014">
        <f t="shared" si="432"/>
        <v>0</v>
      </c>
      <c r="CZ73" s="1014">
        <f t="shared" si="433"/>
        <v>0</v>
      </c>
      <c r="DA73" s="1014">
        <f t="shared" si="434"/>
        <v>0</v>
      </c>
      <c r="DB73" s="1014">
        <f t="shared" si="435"/>
        <v>0</v>
      </c>
      <c r="DC73" s="1014">
        <f t="shared" si="436"/>
        <v>0</v>
      </c>
      <c r="DD73" s="1014">
        <f t="shared" si="437"/>
        <v>0</v>
      </c>
      <c r="DE73" s="1015">
        <f t="shared" si="438"/>
        <v>0</v>
      </c>
      <c r="DF73" s="1014">
        <f t="shared" si="439"/>
        <v>0</v>
      </c>
      <c r="DG73" s="1014">
        <f t="shared" si="440"/>
        <v>0</v>
      </c>
      <c r="DH73" s="1012">
        <f t="shared" si="359"/>
        <v>0</v>
      </c>
      <c r="DI73" s="1014">
        <f t="shared" si="441"/>
        <v>0</v>
      </c>
      <c r="DJ73" s="1014">
        <f t="shared" si="442"/>
        <v>0</v>
      </c>
      <c r="DK73" s="1014">
        <f t="shared" si="443"/>
        <v>151200</v>
      </c>
      <c r="DL73" s="1014">
        <f t="shared" si="444"/>
        <v>0</v>
      </c>
      <c r="DM73" s="1014">
        <f t="shared" si="445"/>
        <v>0</v>
      </c>
      <c r="DN73" s="1014">
        <f t="shared" si="446"/>
        <v>0</v>
      </c>
      <c r="DO73" s="1014">
        <f t="shared" si="447"/>
        <v>0</v>
      </c>
      <c r="DP73" s="1014">
        <f t="shared" si="448"/>
        <v>0</v>
      </c>
      <c r="DQ73" s="1020">
        <f t="shared" si="449"/>
        <v>0</v>
      </c>
      <c r="DR73" s="1014">
        <f t="shared" si="450"/>
        <v>0</v>
      </c>
      <c r="DS73" s="1014">
        <f t="shared" si="451"/>
        <v>0</v>
      </c>
      <c r="DT73" s="1025">
        <f t="shared" si="360"/>
        <v>151200</v>
      </c>
    </row>
    <row r="74" spans="1:124" ht="13.5" customHeight="1" x14ac:dyDescent="0.2">
      <c r="A74" s="908" t="s">
        <v>258</v>
      </c>
      <c r="B74" s="908"/>
      <c r="C74" s="910">
        <f t="shared" si="347"/>
        <v>0</v>
      </c>
      <c r="D74" s="910">
        <f t="shared" si="348"/>
        <v>0</v>
      </c>
      <c r="E74" s="910">
        <f t="shared" si="349"/>
        <v>945000</v>
      </c>
      <c r="F74" s="910">
        <f t="shared" si="361"/>
        <v>0</v>
      </c>
      <c r="G74" s="910">
        <f t="shared" si="350"/>
        <v>0</v>
      </c>
      <c r="H74" s="910">
        <f t="shared" si="351"/>
        <v>0</v>
      </c>
      <c r="I74" s="910">
        <f t="shared" si="352"/>
        <v>0</v>
      </c>
      <c r="J74" s="910">
        <f t="shared" si="362"/>
        <v>0</v>
      </c>
      <c r="K74" s="910">
        <f t="shared" si="363"/>
        <v>0</v>
      </c>
      <c r="L74" s="910">
        <f t="shared" si="364"/>
        <v>0</v>
      </c>
      <c r="M74" s="910">
        <f t="shared" si="353"/>
        <v>0</v>
      </c>
      <c r="N74" s="910">
        <f t="shared" si="354"/>
        <v>0</v>
      </c>
      <c r="O74" s="910">
        <f t="shared" si="355"/>
        <v>173939.71350000001</v>
      </c>
      <c r="P74" s="910">
        <f t="shared" si="365"/>
        <v>0</v>
      </c>
      <c r="Q74" s="910">
        <f t="shared" si="356"/>
        <v>0</v>
      </c>
      <c r="R74" s="910">
        <f t="shared" si="357"/>
        <v>0</v>
      </c>
      <c r="S74" s="910">
        <f t="shared" si="358"/>
        <v>1118939.7135000001</v>
      </c>
      <c r="T74" s="1037">
        <f t="shared" si="366"/>
        <v>474544.21350000007</v>
      </c>
      <c r="U74" s="1034">
        <f t="shared" si="452"/>
        <v>0</v>
      </c>
      <c r="V74" s="1034">
        <f t="shared" si="453"/>
        <v>0</v>
      </c>
      <c r="W74" s="1034">
        <f t="shared" si="454"/>
        <v>0</v>
      </c>
      <c r="X74" s="1034">
        <f t="shared" si="455"/>
        <v>0</v>
      </c>
      <c r="Y74" s="1034">
        <f t="shared" si="456"/>
        <v>0</v>
      </c>
      <c r="Z74" s="1034">
        <f t="shared" si="457"/>
        <v>0</v>
      </c>
      <c r="AA74" s="1034">
        <f t="shared" si="458"/>
        <v>0</v>
      </c>
      <c r="AB74" s="1034">
        <f t="shared" si="459"/>
        <v>0</v>
      </c>
      <c r="AC74" s="1034">
        <f t="shared" si="460"/>
        <v>0</v>
      </c>
      <c r="AD74" s="1034">
        <f t="shared" si="461"/>
        <v>0</v>
      </c>
      <c r="AE74" s="1034">
        <f t="shared" si="462"/>
        <v>0</v>
      </c>
      <c r="AF74" s="1034">
        <f t="shared" si="463"/>
        <v>333112.5</v>
      </c>
      <c r="AG74" s="1034">
        <f t="shared" si="464"/>
        <v>644395.5</v>
      </c>
      <c r="AH74" s="1041">
        <f t="shared" si="465"/>
        <v>0.57589831894012933</v>
      </c>
      <c r="AI74" s="1014">
        <f t="shared" si="367"/>
        <v>0</v>
      </c>
      <c r="AJ74" s="1025">
        <f t="shared" si="466"/>
        <v>0</v>
      </c>
      <c r="AK74" s="1014">
        <f t="shared" si="368"/>
        <v>0</v>
      </c>
      <c r="AL74" s="1025">
        <f t="shared" si="467"/>
        <v>0</v>
      </c>
      <c r="AM74" s="1014">
        <f t="shared" si="369"/>
        <v>0</v>
      </c>
      <c r="AN74" s="1025">
        <f t="shared" si="468"/>
        <v>0</v>
      </c>
      <c r="AO74" s="1014">
        <f t="shared" si="370"/>
        <v>0</v>
      </c>
      <c r="AP74" s="1014">
        <f t="shared" si="371"/>
        <v>0</v>
      </c>
      <c r="AQ74" s="1014">
        <f t="shared" si="372"/>
        <v>0</v>
      </c>
      <c r="AR74" s="1015">
        <f t="shared" si="373"/>
        <v>0</v>
      </c>
      <c r="AS74" s="1025">
        <f t="shared" si="374"/>
        <v>0</v>
      </c>
      <c r="AT74" s="1014">
        <f t="shared" si="375"/>
        <v>0</v>
      </c>
      <c r="AU74" s="1014">
        <f t="shared" si="376"/>
        <v>0</v>
      </c>
      <c r="AV74" s="1014">
        <f t="shared" si="377"/>
        <v>0</v>
      </c>
      <c r="AW74" s="1014">
        <f t="shared" si="378"/>
        <v>0</v>
      </c>
      <c r="AX74" s="1014">
        <f t="shared" si="379"/>
        <v>0</v>
      </c>
      <c r="AY74" s="1014">
        <f t="shared" si="380"/>
        <v>0</v>
      </c>
      <c r="AZ74" s="1025">
        <f t="shared" si="381"/>
        <v>0</v>
      </c>
      <c r="BA74" s="1014">
        <f t="shared" si="382"/>
        <v>0</v>
      </c>
      <c r="BB74" s="1014">
        <f t="shared" si="383"/>
        <v>0</v>
      </c>
      <c r="BC74" s="1014">
        <f t="shared" si="384"/>
        <v>0</v>
      </c>
      <c r="BD74" s="1014">
        <f t="shared" si="385"/>
        <v>0</v>
      </c>
      <c r="BE74" s="1014">
        <f t="shared" si="386"/>
        <v>0</v>
      </c>
      <c r="BF74" s="1014">
        <f t="shared" si="387"/>
        <v>0</v>
      </c>
      <c r="BG74" s="1025">
        <f t="shared" si="388"/>
        <v>0</v>
      </c>
      <c r="BH74" s="1014">
        <f t="shared" si="389"/>
        <v>0</v>
      </c>
      <c r="BI74" s="1014">
        <f t="shared" si="390"/>
        <v>0</v>
      </c>
      <c r="BJ74" s="1014">
        <f t="shared" si="391"/>
        <v>0</v>
      </c>
      <c r="BK74" s="1014">
        <f t="shared" si="392"/>
        <v>0</v>
      </c>
      <c r="BL74" s="1014">
        <f t="shared" si="393"/>
        <v>0</v>
      </c>
      <c r="BM74" s="1014">
        <f t="shared" si="394"/>
        <v>0</v>
      </c>
      <c r="BN74" s="1025">
        <f t="shared" si="395"/>
        <v>0</v>
      </c>
      <c r="BO74" s="1014">
        <f t="shared" si="396"/>
        <v>0</v>
      </c>
      <c r="BP74" s="1014">
        <f t="shared" si="397"/>
        <v>0</v>
      </c>
      <c r="BQ74" s="1014">
        <f t="shared" si="398"/>
        <v>0</v>
      </c>
      <c r="BR74" s="1014">
        <f t="shared" si="399"/>
        <v>0</v>
      </c>
      <c r="BS74" s="1014">
        <f t="shared" si="400"/>
        <v>0</v>
      </c>
      <c r="BT74" s="1025">
        <f t="shared" si="401"/>
        <v>0</v>
      </c>
      <c r="BU74" s="1014">
        <f t="shared" si="402"/>
        <v>0</v>
      </c>
      <c r="BV74" s="1014">
        <f t="shared" si="403"/>
        <v>0</v>
      </c>
      <c r="BW74" s="1014">
        <f t="shared" si="404"/>
        <v>0</v>
      </c>
      <c r="BX74" s="1014">
        <f t="shared" si="405"/>
        <v>0</v>
      </c>
      <c r="BY74" s="1014">
        <f t="shared" si="406"/>
        <v>0</v>
      </c>
      <c r="BZ74" s="1014">
        <f t="shared" si="407"/>
        <v>0</v>
      </c>
      <c r="CA74" s="1014">
        <f t="shared" si="408"/>
        <v>0</v>
      </c>
      <c r="CB74" s="1014">
        <f t="shared" si="409"/>
        <v>0</v>
      </c>
      <c r="CC74" s="1014">
        <f t="shared" si="410"/>
        <v>0</v>
      </c>
      <c r="CD74" s="1015">
        <f t="shared" si="411"/>
        <v>0</v>
      </c>
      <c r="CE74" s="1014">
        <f t="shared" si="412"/>
        <v>0</v>
      </c>
      <c r="CF74" s="1025">
        <f t="shared" si="413"/>
        <v>0</v>
      </c>
      <c r="CG74" s="1014">
        <f t="shared" si="414"/>
        <v>0</v>
      </c>
      <c r="CH74" s="1014">
        <f t="shared" si="415"/>
        <v>0</v>
      </c>
      <c r="CI74" s="1014">
        <f t="shared" si="416"/>
        <v>0</v>
      </c>
      <c r="CJ74" s="1014">
        <f t="shared" si="417"/>
        <v>0</v>
      </c>
      <c r="CK74" s="1014">
        <f t="shared" si="418"/>
        <v>0</v>
      </c>
      <c r="CL74" s="1014">
        <f t="shared" si="419"/>
        <v>0</v>
      </c>
      <c r="CM74" s="1014">
        <f t="shared" si="420"/>
        <v>0</v>
      </c>
      <c r="CN74" s="1015">
        <f t="shared" si="421"/>
        <v>0</v>
      </c>
      <c r="CO74" s="1014">
        <f t="shared" si="422"/>
        <v>0</v>
      </c>
      <c r="CP74" s="1025">
        <f t="shared" si="423"/>
        <v>0</v>
      </c>
      <c r="CQ74" s="1014">
        <f t="shared" si="424"/>
        <v>0</v>
      </c>
      <c r="CR74" s="1014">
        <f t="shared" si="425"/>
        <v>0</v>
      </c>
      <c r="CS74" s="1014">
        <f t="shared" si="426"/>
        <v>0</v>
      </c>
      <c r="CT74" s="1014">
        <f t="shared" si="427"/>
        <v>0</v>
      </c>
      <c r="CU74" s="1015">
        <f t="shared" si="428"/>
        <v>0</v>
      </c>
      <c r="CV74" s="1030">
        <f t="shared" si="429"/>
        <v>0</v>
      </c>
      <c r="CW74" s="1014">
        <f t="shared" si="430"/>
        <v>0</v>
      </c>
      <c r="CX74" s="1014">
        <f t="shared" si="431"/>
        <v>0</v>
      </c>
      <c r="CY74" s="1014">
        <f t="shared" si="432"/>
        <v>333112.5</v>
      </c>
      <c r="CZ74" s="1014">
        <f t="shared" si="433"/>
        <v>0</v>
      </c>
      <c r="DA74" s="1014">
        <f t="shared" si="434"/>
        <v>0</v>
      </c>
      <c r="DB74" s="1014">
        <f t="shared" si="435"/>
        <v>0</v>
      </c>
      <c r="DC74" s="1014">
        <f t="shared" si="436"/>
        <v>0</v>
      </c>
      <c r="DD74" s="1014">
        <f t="shared" si="437"/>
        <v>0</v>
      </c>
      <c r="DE74" s="1015">
        <f t="shared" si="438"/>
        <v>0</v>
      </c>
      <c r="DF74" s="1014">
        <f t="shared" si="439"/>
        <v>0</v>
      </c>
      <c r="DG74" s="1014">
        <f t="shared" si="440"/>
        <v>0</v>
      </c>
      <c r="DH74" s="1012">
        <f t="shared" si="359"/>
        <v>333112.5</v>
      </c>
      <c r="DI74" s="1014">
        <f t="shared" si="441"/>
        <v>0</v>
      </c>
      <c r="DJ74" s="1014">
        <f t="shared" si="442"/>
        <v>0</v>
      </c>
      <c r="DK74" s="1014">
        <f t="shared" si="443"/>
        <v>311283</v>
      </c>
      <c r="DL74" s="1014">
        <f t="shared" si="444"/>
        <v>0</v>
      </c>
      <c r="DM74" s="1014">
        <f t="shared" si="445"/>
        <v>0</v>
      </c>
      <c r="DN74" s="1014">
        <f t="shared" si="446"/>
        <v>0</v>
      </c>
      <c r="DO74" s="1014">
        <f t="shared" si="447"/>
        <v>0</v>
      </c>
      <c r="DP74" s="1014">
        <f t="shared" si="448"/>
        <v>0</v>
      </c>
      <c r="DQ74" s="1020">
        <f t="shared" si="449"/>
        <v>0</v>
      </c>
      <c r="DR74" s="1014">
        <f t="shared" si="450"/>
        <v>0</v>
      </c>
      <c r="DS74" s="1014">
        <f t="shared" si="451"/>
        <v>0</v>
      </c>
      <c r="DT74" s="1025">
        <f t="shared" si="360"/>
        <v>311283</v>
      </c>
    </row>
    <row r="75" spans="1:124" ht="13.5" customHeight="1" x14ac:dyDescent="0.2">
      <c r="A75" s="908" t="s">
        <v>242</v>
      </c>
      <c r="B75" s="908"/>
      <c r="C75" s="910">
        <f t="shared" si="347"/>
        <v>560000</v>
      </c>
      <c r="D75" s="910">
        <f t="shared" si="348"/>
        <v>0</v>
      </c>
      <c r="E75" s="910">
        <f t="shared" si="349"/>
        <v>656000</v>
      </c>
      <c r="F75" s="910">
        <f t="shared" si="361"/>
        <v>0</v>
      </c>
      <c r="G75" s="910">
        <f t="shared" si="350"/>
        <v>0</v>
      </c>
      <c r="H75" s="910">
        <f t="shared" si="351"/>
        <v>0</v>
      </c>
      <c r="I75" s="910">
        <f t="shared" si="352"/>
        <v>0</v>
      </c>
      <c r="J75" s="910">
        <f t="shared" si="362"/>
        <v>0</v>
      </c>
      <c r="K75" s="910">
        <f t="shared" si="363"/>
        <v>0</v>
      </c>
      <c r="L75" s="910">
        <f t="shared" si="364"/>
        <v>0</v>
      </c>
      <c r="M75" s="910">
        <f t="shared" si="353"/>
        <v>0</v>
      </c>
      <c r="N75" s="910">
        <f t="shared" si="354"/>
        <v>92043.64</v>
      </c>
      <c r="O75" s="910">
        <f t="shared" si="355"/>
        <v>74691.399999999994</v>
      </c>
      <c r="P75" s="910">
        <f t="shared" si="365"/>
        <v>0</v>
      </c>
      <c r="Q75" s="910">
        <f t="shared" si="356"/>
        <v>0</v>
      </c>
      <c r="R75" s="910">
        <f t="shared" si="357"/>
        <v>0</v>
      </c>
      <c r="S75" s="910">
        <f t="shared" si="358"/>
        <v>1382735.0399999998</v>
      </c>
      <c r="T75" s="1037">
        <f t="shared" si="366"/>
        <v>767161.6599999998</v>
      </c>
      <c r="U75" s="1034">
        <f t="shared" si="452"/>
        <v>0</v>
      </c>
      <c r="V75" s="1034">
        <f t="shared" si="453"/>
        <v>0</v>
      </c>
      <c r="W75" s="1034">
        <f t="shared" si="454"/>
        <v>0</v>
      </c>
      <c r="X75" s="1034">
        <f t="shared" si="455"/>
        <v>0</v>
      </c>
      <c r="Y75" s="1034">
        <f t="shared" si="456"/>
        <v>0</v>
      </c>
      <c r="Z75" s="1034">
        <f t="shared" si="457"/>
        <v>0</v>
      </c>
      <c r="AA75" s="1034">
        <f t="shared" si="458"/>
        <v>0</v>
      </c>
      <c r="AB75" s="1034">
        <f t="shared" si="459"/>
        <v>0</v>
      </c>
      <c r="AC75" s="1034">
        <f t="shared" si="460"/>
        <v>0</v>
      </c>
      <c r="AD75" s="1034">
        <f t="shared" si="461"/>
        <v>0</v>
      </c>
      <c r="AE75" s="1034">
        <f t="shared" si="462"/>
        <v>0</v>
      </c>
      <c r="AF75" s="1034">
        <f t="shared" si="463"/>
        <v>513565.38</v>
      </c>
      <c r="AG75" s="1034">
        <f t="shared" si="464"/>
        <v>615573.38</v>
      </c>
      <c r="AH75" s="1041">
        <f t="shared" si="465"/>
        <v>0.44518534801866316</v>
      </c>
      <c r="AI75" s="1014">
        <f t="shared" si="367"/>
        <v>0</v>
      </c>
      <c r="AJ75" s="1025">
        <f t="shared" si="466"/>
        <v>0</v>
      </c>
      <c r="AK75" s="1014">
        <f t="shared" si="368"/>
        <v>0</v>
      </c>
      <c r="AL75" s="1025">
        <f t="shared" si="467"/>
        <v>0</v>
      </c>
      <c r="AM75" s="1014">
        <f t="shared" si="369"/>
        <v>0</v>
      </c>
      <c r="AN75" s="1025">
        <f t="shared" si="468"/>
        <v>0</v>
      </c>
      <c r="AO75" s="1014">
        <f t="shared" si="370"/>
        <v>0</v>
      </c>
      <c r="AP75" s="1014">
        <f t="shared" si="371"/>
        <v>0</v>
      </c>
      <c r="AQ75" s="1014">
        <f t="shared" si="372"/>
        <v>0</v>
      </c>
      <c r="AR75" s="1015">
        <f t="shared" si="373"/>
        <v>0</v>
      </c>
      <c r="AS75" s="1025">
        <f t="shared" si="374"/>
        <v>0</v>
      </c>
      <c r="AT75" s="1014">
        <f t="shared" si="375"/>
        <v>0</v>
      </c>
      <c r="AU75" s="1014">
        <f t="shared" si="376"/>
        <v>0</v>
      </c>
      <c r="AV75" s="1014">
        <f t="shared" si="377"/>
        <v>0</v>
      </c>
      <c r="AW75" s="1014">
        <f t="shared" si="378"/>
        <v>0</v>
      </c>
      <c r="AX75" s="1014">
        <f t="shared" si="379"/>
        <v>0</v>
      </c>
      <c r="AY75" s="1014">
        <f t="shared" si="380"/>
        <v>0</v>
      </c>
      <c r="AZ75" s="1025">
        <f t="shared" si="381"/>
        <v>0</v>
      </c>
      <c r="BA75" s="1014">
        <f t="shared" si="382"/>
        <v>0</v>
      </c>
      <c r="BB75" s="1014">
        <f t="shared" si="383"/>
        <v>0</v>
      </c>
      <c r="BC75" s="1014">
        <f t="shared" si="384"/>
        <v>0</v>
      </c>
      <c r="BD75" s="1014">
        <f t="shared" si="385"/>
        <v>0</v>
      </c>
      <c r="BE75" s="1014">
        <f t="shared" si="386"/>
        <v>0</v>
      </c>
      <c r="BF75" s="1014">
        <f t="shared" si="387"/>
        <v>0</v>
      </c>
      <c r="BG75" s="1025">
        <f t="shared" si="388"/>
        <v>0</v>
      </c>
      <c r="BH75" s="1014">
        <f t="shared" si="389"/>
        <v>0</v>
      </c>
      <c r="BI75" s="1014">
        <f t="shared" si="390"/>
        <v>0</v>
      </c>
      <c r="BJ75" s="1014">
        <f t="shared" si="391"/>
        <v>0</v>
      </c>
      <c r="BK75" s="1014">
        <f t="shared" si="392"/>
        <v>0</v>
      </c>
      <c r="BL75" s="1014">
        <f t="shared" si="393"/>
        <v>0</v>
      </c>
      <c r="BM75" s="1014">
        <f t="shared" si="394"/>
        <v>0</v>
      </c>
      <c r="BN75" s="1025">
        <f t="shared" si="395"/>
        <v>0</v>
      </c>
      <c r="BO75" s="1014">
        <f t="shared" si="396"/>
        <v>0</v>
      </c>
      <c r="BP75" s="1014">
        <f t="shared" si="397"/>
        <v>0</v>
      </c>
      <c r="BQ75" s="1014">
        <f t="shared" si="398"/>
        <v>0</v>
      </c>
      <c r="BR75" s="1014">
        <f t="shared" si="399"/>
        <v>0</v>
      </c>
      <c r="BS75" s="1014">
        <f t="shared" si="400"/>
        <v>0</v>
      </c>
      <c r="BT75" s="1025">
        <f t="shared" si="401"/>
        <v>0</v>
      </c>
      <c r="BU75" s="1014">
        <f t="shared" si="402"/>
        <v>0</v>
      </c>
      <c r="BV75" s="1014">
        <f t="shared" si="403"/>
        <v>0</v>
      </c>
      <c r="BW75" s="1014">
        <f t="shared" si="404"/>
        <v>0</v>
      </c>
      <c r="BX75" s="1014">
        <f t="shared" si="405"/>
        <v>0</v>
      </c>
      <c r="BY75" s="1014">
        <f t="shared" si="406"/>
        <v>0</v>
      </c>
      <c r="BZ75" s="1014">
        <f t="shared" si="407"/>
        <v>0</v>
      </c>
      <c r="CA75" s="1014">
        <f t="shared" si="408"/>
        <v>0</v>
      </c>
      <c r="CB75" s="1014">
        <f t="shared" si="409"/>
        <v>0</v>
      </c>
      <c r="CC75" s="1014">
        <f t="shared" si="410"/>
        <v>0</v>
      </c>
      <c r="CD75" s="1015">
        <f t="shared" si="411"/>
        <v>0</v>
      </c>
      <c r="CE75" s="1014">
        <f t="shared" si="412"/>
        <v>0</v>
      </c>
      <c r="CF75" s="1025">
        <f t="shared" si="413"/>
        <v>0</v>
      </c>
      <c r="CG75" s="1014">
        <f t="shared" si="414"/>
        <v>0</v>
      </c>
      <c r="CH75" s="1014">
        <f t="shared" si="415"/>
        <v>0</v>
      </c>
      <c r="CI75" s="1014">
        <f t="shared" si="416"/>
        <v>0</v>
      </c>
      <c r="CJ75" s="1014">
        <f t="shared" si="417"/>
        <v>0</v>
      </c>
      <c r="CK75" s="1014">
        <f t="shared" si="418"/>
        <v>0</v>
      </c>
      <c r="CL75" s="1014">
        <f t="shared" si="419"/>
        <v>0</v>
      </c>
      <c r="CM75" s="1014">
        <f t="shared" si="420"/>
        <v>0</v>
      </c>
      <c r="CN75" s="1015">
        <f t="shared" si="421"/>
        <v>0</v>
      </c>
      <c r="CO75" s="1014">
        <f t="shared" si="422"/>
        <v>0</v>
      </c>
      <c r="CP75" s="1025">
        <f t="shared" si="423"/>
        <v>0</v>
      </c>
      <c r="CQ75" s="1014">
        <f t="shared" si="424"/>
        <v>0</v>
      </c>
      <c r="CR75" s="1014">
        <f t="shared" si="425"/>
        <v>0</v>
      </c>
      <c r="CS75" s="1014">
        <f t="shared" si="426"/>
        <v>0</v>
      </c>
      <c r="CT75" s="1014">
        <f t="shared" si="427"/>
        <v>0</v>
      </c>
      <c r="CU75" s="1015">
        <f t="shared" si="428"/>
        <v>0</v>
      </c>
      <c r="CV75" s="1030">
        <f t="shared" si="429"/>
        <v>0</v>
      </c>
      <c r="CW75" s="1014">
        <f t="shared" si="430"/>
        <v>270744.06</v>
      </c>
      <c r="CX75" s="1014">
        <f t="shared" si="431"/>
        <v>0</v>
      </c>
      <c r="CY75" s="1014">
        <f t="shared" si="432"/>
        <v>196800</v>
      </c>
      <c r="CZ75" s="1014">
        <f t="shared" si="433"/>
        <v>0</v>
      </c>
      <c r="DA75" s="1014">
        <f t="shared" si="434"/>
        <v>0</v>
      </c>
      <c r="DB75" s="1014">
        <f t="shared" si="435"/>
        <v>0</v>
      </c>
      <c r="DC75" s="1014">
        <f t="shared" si="436"/>
        <v>0</v>
      </c>
      <c r="DD75" s="1014">
        <f t="shared" si="437"/>
        <v>46021.32</v>
      </c>
      <c r="DE75" s="1015">
        <f t="shared" si="438"/>
        <v>0</v>
      </c>
      <c r="DF75" s="1014">
        <f t="shared" si="439"/>
        <v>0</v>
      </c>
      <c r="DG75" s="1014">
        <f t="shared" si="440"/>
        <v>0</v>
      </c>
      <c r="DH75" s="1012">
        <f t="shared" si="359"/>
        <v>513565.38</v>
      </c>
      <c r="DI75" s="1014">
        <f t="shared" si="441"/>
        <v>0</v>
      </c>
      <c r="DJ75" s="1014">
        <f t="shared" si="442"/>
        <v>0</v>
      </c>
      <c r="DK75" s="1014">
        <f t="shared" si="443"/>
        <v>102008</v>
      </c>
      <c r="DL75" s="1014">
        <f t="shared" si="444"/>
        <v>0</v>
      </c>
      <c r="DM75" s="1014">
        <f t="shared" si="445"/>
        <v>0</v>
      </c>
      <c r="DN75" s="1014">
        <f t="shared" si="446"/>
        <v>0</v>
      </c>
      <c r="DO75" s="1014">
        <f t="shared" si="447"/>
        <v>0</v>
      </c>
      <c r="DP75" s="1014">
        <f t="shared" si="448"/>
        <v>0</v>
      </c>
      <c r="DQ75" s="1020">
        <f t="shared" si="449"/>
        <v>0</v>
      </c>
      <c r="DR75" s="1014">
        <f t="shared" si="450"/>
        <v>0</v>
      </c>
      <c r="DS75" s="1014">
        <f t="shared" si="451"/>
        <v>0</v>
      </c>
      <c r="DT75" s="1025">
        <f t="shared" si="360"/>
        <v>102008</v>
      </c>
    </row>
    <row r="76" spans="1:124" x14ac:dyDescent="0.2">
      <c r="A76" s="908" t="s">
        <v>31</v>
      </c>
      <c r="B76" s="908">
        <v>2019</v>
      </c>
      <c r="C76" s="910">
        <f t="shared" si="347"/>
        <v>315000</v>
      </c>
      <c r="D76" s="910">
        <f t="shared" si="348"/>
        <v>0</v>
      </c>
      <c r="E76" s="910">
        <f t="shared" si="349"/>
        <v>442750</v>
      </c>
      <c r="F76" s="910">
        <f t="shared" si="361"/>
        <v>0</v>
      </c>
      <c r="G76" s="910">
        <f t="shared" si="350"/>
        <v>0</v>
      </c>
      <c r="H76" s="910">
        <f t="shared" si="351"/>
        <v>0</v>
      </c>
      <c r="I76" s="910">
        <f t="shared" si="352"/>
        <v>0</v>
      </c>
      <c r="J76" s="910">
        <f t="shared" si="362"/>
        <v>0</v>
      </c>
      <c r="K76" s="910">
        <f t="shared" si="363"/>
        <v>0</v>
      </c>
      <c r="L76" s="910">
        <f t="shared" si="364"/>
        <v>0</v>
      </c>
      <c r="M76" s="910">
        <f t="shared" si="353"/>
        <v>0</v>
      </c>
      <c r="N76" s="910">
        <f t="shared" si="354"/>
        <v>0</v>
      </c>
      <c r="O76" s="910">
        <f t="shared" si="355"/>
        <v>123038.96219999999</v>
      </c>
      <c r="P76" s="910">
        <f t="shared" si="365"/>
        <v>0</v>
      </c>
      <c r="Q76" s="910">
        <f t="shared" si="356"/>
        <v>0</v>
      </c>
      <c r="R76" s="910">
        <f t="shared" si="357"/>
        <v>292222.2</v>
      </c>
      <c r="S76" s="910">
        <f t="shared" si="358"/>
        <v>1173011.1621999999</v>
      </c>
      <c r="T76" s="1037">
        <f t="shared" si="366"/>
        <v>257659.38219999999</v>
      </c>
      <c r="U76" s="1034">
        <f t="shared" si="452"/>
        <v>0</v>
      </c>
      <c r="V76" s="1034">
        <f t="shared" si="453"/>
        <v>0</v>
      </c>
      <c r="W76" s="1034">
        <f t="shared" si="454"/>
        <v>0</v>
      </c>
      <c r="X76" s="1034">
        <f t="shared" si="455"/>
        <v>0</v>
      </c>
      <c r="Y76" s="1034">
        <f t="shared" si="456"/>
        <v>0</v>
      </c>
      <c r="Z76" s="1034">
        <f t="shared" si="457"/>
        <v>0</v>
      </c>
      <c r="AA76" s="1034">
        <f t="shared" si="458"/>
        <v>0</v>
      </c>
      <c r="AB76" s="1034">
        <f t="shared" si="459"/>
        <v>0</v>
      </c>
      <c r="AC76" s="1034">
        <f t="shared" si="460"/>
        <v>0</v>
      </c>
      <c r="AD76" s="1034">
        <f t="shared" si="461"/>
        <v>0</v>
      </c>
      <c r="AE76" s="1034">
        <f t="shared" si="462"/>
        <v>300609.32</v>
      </c>
      <c r="AF76" s="1034">
        <f t="shared" si="463"/>
        <v>815028.37999999989</v>
      </c>
      <c r="AG76" s="1034">
        <f t="shared" si="464"/>
        <v>915351.77999999991</v>
      </c>
      <c r="AH76" s="1041">
        <f t="shared" si="465"/>
        <v>0.78034362288867232</v>
      </c>
      <c r="AI76" s="1014">
        <f t="shared" si="367"/>
        <v>0</v>
      </c>
      <c r="AJ76" s="1025">
        <f t="shared" si="466"/>
        <v>0</v>
      </c>
      <c r="AK76" s="1014">
        <f t="shared" si="368"/>
        <v>0</v>
      </c>
      <c r="AL76" s="1025">
        <f t="shared" si="467"/>
        <v>0</v>
      </c>
      <c r="AM76" s="1014">
        <f t="shared" si="369"/>
        <v>0</v>
      </c>
      <c r="AN76" s="1025">
        <f t="shared" si="468"/>
        <v>0</v>
      </c>
      <c r="AO76" s="1014">
        <f t="shared" si="370"/>
        <v>0</v>
      </c>
      <c r="AP76" s="1014">
        <f t="shared" si="371"/>
        <v>0</v>
      </c>
      <c r="AQ76" s="1014">
        <f t="shared" si="372"/>
        <v>0</v>
      </c>
      <c r="AR76" s="1015">
        <f t="shared" si="373"/>
        <v>0</v>
      </c>
      <c r="AS76" s="1025">
        <f t="shared" si="374"/>
        <v>0</v>
      </c>
      <c r="AT76" s="1014">
        <f t="shared" si="375"/>
        <v>0</v>
      </c>
      <c r="AU76" s="1014">
        <f t="shared" si="376"/>
        <v>0</v>
      </c>
      <c r="AV76" s="1014">
        <f t="shared" si="377"/>
        <v>0</v>
      </c>
      <c r="AW76" s="1014">
        <f t="shared" si="378"/>
        <v>0</v>
      </c>
      <c r="AX76" s="1014">
        <f t="shared" si="379"/>
        <v>0</v>
      </c>
      <c r="AY76" s="1014">
        <f t="shared" si="380"/>
        <v>0</v>
      </c>
      <c r="AZ76" s="1025">
        <f t="shared" si="381"/>
        <v>0</v>
      </c>
      <c r="BA76" s="1014">
        <f t="shared" si="382"/>
        <v>0</v>
      </c>
      <c r="BB76" s="1014">
        <f t="shared" si="383"/>
        <v>0</v>
      </c>
      <c r="BC76" s="1014">
        <f t="shared" si="384"/>
        <v>0</v>
      </c>
      <c r="BD76" s="1014">
        <f t="shared" si="385"/>
        <v>0</v>
      </c>
      <c r="BE76" s="1014">
        <f t="shared" si="386"/>
        <v>0</v>
      </c>
      <c r="BF76" s="1014">
        <f t="shared" si="387"/>
        <v>0</v>
      </c>
      <c r="BG76" s="1025">
        <f t="shared" si="388"/>
        <v>0</v>
      </c>
      <c r="BH76" s="1014">
        <f t="shared" si="389"/>
        <v>0</v>
      </c>
      <c r="BI76" s="1014">
        <f t="shared" si="390"/>
        <v>0</v>
      </c>
      <c r="BJ76" s="1014">
        <f t="shared" si="391"/>
        <v>0</v>
      </c>
      <c r="BK76" s="1014">
        <f t="shared" si="392"/>
        <v>0</v>
      </c>
      <c r="BL76" s="1014">
        <f t="shared" si="393"/>
        <v>0</v>
      </c>
      <c r="BM76" s="1014">
        <f t="shared" si="394"/>
        <v>0</v>
      </c>
      <c r="BN76" s="1025">
        <f t="shared" si="395"/>
        <v>0</v>
      </c>
      <c r="BO76" s="1014">
        <f t="shared" si="396"/>
        <v>0</v>
      </c>
      <c r="BP76" s="1014">
        <f t="shared" si="397"/>
        <v>0</v>
      </c>
      <c r="BQ76" s="1014">
        <f t="shared" si="398"/>
        <v>0</v>
      </c>
      <c r="BR76" s="1014">
        <f t="shared" si="399"/>
        <v>0</v>
      </c>
      <c r="BS76" s="1014">
        <f t="shared" si="400"/>
        <v>0</v>
      </c>
      <c r="BT76" s="1025">
        <f t="shared" si="401"/>
        <v>0</v>
      </c>
      <c r="BU76" s="1014">
        <f t="shared" si="402"/>
        <v>0</v>
      </c>
      <c r="BV76" s="1014">
        <f t="shared" si="403"/>
        <v>0</v>
      </c>
      <c r="BW76" s="1014">
        <f t="shared" si="404"/>
        <v>0</v>
      </c>
      <c r="BX76" s="1014">
        <f t="shared" si="405"/>
        <v>0</v>
      </c>
      <c r="BY76" s="1014">
        <f t="shared" si="406"/>
        <v>0</v>
      </c>
      <c r="BZ76" s="1014">
        <f t="shared" si="407"/>
        <v>0</v>
      </c>
      <c r="CA76" s="1014">
        <f t="shared" si="408"/>
        <v>0</v>
      </c>
      <c r="CB76" s="1014">
        <f t="shared" si="409"/>
        <v>0</v>
      </c>
      <c r="CC76" s="1014">
        <f t="shared" si="410"/>
        <v>0</v>
      </c>
      <c r="CD76" s="1015">
        <f t="shared" si="411"/>
        <v>0</v>
      </c>
      <c r="CE76" s="1014">
        <f t="shared" si="412"/>
        <v>0</v>
      </c>
      <c r="CF76" s="1025">
        <f t="shared" si="413"/>
        <v>0</v>
      </c>
      <c r="CG76" s="1014">
        <f t="shared" si="414"/>
        <v>0</v>
      </c>
      <c r="CH76" s="1014">
        <f t="shared" si="415"/>
        <v>0</v>
      </c>
      <c r="CI76" s="1014">
        <f t="shared" si="416"/>
        <v>0</v>
      </c>
      <c r="CJ76" s="1014">
        <f t="shared" si="417"/>
        <v>0</v>
      </c>
      <c r="CK76" s="1014">
        <f t="shared" si="418"/>
        <v>0</v>
      </c>
      <c r="CL76" s="1014">
        <f t="shared" si="419"/>
        <v>0</v>
      </c>
      <c r="CM76" s="1014">
        <f t="shared" si="420"/>
        <v>0</v>
      </c>
      <c r="CN76" s="1015">
        <f t="shared" si="421"/>
        <v>0</v>
      </c>
      <c r="CO76" s="1014">
        <f t="shared" si="422"/>
        <v>0</v>
      </c>
      <c r="CP76" s="1025">
        <f t="shared" si="423"/>
        <v>0</v>
      </c>
      <c r="CQ76" s="1014">
        <f t="shared" si="424"/>
        <v>167784.32000000001</v>
      </c>
      <c r="CR76" s="1014">
        <f t="shared" si="425"/>
        <v>132825</v>
      </c>
      <c r="CS76" s="1014">
        <f t="shared" si="426"/>
        <v>0</v>
      </c>
      <c r="CT76" s="1014">
        <f t="shared" si="427"/>
        <v>0</v>
      </c>
      <c r="CU76" s="1015">
        <f t="shared" si="428"/>
        <v>0</v>
      </c>
      <c r="CV76" s="1030">
        <f t="shared" si="429"/>
        <v>300609.32</v>
      </c>
      <c r="CW76" s="1014">
        <f t="shared" si="430"/>
        <v>146932.96</v>
      </c>
      <c r="CX76" s="1014">
        <f t="shared" si="431"/>
        <v>0</v>
      </c>
      <c r="CY76" s="1014">
        <f t="shared" si="432"/>
        <v>221375</v>
      </c>
      <c r="CZ76" s="1014">
        <f t="shared" si="433"/>
        <v>0</v>
      </c>
      <c r="DA76" s="1014">
        <f t="shared" si="434"/>
        <v>0</v>
      </c>
      <c r="DB76" s="1014">
        <f t="shared" si="435"/>
        <v>0</v>
      </c>
      <c r="DC76" s="1014">
        <f t="shared" si="436"/>
        <v>0</v>
      </c>
      <c r="DD76" s="1014">
        <f t="shared" si="437"/>
        <v>0</v>
      </c>
      <c r="DE76" s="1015">
        <f t="shared" si="438"/>
        <v>0</v>
      </c>
      <c r="DF76" s="1014">
        <f t="shared" si="439"/>
        <v>0</v>
      </c>
      <c r="DG76" s="1014">
        <f t="shared" si="440"/>
        <v>146111.1</v>
      </c>
      <c r="DH76" s="1012">
        <f t="shared" si="359"/>
        <v>514419.05999999994</v>
      </c>
      <c r="DI76" s="1014">
        <f t="shared" si="441"/>
        <v>0</v>
      </c>
      <c r="DJ76" s="1014">
        <f t="shared" si="442"/>
        <v>0</v>
      </c>
      <c r="DK76" s="1014">
        <f t="shared" si="443"/>
        <v>0</v>
      </c>
      <c r="DL76" s="1014">
        <f t="shared" si="444"/>
        <v>0</v>
      </c>
      <c r="DM76" s="1014">
        <f t="shared" si="445"/>
        <v>0</v>
      </c>
      <c r="DN76" s="1014">
        <f t="shared" si="446"/>
        <v>0</v>
      </c>
      <c r="DO76" s="1014">
        <f t="shared" si="447"/>
        <v>0</v>
      </c>
      <c r="DP76" s="1014">
        <f t="shared" si="448"/>
        <v>0</v>
      </c>
      <c r="DQ76" s="1020">
        <f t="shared" si="449"/>
        <v>100323.4</v>
      </c>
      <c r="DR76" s="1014">
        <f t="shared" si="450"/>
        <v>0</v>
      </c>
      <c r="DS76" s="1014">
        <f t="shared" si="451"/>
        <v>0</v>
      </c>
      <c r="DT76" s="1025">
        <f t="shared" si="360"/>
        <v>100323.4</v>
      </c>
    </row>
    <row r="77" spans="1:124" x14ac:dyDescent="0.2">
      <c r="A77" s="908" t="s">
        <v>270</v>
      </c>
      <c r="B77" s="908">
        <v>2019</v>
      </c>
      <c r="C77" s="910">
        <f t="shared" si="347"/>
        <v>0</v>
      </c>
      <c r="D77" s="910">
        <f t="shared" si="348"/>
        <v>0</v>
      </c>
      <c r="E77" s="910">
        <f t="shared" si="349"/>
        <v>1100000</v>
      </c>
      <c r="F77" s="910">
        <f t="shared" si="361"/>
        <v>0</v>
      </c>
      <c r="G77" s="910">
        <f t="shared" si="350"/>
        <v>0</v>
      </c>
      <c r="H77" s="910">
        <f t="shared" si="351"/>
        <v>0</v>
      </c>
      <c r="I77" s="910">
        <f t="shared" si="352"/>
        <v>0</v>
      </c>
      <c r="J77" s="910">
        <f t="shared" si="362"/>
        <v>0</v>
      </c>
      <c r="K77" s="910">
        <f t="shared" si="363"/>
        <v>0</v>
      </c>
      <c r="L77" s="910">
        <f t="shared" si="364"/>
        <v>0</v>
      </c>
      <c r="M77" s="910">
        <f t="shared" si="353"/>
        <v>0</v>
      </c>
      <c r="N77" s="910">
        <f t="shared" si="354"/>
        <v>0</v>
      </c>
      <c r="O77" s="910">
        <f t="shared" si="355"/>
        <v>0</v>
      </c>
      <c r="P77" s="910">
        <f t="shared" si="365"/>
        <v>0</v>
      </c>
      <c r="Q77" s="910">
        <f t="shared" si="356"/>
        <v>0</v>
      </c>
      <c r="R77" s="910">
        <f t="shared" si="357"/>
        <v>0</v>
      </c>
      <c r="S77" s="910">
        <f t="shared" si="358"/>
        <v>1100000</v>
      </c>
      <c r="T77" s="1037">
        <f t="shared" si="366"/>
        <v>291940</v>
      </c>
      <c r="U77" s="1034">
        <f t="shared" si="452"/>
        <v>0</v>
      </c>
      <c r="V77" s="1034">
        <f t="shared" si="453"/>
        <v>0</v>
      </c>
      <c r="W77" s="1034">
        <f t="shared" si="454"/>
        <v>0</v>
      </c>
      <c r="X77" s="1034">
        <f t="shared" si="455"/>
        <v>0</v>
      </c>
      <c r="Y77" s="1034">
        <f t="shared" si="456"/>
        <v>0</v>
      </c>
      <c r="Z77" s="1034">
        <f t="shared" si="457"/>
        <v>0</v>
      </c>
      <c r="AA77" s="1034">
        <f t="shared" si="458"/>
        <v>0</v>
      </c>
      <c r="AB77" s="1034">
        <f t="shared" si="459"/>
        <v>0</v>
      </c>
      <c r="AC77" s="1034">
        <f t="shared" si="460"/>
        <v>0</v>
      </c>
      <c r="AD77" s="1034">
        <f t="shared" si="461"/>
        <v>0</v>
      </c>
      <c r="AE77" s="1034">
        <f t="shared" si="462"/>
        <v>330000</v>
      </c>
      <c r="AF77" s="1034">
        <f t="shared" si="463"/>
        <v>808060</v>
      </c>
      <c r="AG77" s="1034">
        <f t="shared" si="464"/>
        <v>808060</v>
      </c>
      <c r="AH77" s="1041">
        <f t="shared" si="465"/>
        <v>0.73460000000000003</v>
      </c>
      <c r="AI77" s="1014">
        <f t="shared" si="367"/>
        <v>0</v>
      </c>
      <c r="AJ77" s="1025">
        <f t="shared" si="466"/>
        <v>0</v>
      </c>
      <c r="AK77" s="1014">
        <f t="shared" si="368"/>
        <v>0</v>
      </c>
      <c r="AL77" s="1025">
        <f t="shared" si="467"/>
        <v>0</v>
      </c>
      <c r="AM77" s="1014">
        <f t="shared" si="369"/>
        <v>0</v>
      </c>
      <c r="AN77" s="1025">
        <f t="shared" si="468"/>
        <v>0</v>
      </c>
      <c r="AO77" s="1014">
        <f t="shared" si="370"/>
        <v>0</v>
      </c>
      <c r="AP77" s="1014">
        <f t="shared" si="371"/>
        <v>0</v>
      </c>
      <c r="AQ77" s="1014">
        <f t="shared" si="372"/>
        <v>0</v>
      </c>
      <c r="AR77" s="1015">
        <f t="shared" si="373"/>
        <v>0</v>
      </c>
      <c r="AS77" s="1025">
        <f t="shared" si="374"/>
        <v>0</v>
      </c>
      <c r="AT77" s="1014">
        <f t="shared" si="375"/>
        <v>0</v>
      </c>
      <c r="AU77" s="1014">
        <f t="shared" si="376"/>
        <v>0</v>
      </c>
      <c r="AV77" s="1014">
        <f t="shared" si="377"/>
        <v>0</v>
      </c>
      <c r="AW77" s="1014">
        <f t="shared" si="378"/>
        <v>0</v>
      </c>
      <c r="AX77" s="1014">
        <f t="shared" si="379"/>
        <v>0</v>
      </c>
      <c r="AY77" s="1014">
        <f t="shared" si="380"/>
        <v>0</v>
      </c>
      <c r="AZ77" s="1025">
        <f t="shared" si="381"/>
        <v>0</v>
      </c>
      <c r="BA77" s="1014">
        <f t="shared" si="382"/>
        <v>0</v>
      </c>
      <c r="BB77" s="1014">
        <f t="shared" si="383"/>
        <v>0</v>
      </c>
      <c r="BC77" s="1014">
        <f t="shared" si="384"/>
        <v>0</v>
      </c>
      <c r="BD77" s="1014">
        <f t="shared" si="385"/>
        <v>0</v>
      </c>
      <c r="BE77" s="1014">
        <f t="shared" si="386"/>
        <v>0</v>
      </c>
      <c r="BF77" s="1014">
        <f t="shared" si="387"/>
        <v>0</v>
      </c>
      <c r="BG77" s="1025">
        <f t="shared" si="388"/>
        <v>0</v>
      </c>
      <c r="BH77" s="1014">
        <f t="shared" si="389"/>
        <v>0</v>
      </c>
      <c r="BI77" s="1014">
        <f t="shared" si="390"/>
        <v>0</v>
      </c>
      <c r="BJ77" s="1014">
        <f t="shared" si="391"/>
        <v>0</v>
      </c>
      <c r="BK77" s="1014">
        <f t="shared" si="392"/>
        <v>0</v>
      </c>
      <c r="BL77" s="1014">
        <f t="shared" si="393"/>
        <v>0</v>
      </c>
      <c r="BM77" s="1014">
        <f t="shared" si="394"/>
        <v>0</v>
      </c>
      <c r="BN77" s="1025">
        <f t="shared" si="395"/>
        <v>0</v>
      </c>
      <c r="BO77" s="1014">
        <f t="shared" si="396"/>
        <v>0</v>
      </c>
      <c r="BP77" s="1014">
        <f t="shared" si="397"/>
        <v>0</v>
      </c>
      <c r="BQ77" s="1014">
        <f t="shared" si="398"/>
        <v>0</v>
      </c>
      <c r="BR77" s="1014">
        <f t="shared" si="399"/>
        <v>0</v>
      </c>
      <c r="BS77" s="1014">
        <f t="shared" si="400"/>
        <v>0</v>
      </c>
      <c r="BT77" s="1025">
        <f t="shared" si="401"/>
        <v>0</v>
      </c>
      <c r="BU77" s="1014">
        <f t="shared" si="402"/>
        <v>0</v>
      </c>
      <c r="BV77" s="1014">
        <f t="shared" si="403"/>
        <v>0</v>
      </c>
      <c r="BW77" s="1014">
        <f t="shared" si="404"/>
        <v>0</v>
      </c>
      <c r="BX77" s="1014">
        <f t="shared" si="405"/>
        <v>0</v>
      </c>
      <c r="BY77" s="1014">
        <f t="shared" si="406"/>
        <v>0</v>
      </c>
      <c r="BZ77" s="1014">
        <f t="shared" si="407"/>
        <v>0</v>
      </c>
      <c r="CA77" s="1014">
        <f t="shared" si="408"/>
        <v>0</v>
      </c>
      <c r="CB77" s="1014">
        <f t="shared" si="409"/>
        <v>0</v>
      </c>
      <c r="CC77" s="1014">
        <f t="shared" si="410"/>
        <v>0</v>
      </c>
      <c r="CD77" s="1015">
        <f t="shared" si="411"/>
        <v>0</v>
      </c>
      <c r="CE77" s="1014">
        <f t="shared" si="412"/>
        <v>0</v>
      </c>
      <c r="CF77" s="1025">
        <f t="shared" si="413"/>
        <v>0</v>
      </c>
      <c r="CG77" s="1014">
        <f t="shared" si="414"/>
        <v>0</v>
      </c>
      <c r="CH77" s="1014">
        <f t="shared" si="415"/>
        <v>0</v>
      </c>
      <c r="CI77" s="1014">
        <f t="shared" si="416"/>
        <v>0</v>
      </c>
      <c r="CJ77" s="1014">
        <f t="shared" si="417"/>
        <v>0</v>
      </c>
      <c r="CK77" s="1014">
        <f t="shared" si="418"/>
        <v>0</v>
      </c>
      <c r="CL77" s="1014">
        <f t="shared" si="419"/>
        <v>0</v>
      </c>
      <c r="CM77" s="1014">
        <f t="shared" si="420"/>
        <v>0</v>
      </c>
      <c r="CN77" s="1015">
        <f t="shared" si="421"/>
        <v>0</v>
      </c>
      <c r="CO77" s="1014">
        <f t="shared" si="422"/>
        <v>0</v>
      </c>
      <c r="CP77" s="1025">
        <f t="shared" si="423"/>
        <v>0</v>
      </c>
      <c r="CQ77" s="1014">
        <f t="shared" si="424"/>
        <v>0</v>
      </c>
      <c r="CR77" s="1014">
        <f t="shared" si="425"/>
        <v>330000</v>
      </c>
      <c r="CS77" s="1014">
        <f t="shared" si="426"/>
        <v>0</v>
      </c>
      <c r="CT77" s="1014">
        <f t="shared" si="427"/>
        <v>0</v>
      </c>
      <c r="CU77" s="1015">
        <f t="shared" si="428"/>
        <v>0</v>
      </c>
      <c r="CV77" s="1030">
        <f t="shared" si="429"/>
        <v>330000</v>
      </c>
      <c r="CW77" s="1014">
        <f t="shared" si="430"/>
        <v>0</v>
      </c>
      <c r="CX77" s="1014">
        <f t="shared" si="431"/>
        <v>0</v>
      </c>
      <c r="CY77" s="1014">
        <f t="shared" si="432"/>
        <v>478060</v>
      </c>
      <c r="CZ77" s="1014">
        <f t="shared" si="433"/>
        <v>0</v>
      </c>
      <c r="DA77" s="1014">
        <f t="shared" si="434"/>
        <v>0</v>
      </c>
      <c r="DB77" s="1014">
        <f t="shared" si="435"/>
        <v>0</v>
      </c>
      <c r="DC77" s="1014">
        <f t="shared" si="436"/>
        <v>0</v>
      </c>
      <c r="DD77" s="1014">
        <f t="shared" si="437"/>
        <v>0</v>
      </c>
      <c r="DE77" s="1015">
        <f t="shared" si="438"/>
        <v>0</v>
      </c>
      <c r="DF77" s="1014">
        <f t="shared" si="439"/>
        <v>0</v>
      </c>
      <c r="DG77" s="1014">
        <f t="shared" si="440"/>
        <v>0</v>
      </c>
      <c r="DH77" s="1012">
        <f t="shared" si="359"/>
        <v>478060</v>
      </c>
      <c r="DI77" s="1014">
        <f t="shared" si="441"/>
        <v>0</v>
      </c>
      <c r="DJ77" s="1014">
        <f t="shared" si="442"/>
        <v>0</v>
      </c>
      <c r="DK77" s="1014">
        <f t="shared" si="443"/>
        <v>0</v>
      </c>
      <c r="DL77" s="1014">
        <f t="shared" si="444"/>
        <v>0</v>
      </c>
      <c r="DM77" s="1014">
        <f t="shared" si="445"/>
        <v>0</v>
      </c>
      <c r="DN77" s="1014">
        <f t="shared" si="446"/>
        <v>0</v>
      </c>
      <c r="DO77" s="1014">
        <f t="shared" si="447"/>
        <v>0</v>
      </c>
      <c r="DP77" s="1014">
        <f t="shared" si="448"/>
        <v>0</v>
      </c>
      <c r="DQ77" s="1020">
        <f t="shared" si="449"/>
        <v>0</v>
      </c>
      <c r="DR77" s="1014">
        <f t="shared" si="450"/>
        <v>0</v>
      </c>
      <c r="DS77" s="1014">
        <f t="shared" si="451"/>
        <v>0</v>
      </c>
      <c r="DT77" s="1025">
        <f t="shared" si="360"/>
        <v>0</v>
      </c>
    </row>
    <row r="78" spans="1:124" x14ac:dyDescent="0.2">
      <c r="A78" s="908" t="s">
        <v>333</v>
      </c>
      <c r="B78" s="908"/>
      <c r="C78" s="910">
        <f t="shared" ref="C78:C90" si="469">SUMPRODUCT((OP_FRAFU=A78)*(Bdgt_FRAFU))</f>
        <v>0</v>
      </c>
      <c r="D78" s="910">
        <f t="shared" ref="D78:D90" si="470">SUMPRODUCT((OP_Rehab=A78)*(Bdgt_Rehab))</f>
        <v>0</v>
      </c>
      <c r="E78" s="910">
        <f t="shared" ref="E78:E90" si="471">SUMPRODUCT((OP_LBU=A78)*(Bdgt_LBU))</f>
        <v>323000</v>
      </c>
      <c r="F78" s="910">
        <f t="shared" si="361"/>
        <v>0</v>
      </c>
      <c r="G78" s="910">
        <f t="shared" ref="G78:G90" si="472">SUMPRODUCT((OP_CAF=A78)*(Bdgt_CAF))</f>
        <v>0</v>
      </c>
      <c r="H78" s="910">
        <f t="shared" ref="H78:H90" si="473">SUMPRODUCT((OP_Region=A78)*(Bdgt_Region))</f>
        <v>0</v>
      </c>
      <c r="I78" s="910">
        <f t="shared" ref="I78:I90" si="474">SUMPRODUCT((OP_Rectorat=A78)*(Bdgt_Rectorat))</f>
        <v>0</v>
      </c>
      <c r="J78" s="910">
        <f t="shared" si="362"/>
        <v>0</v>
      </c>
      <c r="K78" s="910">
        <f t="shared" si="363"/>
        <v>0</v>
      </c>
      <c r="L78" s="910">
        <f t="shared" si="364"/>
        <v>0</v>
      </c>
      <c r="M78" s="910">
        <f t="shared" ref="M78:M90" si="475">SUMPRODUCT((OP_ADEME=A78)*(Bdgt_ADEME))</f>
        <v>4200</v>
      </c>
      <c r="N78" s="910">
        <f t="shared" ref="N78:N90" si="476">SUMPRODUCT((OP_P_Ile=A78)*(Bdgt_P_Ile))</f>
        <v>0</v>
      </c>
      <c r="O78" s="910">
        <f t="shared" ref="O78:O90" si="477">SUMPRODUCT((OP_EDF=A78)*(Bdgt_EDF))</f>
        <v>0</v>
      </c>
      <c r="P78" s="910">
        <f t="shared" si="365"/>
        <v>0</v>
      </c>
      <c r="Q78" s="910">
        <f t="shared" ref="Q78:Q90" si="478">SUMPRODUCT((OP_ETG_SALE=A78)*(Bdgt_ETG_SALE))</f>
        <v>0</v>
      </c>
      <c r="R78" s="910">
        <f t="shared" ref="R78:R90" si="479">SUMPRODUCT((OP_ST_JO=A78)*(Bdgt_ST_JO))</f>
        <v>0</v>
      </c>
      <c r="S78" s="910">
        <f t="shared" ref="S78:S90" si="480">SUM(C78:R78)</f>
        <v>327200</v>
      </c>
      <c r="T78" s="1037">
        <f t="shared" si="366"/>
        <v>323000</v>
      </c>
      <c r="U78" s="1034">
        <f t="shared" si="452"/>
        <v>0</v>
      </c>
      <c r="V78" s="1034">
        <f t="shared" si="453"/>
        <v>0</v>
      </c>
      <c r="W78" s="1034">
        <f t="shared" si="454"/>
        <v>0</v>
      </c>
      <c r="X78" s="1034">
        <f t="shared" si="455"/>
        <v>0</v>
      </c>
      <c r="Y78" s="1034">
        <f t="shared" si="456"/>
        <v>0</v>
      </c>
      <c r="Z78" s="1034">
        <f t="shared" si="457"/>
        <v>0</v>
      </c>
      <c r="AA78" s="1034">
        <f t="shared" si="458"/>
        <v>0</v>
      </c>
      <c r="AB78" s="1034">
        <f t="shared" si="459"/>
        <v>0</v>
      </c>
      <c r="AC78" s="1034">
        <f t="shared" si="460"/>
        <v>0</v>
      </c>
      <c r="AD78" s="1034">
        <f t="shared" si="461"/>
        <v>0</v>
      </c>
      <c r="AE78" s="1034">
        <f t="shared" si="462"/>
        <v>0</v>
      </c>
      <c r="AF78" s="1034">
        <f t="shared" si="463"/>
        <v>4200</v>
      </c>
      <c r="AG78" s="1034">
        <f t="shared" si="464"/>
        <v>4200</v>
      </c>
      <c r="AH78" s="1041">
        <f t="shared" si="465"/>
        <v>1.2836185819070905E-2</v>
      </c>
      <c r="AI78" s="1014">
        <f t="shared" si="367"/>
        <v>0</v>
      </c>
      <c r="AJ78" s="1025">
        <f t="shared" si="466"/>
        <v>0</v>
      </c>
      <c r="AK78" s="1014">
        <f t="shared" si="368"/>
        <v>0</v>
      </c>
      <c r="AL78" s="1025">
        <f t="shared" si="467"/>
        <v>0</v>
      </c>
      <c r="AM78" s="1014">
        <f t="shared" si="369"/>
        <v>0</v>
      </c>
      <c r="AN78" s="1025">
        <f t="shared" si="468"/>
        <v>0</v>
      </c>
      <c r="AO78" s="1014">
        <f t="shared" si="370"/>
        <v>0</v>
      </c>
      <c r="AP78" s="1014">
        <f t="shared" si="371"/>
        <v>0</v>
      </c>
      <c r="AQ78" s="1014">
        <f t="shared" si="372"/>
        <v>0</v>
      </c>
      <c r="AR78" s="1015">
        <f t="shared" si="373"/>
        <v>0</v>
      </c>
      <c r="AS78" s="1025">
        <f t="shared" si="374"/>
        <v>0</v>
      </c>
      <c r="AT78" s="1014">
        <f t="shared" si="375"/>
        <v>0</v>
      </c>
      <c r="AU78" s="1014">
        <f t="shared" si="376"/>
        <v>0</v>
      </c>
      <c r="AV78" s="1014">
        <f t="shared" si="377"/>
        <v>0</v>
      </c>
      <c r="AW78" s="1014">
        <f t="shared" si="378"/>
        <v>0</v>
      </c>
      <c r="AX78" s="1014">
        <f t="shared" si="379"/>
        <v>0</v>
      </c>
      <c r="AY78" s="1014">
        <f t="shared" si="380"/>
        <v>0</v>
      </c>
      <c r="AZ78" s="1025">
        <f t="shared" si="381"/>
        <v>0</v>
      </c>
      <c r="BA78" s="1014">
        <f t="shared" si="382"/>
        <v>0</v>
      </c>
      <c r="BB78" s="1014">
        <f t="shared" si="383"/>
        <v>0</v>
      </c>
      <c r="BC78" s="1014">
        <f t="shared" si="384"/>
        <v>0</v>
      </c>
      <c r="BD78" s="1014">
        <f t="shared" si="385"/>
        <v>0</v>
      </c>
      <c r="BE78" s="1014">
        <f t="shared" si="386"/>
        <v>0</v>
      </c>
      <c r="BF78" s="1014">
        <f t="shared" si="387"/>
        <v>0</v>
      </c>
      <c r="BG78" s="1025">
        <f t="shared" si="388"/>
        <v>0</v>
      </c>
      <c r="BH78" s="1014">
        <f t="shared" si="389"/>
        <v>0</v>
      </c>
      <c r="BI78" s="1014">
        <f t="shared" si="390"/>
        <v>0</v>
      </c>
      <c r="BJ78" s="1014">
        <f t="shared" si="391"/>
        <v>0</v>
      </c>
      <c r="BK78" s="1014">
        <f t="shared" si="392"/>
        <v>0</v>
      </c>
      <c r="BL78" s="1014">
        <f t="shared" si="393"/>
        <v>0</v>
      </c>
      <c r="BM78" s="1014">
        <f t="shared" si="394"/>
        <v>0</v>
      </c>
      <c r="BN78" s="1025">
        <f t="shared" si="395"/>
        <v>0</v>
      </c>
      <c r="BO78" s="1014">
        <f t="shared" si="396"/>
        <v>0</v>
      </c>
      <c r="BP78" s="1014">
        <f t="shared" si="397"/>
        <v>0</v>
      </c>
      <c r="BQ78" s="1014">
        <f t="shared" si="398"/>
        <v>0</v>
      </c>
      <c r="BR78" s="1014">
        <f t="shared" si="399"/>
        <v>0</v>
      </c>
      <c r="BS78" s="1014">
        <f t="shared" si="400"/>
        <v>0</v>
      </c>
      <c r="BT78" s="1025">
        <f t="shared" si="401"/>
        <v>0</v>
      </c>
      <c r="BU78" s="1014">
        <f t="shared" si="402"/>
        <v>0</v>
      </c>
      <c r="BV78" s="1014">
        <f t="shared" si="403"/>
        <v>0</v>
      </c>
      <c r="BW78" s="1014">
        <f t="shared" si="404"/>
        <v>0</v>
      </c>
      <c r="BX78" s="1014">
        <f t="shared" si="405"/>
        <v>0</v>
      </c>
      <c r="BY78" s="1014">
        <f t="shared" si="406"/>
        <v>0</v>
      </c>
      <c r="BZ78" s="1014">
        <f t="shared" si="407"/>
        <v>0</v>
      </c>
      <c r="CA78" s="1014">
        <f t="shared" si="408"/>
        <v>0</v>
      </c>
      <c r="CB78" s="1014">
        <f t="shared" si="409"/>
        <v>0</v>
      </c>
      <c r="CC78" s="1014">
        <f t="shared" si="410"/>
        <v>0</v>
      </c>
      <c r="CD78" s="1015">
        <f t="shared" si="411"/>
        <v>0</v>
      </c>
      <c r="CE78" s="1014">
        <f t="shared" si="412"/>
        <v>0</v>
      </c>
      <c r="CF78" s="1025">
        <f t="shared" si="413"/>
        <v>0</v>
      </c>
      <c r="CG78" s="1014">
        <f t="shared" si="414"/>
        <v>0</v>
      </c>
      <c r="CH78" s="1014">
        <f t="shared" si="415"/>
        <v>0</v>
      </c>
      <c r="CI78" s="1014">
        <f t="shared" si="416"/>
        <v>0</v>
      </c>
      <c r="CJ78" s="1014">
        <f t="shared" si="417"/>
        <v>0</v>
      </c>
      <c r="CK78" s="1014">
        <f t="shared" si="418"/>
        <v>0</v>
      </c>
      <c r="CL78" s="1014">
        <f t="shared" si="419"/>
        <v>0</v>
      </c>
      <c r="CM78" s="1014">
        <f t="shared" si="420"/>
        <v>0</v>
      </c>
      <c r="CN78" s="1015">
        <f t="shared" si="421"/>
        <v>0</v>
      </c>
      <c r="CO78" s="1014">
        <f t="shared" si="422"/>
        <v>0</v>
      </c>
      <c r="CP78" s="1025">
        <f t="shared" si="423"/>
        <v>0</v>
      </c>
      <c r="CQ78" s="1014">
        <f t="shared" si="424"/>
        <v>0</v>
      </c>
      <c r="CR78" s="1014">
        <f t="shared" si="425"/>
        <v>0</v>
      </c>
      <c r="CS78" s="1014">
        <f t="shared" si="426"/>
        <v>0</v>
      </c>
      <c r="CT78" s="1014">
        <f t="shared" si="427"/>
        <v>0</v>
      </c>
      <c r="CU78" s="1015">
        <f t="shared" si="428"/>
        <v>0</v>
      </c>
      <c r="CV78" s="1030">
        <f t="shared" si="429"/>
        <v>0</v>
      </c>
      <c r="CW78" s="1014">
        <f t="shared" si="430"/>
        <v>0</v>
      </c>
      <c r="CX78" s="1014">
        <f t="shared" si="431"/>
        <v>0</v>
      </c>
      <c r="CY78" s="1014">
        <f t="shared" si="432"/>
        <v>0</v>
      </c>
      <c r="CZ78" s="1014">
        <f t="shared" si="433"/>
        <v>0</v>
      </c>
      <c r="DA78" s="1014">
        <f t="shared" si="434"/>
        <v>0</v>
      </c>
      <c r="DB78" s="1014">
        <f t="shared" si="435"/>
        <v>0</v>
      </c>
      <c r="DC78" s="1014">
        <f t="shared" si="436"/>
        <v>4200</v>
      </c>
      <c r="DD78" s="1014">
        <f t="shared" si="437"/>
        <v>0</v>
      </c>
      <c r="DE78" s="1015">
        <f t="shared" si="438"/>
        <v>0</v>
      </c>
      <c r="DF78" s="1014">
        <f t="shared" si="439"/>
        <v>0</v>
      </c>
      <c r="DG78" s="1014">
        <f t="shared" si="440"/>
        <v>0</v>
      </c>
      <c r="DH78" s="1012">
        <f t="shared" ref="DH78:DH90" si="481">SUM(CW78:DG78)</f>
        <v>4200</v>
      </c>
      <c r="DI78" s="1014">
        <f t="shared" si="441"/>
        <v>0</v>
      </c>
      <c r="DJ78" s="1014">
        <f t="shared" si="442"/>
        <v>0</v>
      </c>
      <c r="DK78" s="1014">
        <f t="shared" si="443"/>
        <v>0</v>
      </c>
      <c r="DL78" s="1014">
        <f t="shared" si="444"/>
        <v>0</v>
      </c>
      <c r="DM78" s="1014">
        <f t="shared" si="445"/>
        <v>0</v>
      </c>
      <c r="DN78" s="1014">
        <f t="shared" si="446"/>
        <v>0</v>
      </c>
      <c r="DO78" s="1014">
        <f t="shared" si="447"/>
        <v>0</v>
      </c>
      <c r="DP78" s="1014">
        <f t="shared" si="448"/>
        <v>0</v>
      </c>
      <c r="DQ78" s="1020">
        <f t="shared" si="449"/>
        <v>0</v>
      </c>
      <c r="DR78" s="1014">
        <f t="shared" si="450"/>
        <v>0</v>
      </c>
      <c r="DS78" s="1014">
        <f t="shared" si="451"/>
        <v>0</v>
      </c>
      <c r="DT78" s="1025">
        <f t="shared" ref="DT78:DT90" si="482">SUM(DI78:DS78)</f>
        <v>0</v>
      </c>
    </row>
    <row r="79" spans="1:124" x14ac:dyDescent="0.2">
      <c r="A79" s="908" t="s">
        <v>237</v>
      </c>
      <c r="B79" s="908"/>
      <c r="C79" s="910">
        <f t="shared" si="469"/>
        <v>0</v>
      </c>
      <c r="D79" s="910">
        <f t="shared" si="470"/>
        <v>0</v>
      </c>
      <c r="E79" s="910">
        <f t="shared" si="471"/>
        <v>270000</v>
      </c>
      <c r="F79" s="910">
        <f t="shared" si="361"/>
        <v>0</v>
      </c>
      <c r="G79" s="910">
        <f t="shared" si="472"/>
        <v>0</v>
      </c>
      <c r="H79" s="910">
        <f t="shared" si="473"/>
        <v>0</v>
      </c>
      <c r="I79" s="910">
        <f t="shared" si="474"/>
        <v>0</v>
      </c>
      <c r="J79" s="910">
        <f t="shared" si="362"/>
        <v>0</v>
      </c>
      <c r="K79" s="910">
        <f t="shared" si="363"/>
        <v>0</v>
      </c>
      <c r="L79" s="910">
        <f t="shared" si="364"/>
        <v>0</v>
      </c>
      <c r="M79" s="910">
        <f t="shared" si="475"/>
        <v>0</v>
      </c>
      <c r="N79" s="910">
        <f t="shared" si="476"/>
        <v>0</v>
      </c>
      <c r="O79" s="910">
        <f t="shared" si="477"/>
        <v>69990.431349999999</v>
      </c>
      <c r="P79" s="910">
        <f t="shared" si="365"/>
        <v>0</v>
      </c>
      <c r="Q79" s="910">
        <f t="shared" si="478"/>
        <v>0</v>
      </c>
      <c r="R79" s="910">
        <f t="shared" si="479"/>
        <v>0</v>
      </c>
      <c r="S79" s="910">
        <f t="shared" si="480"/>
        <v>339990.43134999997</v>
      </c>
      <c r="T79" s="1037">
        <f t="shared" si="366"/>
        <v>339990.43134999997</v>
      </c>
      <c r="U79" s="1034">
        <f t="shared" si="452"/>
        <v>0</v>
      </c>
      <c r="V79" s="1034">
        <f t="shared" si="453"/>
        <v>0</v>
      </c>
      <c r="W79" s="1034">
        <f t="shared" si="454"/>
        <v>0</v>
      </c>
      <c r="X79" s="1034">
        <f t="shared" si="455"/>
        <v>0</v>
      </c>
      <c r="Y79" s="1034">
        <f t="shared" si="456"/>
        <v>0</v>
      </c>
      <c r="Z79" s="1034">
        <f t="shared" si="457"/>
        <v>0</v>
      </c>
      <c r="AA79" s="1034">
        <f t="shared" si="458"/>
        <v>0</v>
      </c>
      <c r="AB79" s="1034">
        <f t="shared" si="459"/>
        <v>0</v>
      </c>
      <c r="AC79" s="1034">
        <f t="shared" si="460"/>
        <v>0</v>
      </c>
      <c r="AD79" s="1034">
        <f t="shared" si="461"/>
        <v>0</v>
      </c>
      <c r="AE79" s="1034">
        <f t="shared" si="462"/>
        <v>0</v>
      </c>
      <c r="AF79" s="1034">
        <f t="shared" si="463"/>
        <v>0</v>
      </c>
      <c r="AG79" s="1034">
        <f t="shared" si="464"/>
        <v>0</v>
      </c>
      <c r="AH79" s="1041" t="str">
        <f t="shared" si="465"/>
        <v>-</v>
      </c>
      <c r="AI79" s="1014">
        <f t="shared" si="367"/>
        <v>0</v>
      </c>
      <c r="AJ79" s="1025">
        <f t="shared" si="466"/>
        <v>0</v>
      </c>
      <c r="AK79" s="1014">
        <f t="shared" si="368"/>
        <v>0</v>
      </c>
      <c r="AL79" s="1025">
        <f t="shared" si="467"/>
        <v>0</v>
      </c>
      <c r="AM79" s="1014">
        <f t="shared" si="369"/>
        <v>0</v>
      </c>
      <c r="AN79" s="1025">
        <f t="shared" si="468"/>
        <v>0</v>
      </c>
      <c r="AO79" s="1014">
        <f t="shared" si="370"/>
        <v>0</v>
      </c>
      <c r="AP79" s="1014">
        <f t="shared" si="371"/>
        <v>0</v>
      </c>
      <c r="AQ79" s="1014">
        <f t="shared" si="372"/>
        <v>0</v>
      </c>
      <c r="AR79" s="1015">
        <f t="shared" si="373"/>
        <v>0</v>
      </c>
      <c r="AS79" s="1025">
        <f t="shared" si="374"/>
        <v>0</v>
      </c>
      <c r="AT79" s="1014">
        <f t="shared" si="375"/>
        <v>0</v>
      </c>
      <c r="AU79" s="1014">
        <f t="shared" si="376"/>
        <v>0</v>
      </c>
      <c r="AV79" s="1014">
        <f t="shared" si="377"/>
        <v>0</v>
      </c>
      <c r="AW79" s="1014">
        <f t="shared" si="378"/>
        <v>0</v>
      </c>
      <c r="AX79" s="1014">
        <f t="shared" si="379"/>
        <v>0</v>
      </c>
      <c r="AY79" s="1014">
        <f t="shared" si="380"/>
        <v>0</v>
      </c>
      <c r="AZ79" s="1025">
        <f t="shared" si="381"/>
        <v>0</v>
      </c>
      <c r="BA79" s="1014">
        <f t="shared" si="382"/>
        <v>0</v>
      </c>
      <c r="BB79" s="1014">
        <f t="shared" si="383"/>
        <v>0</v>
      </c>
      <c r="BC79" s="1014">
        <f t="shared" si="384"/>
        <v>0</v>
      </c>
      <c r="BD79" s="1014">
        <f t="shared" si="385"/>
        <v>0</v>
      </c>
      <c r="BE79" s="1014">
        <f t="shared" si="386"/>
        <v>0</v>
      </c>
      <c r="BF79" s="1014">
        <f t="shared" si="387"/>
        <v>0</v>
      </c>
      <c r="BG79" s="1025">
        <f t="shared" si="388"/>
        <v>0</v>
      </c>
      <c r="BH79" s="1014">
        <f t="shared" si="389"/>
        <v>0</v>
      </c>
      <c r="BI79" s="1014">
        <f t="shared" si="390"/>
        <v>0</v>
      </c>
      <c r="BJ79" s="1014">
        <f t="shared" si="391"/>
        <v>0</v>
      </c>
      <c r="BK79" s="1014">
        <f t="shared" si="392"/>
        <v>0</v>
      </c>
      <c r="BL79" s="1014">
        <f t="shared" si="393"/>
        <v>0</v>
      </c>
      <c r="BM79" s="1014">
        <f t="shared" si="394"/>
        <v>0</v>
      </c>
      <c r="BN79" s="1025">
        <f t="shared" si="395"/>
        <v>0</v>
      </c>
      <c r="BO79" s="1014">
        <f t="shared" si="396"/>
        <v>0</v>
      </c>
      <c r="BP79" s="1014">
        <f t="shared" si="397"/>
        <v>0</v>
      </c>
      <c r="BQ79" s="1014">
        <f t="shared" si="398"/>
        <v>0</v>
      </c>
      <c r="BR79" s="1014">
        <f t="shared" si="399"/>
        <v>0</v>
      </c>
      <c r="BS79" s="1014">
        <f t="shared" si="400"/>
        <v>0</v>
      </c>
      <c r="BT79" s="1025">
        <f t="shared" si="401"/>
        <v>0</v>
      </c>
      <c r="BU79" s="1014">
        <f t="shared" si="402"/>
        <v>0</v>
      </c>
      <c r="BV79" s="1014">
        <f t="shared" si="403"/>
        <v>0</v>
      </c>
      <c r="BW79" s="1014">
        <f t="shared" si="404"/>
        <v>0</v>
      </c>
      <c r="BX79" s="1014">
        <f t="shared" si="405"/>
        <v>0</v>
      </c>
      <c r="BY79" s="1014">
        <f t="shared" si="406"/>
        <v>0</v>
      </c>
      <c r="BZ79" s="1014">
        <f t="shared" si="407"/>
        <v>0</v>
      </c>
      <c r="CA79" s="1014">
        <f t="shared" si="408"/>
        <v>0</v>
      </c>
      <c r="CB79" s="1014">
        <f t="shared" si="409"/>
        <v>0</v>
      </c>
      <c r="CC79" s="1014">
        <f t="shared" si="410"/>
        <v>0</v>
      </c>
      <c r="CD79" s="1015">
        <f t="shared" si="411"/>
        <v>0</v>
      </c>
      <c r="CE79" s="1014">
        <f t="shared" si="412"/>
        <v>0</v>
      </c>
      <c r="CF79" s="1025">
        <f t="shared" si="413"/>
        <v>0</v>
      </c>
      <c r="CG79" s="1014">
        <f t="shared" si="414"/>
        <v>0</v>
      </c>
      <c r="CH79" s="1014">
        <f t="shared" si="415"/>
        <v>0</v>
      </c>
      <c r="CI79" s="1014">
        <f t="shared" si="416"/>
        <v>0</v>
      </c>
      <c r="CJ79" s="1014">
        <f t="shared" si="417"/>
        <v>0</v>
      </c>
      <c r="CK79" s="1014">
        <f t="shared" si="418"/>
        <v>0</v>
      </c>
      <c r="CL79" s="1014">
        <f t="shared" si="419"/>
        <v>0</v>
      </c>
      <c r="CM79" s="1014">
        <f t="shared" si="420"/>
        <v>0</v>
      </c>
      <c r="CN79" s="1015">
        <f t="shared" si="421"/>
        <v>0</v>
      </c>
      <c r="CO79" s="1014">
        <f t="shared" si="422"/>
        <v>0</v>
      </c>
      <c r="CP79" s="1025">
        <f t="shared" si="423"/>
        <v>0</v>
      </c>
      <c r="CQ79" s="1014">
        <f t="shared" si="424"/>
        <v>0</v>
      </c>
      <c r="CR79" s="1014">
        <f t="shared" si="425"/>
        <v>0</v>
      </c>
      <c r="CS79" s="1014">
        <f t="shared" si="426"/>
        <v>0</v>
      </c>
      <c r="CT79" s="1014">
        <f t="shared" si="427"/>
        <v>0</v>
      </c>
      <c r="CU79" s="1015">
        <f t="shared" si="428"/>
        <v>0</v>
      </c>
      <c r="CV79" s="1030">
        <f t="shared" si="429"/>
        <v>0</v>
      </c>
      <c r="CW79" s="1014">
        <f t="shared" si="430"/>
        <v>0</v>
      </c>
      <c r="CX79" s="1014">
        <f t="shared" si="431"/>
        <v>0</v>
      </c>
      <c r="CY79" s="1014">
        <f t="shared" si="432"/>
        <v>0</v>
      </c>
      <c r="CZ79" s="1014">
        <f t="shared" si="433"/>
        <v>0</v>
      </c>
      <c r="DA79" s="1014">
        <f t="shared" si="434"/>
        <v>0</v>
      </c>
      <c r="DB79" s="1014">
        <f t="shared" si="435"/>
        <v>0</v>
      </c>
      <c r="DC79" s="1014">
        <f t="shared" si="436"/>
        <v>0</v>
      </c>
      <c r="DD79" s="1014">
        <f t="shared" si="437"/>
        <v>0</v>
      </c>
      <c r="DE79" s="1015">
        <f t="shared" si="438"/>
        <v>0</v>
      </c>
      <c r="DF79" s="1014">
        <f t="shared" si="439"/>
        <v>0</v>
      </c>
      <c r="DG79" s="1014">
        <f t="shared" si="440"/>
        <v>0</v>
      </c>
      <c r="DH79" s="1012">
        <f t="shared" si="481"/>
        <v>0</v>
      </c>
      <c r="DI79" s="1014">
        <f t="shared" si="441"/>
        <v>0</v>
      </c>
      <c r="DJ79" s="1014">
        <f t="shared" si="442"/>
        <v>0</v>
      </c>
      <c r="DK79" s="1014">
        <f t="shared" si="443"/>
        <v>0</v>
      </c>
      <c r="DL79" s="1014">
        <f t="shared" si="444"/>
        <v>0</v>
      </c>
      <c r="DM79" s="1014">
        <f t="shared" si="445"/>
        <v>0</v>
      </c>
      <c r="DN79" s="1014">
        <f t="shared" si="446"/>
        <v>0</v>
      </c>
      <c r="DO79" s="1014">
        <f t="shared" si="447"/>
        <v>0</v>
      </c>
      <c r="DP79" s="1014">
        <f t="shared" si="448"/>
        <v>0</v>
      </c>
      <c r="DQ79" s="1020">
        <f t="shared" si="449"/>
        <v>0</v>
      </c>
      <c r="DR79" s="1014">
        <f t="shared" si="450"/>
        <v>0</v>
      </c>
      <c r="DS79" s="1014">
        <f t="shared" si="451"/>
        <v>0</v>
      </c>
      <c r="DT79" s="1025">
        <f t="shared" si="482"/>
        <v>0</v>
      </c>
    </row>
    <row r="80" spans="1:124" x14ac:dyDescent="0.2">
      <c r="A80" s="908" t="s">
        <v>334</v>
      </c>
      <c r="B80" s="908"/>
      <c r="C80" s="910">
        <f t="shared" si="469"/>
        <v>0</v>
      </c>
      <c r="D80" s="910">
        <f t="shared" si="470"/>
        <v>0</v>
      </c>
      <c r="E80" s="910">
        <f t="shared" si="471"/>
        <v>643500</v>
      </c>
      <c r="F80" s="910">
        <f t="shared" si="361"/>
        <v>0</v>
      </c>
      <c r="G80" s="910">
        <f t="shared" si="472"/>
        <v>0</v>
      </c>
      <c r="H80" s="910">
        <f t="shared" si="473"/>
        <v>0</v>
      </c>
      <c r="I80" s="910">
        <f t="shared" si="474"/>
        <v>0</v>
      </c>
      <c r="J80" s="910">
        <f t="shared" si="362"/>
        <v>0</v>
      </c>
      <c r="K80" s="910">
        <f t="shared" si="363"/>
        <v>0</v>
      </c>
      <c r="L80" s="910">
        <f t="shared" si="364"/>
        <v>0</v>
      </c>
      <c r="M80" s="910">
        <f t="shared" si="475"/>
        <v>0</v>
      </c>
      <c r="N80" s="910">
        <f t="shared" si="476"/>
        <v>0</v>
      </c>
      <c r="O80" s="910">
        <f t="shared" si="477"/>
        <v>0</v>
      </c>
      <c r="P80" s="910">
        <f t="shared" si="365"/>
        <v>0</v>
      </c>
      <c r="Q80" s="910">
        <f t="shared" si="478"/>
        <v>0</v>
      </c>
      <c r="R80" s="910">
        <f t="shared" si="479"/>
        <v>0</v>
      </c>
      <c r="S80" s="910">
        <f t="shared" si="480"/>
        <v>643500</v>
      </c>
      <c r="T80" s="1037">
        <f t="shared" si="366"/>
        <v>643500</v>
      </c>
      <c r="U80" s="1034">
        <f t="shared" si="452"/>
        <v>0</v>
      </c>
      <c r="V80" s="1034">
        <f t="shared" si="453"/>
        <v>0</v>
      </c>
      <c r="W80" s="1034">
        <f t="shared" si="454"/>
        <v>0</v>
      </c>
      <c r="X80" s="1034">
        <f t="shared" si="455"/>
        <v>0</v>
      </c>
      <c r="Y80" s="1034">
        <f t="shared" si="456"/>
        <v>0</v>
      </c>
      <c r="Z80" s="1034">
        <f t="shared" si="457"/>
        <v>0</v>
      </c>
      <c r="AA80" s="1034">
        <f t="shared" si="458"/>
        <v>0</v>
      </c>
      <c r="AB80" s="1034">
        <f t="shared" si="459"/>
        <v>0</v>
      </c>
      <c r="AC80" s="1034">
        <f t="shared" si="460"/>
        <v>0</v>
      </c>
      <c r="AD80" s="1034">
        <f t="shared" si="461"/>
        <v>0</v>
      </c>
      <c r="AE80" s="1034">
        <f t="shared" si="462"/>
        <v>0</v>
      </c>
      <c r="AF80" s="1034">
        <f t="shared" si="463"/>
        <v>0</v>
      </c>
      <c r="AG80" s="1034">
        <f t="shared" si="464"/>
        <v>0</v>
      </c>
      <c r="AH80" s="1041" t="str">
        <f t="shared" si="465"/>
        <v>-</v>
      </c>
      <c r="AI80" s="1014">
        <f t="shared" si="367"/>
        <v>0</v>
      </c>
      <c r="AJ80" s="1025">
        <f t="shared" si="466"/>
        <v>0</v>
      </c>
      <c r="AK80" s="1014">
        <f t="shared" si="368"/>
        <v>0</v>
      </c>
      <c r="AL80" s="1025">
        <f t="shared" si="467"/>
        <v>0</v>
      </c>
      <c r="AM80" s="1014">
        <f t="shared" si="369"/>
        <v>0</v>
      </c>
      <c r="AN80" s="1025">
        <f t="shared" si="468"/>
        <v>0</v>
      </c>
      <c r="AO80" s="1014">
        <f t="shared" si="370"/>
        <v>0</v>
      </c>
      <c r="AP80" s="1014">
        <f t="shared" si="371"/>
        <v>0</v>
      </c>
      <c r="AQ80" s="1014">
        <f t="shared" si="372"/>
        <v>0</v>
      </c>
      <c r="AR80" s="1015">
        <f t="shared" si="373"/>
        <v>0</v>
      </c>
      <c r="AS80" s="1025">
        <f t="shared" si="374"/>
        <v>0</v>
      </c>
      <c r="AT80" s="1014">
        <f t="shared" si="375"/>
        <v>0</v>
      </c>
      <c r="AU80" s="1014">
        <f t="shared" si="376"/>
        <v>0</v>
      </c>
      <c r="AV80" s="1014">
        <f t="shared" si="377"/>
        <v>0</v>
      </c>
      <c r="AW80" s="1014">
        <f t="shared" si="378"/>
        <v>0</v>
      </c>
      <c r="AX80" s="1014">
        <f t="shared" si="379"/>
        <v>0</v>
      </c>
      <c r="AY80" s="1014">
        <f t="shared" si="380"/>
        <v>0</v>
      </c>
      <c r="AZ80" s="1025">
        <f t="shared" si="381"/>
        <v>0</v>
      </c>
      <c r="BA80" s="1014">
        <f t="shared" si="382"/>
        <v>0</v>
      </c>
      <c r="BB80" s="1014">
        <f t="shared" si="383"/>
        <v>0</v>
      </c>
      <c r="BC80" s="1014">
        <f t="shared" si="384"/>
        <v>0</v>
      </c>
      <c r="BD80" s="1014">
        <f t="shared" si="385"/>
        <v>0</v>
      </c>
      <c r="BE80" s="1014">
        <f t="shared" si="386"/>
        <v>0</v>
      </c>
      <c r="BF80" s="1014">
        <f t="shared" si="387"/>
        <v>0</v>
      </c>
      <c r="BG80" s="1025">
        <f t="shared" si="388"/>
        <v>0</v>
      </c>
      <c r="BH80" s="1014">
        <f t="shared" si="389"/>
        <v>0</v>
      </c>
      <c r="BI80" s="1014">
        <f t="shared" si="390"/>
        <v>0</v>
      </c>
      <c r="BJ80" s="1014">
        <f t="shared" si="391"/>
        <v>0</v>
      </c>
      <c r="BK80" s="1014">
        <f t="shared" si="392"/>
        <v>0</v>
      </c>
      <c r="BL80" s="1014">
        <f t="shared" si="393"/>
        <v>0</v>
      </c>
      <c r="BM80" s="1014">
        <f t="shared" si="394"/>
        <v>0</v>
      </c>
      <c r="BN80" s="1025">
        <f t="shared" si="395"/>
        <v>0</v>
      </c>
      <c r="BO80" s="1014">
        <f t="shared" si="396"/>
        <v>0</v>
      </c>
      <c r="BP80" s="1014">
        <f t="shared" si="397"/>
        <v>0</v>
      </c>
      <c r="BQ80" s="1014">
        <f t="shared" si="398"/>
        <v>0</v>
      </c>
      <c r="BR80" s="1014">
        <f t="shared" si="399"/>
        <v>0</v>
      </c>
      <c r="BS80" s="1014">
        <f t="shared" si="400"/>
        <v>0</v>
      </c>
      <c r="BT80" s="1025">
        <f t="shared" si="401"/>
        <v>0</v>
      </c>
      <c r="BU80" s="1014">
        <f t="shared" si="402"/>
        <v>0</v>
      </c>
      <c r="BV80" s="1014">
        <f t="shared" si="403"/>
        <v>0</v>
      </c>
      <c r="BW80" s="1014">
        <f t="shared" si="404"/>
        <v>0</v>
      </c>
      <c r="BX80" s="1014">
        <f t="shared" si="405"/>
        <v>0</v>
      </c>
      <c r="BY80" s="1014">
        <f t="shared" si="406"/>
        <v>0</v>
      </c>
      <c r="BZ80" s="1014">
        <f t="shared" si="407"/>
        <v>0</v>
      </c>
      <c r="CA80" s="1014">
        <f t="shared" si="408"/>
        <v>0</v>
      </c>
      <c r="CB80" s="1014">
        <f t="shared" si="409"/>
        <v>0</v>
      </c>
      <c r="CC80" s="1014">
        <f t="shared" si="410"/>
        <v>0</v>
      </c>
      <c r="CD80" s="1015">
        <f t="shared" si="411"/>
        <v>0</v>
      </c>
      <c r="CE80" s="1014">
        <f t="shared" si="412"/>
        <v>0</v>
      </c>
      <c r="CF80" s="1025">
        <f t="shared" si="413"/>
        <v>0</v>
      </c>
      <c r="CG80" s="1014">
        <f t="shared" si="414"/>
        <v>0</v>
      </c>
      <c r="CH80" s="1014">
        <f t="shared" si="415"/>
        <v>0</v>
      </c>
      <c r="CI80" s="1014">
        <f t="shared" si="416"/>
        <v>0</v>
      </c>
      <c r="CJ80" s="1014">
        <f t="shared" si="417"/>
        <v>0</v>
      </c>
      <c r="CK80" s="1014">
        <f t="shared" si="418"/>
        <v>0</v>
      </c>
      <c r="CL80" s="1014">
        <f t="shared" si="419"/>
        <v>0</v>
      </c>
      <c r="CM80" s="1014">
        <f t="shared" si="420"/>
        <v>0</v>
      </c>
      <c r="CN80" s="1015">
        <f t="shared" si="421"/>
        <v>0</v>
      </c>
      <c r="CO80" s="1014">
        <f t="shared" si="422"/>
        <v>0</v>
      </c>
      <c r="CP80" s="1025">
        <f t="shared" si="423"/>
        <v>0</v>
      </c>
      <c r="CQ80" s="1014">
        <f t="shared" si="424"/>
        <v>0</v>
      </c>
      <c r="CR80" s="1014">
        <f t="shared" si="425"/>
        <v>0</v>
      </c>
      <c r="CS80" s="1014">
        <f t="shared" si="426"/>
        <v>0</v>
      </c>
      <c r="CT80" s="1014">
        <f t="shared" si="427"/>
        <v>0</v>
      </c>
      <c r="CU80" s="1015">
        <f t="shared" si="428"/>
        <v>0</v>
      </c>
      <c r="CV80" s="1030">
        <f t="shared" si="429"/>
        <v>0</v>
      </c>
      <c r="CW80" s="1014">
        <f t="shared" si="430"/>
        <v>0</v>
      </c>
      <c r="CX80" s="1014">
        <f t="shared" si="431"/>
        <v>0</v>
      </c>
      <c r="CY80" s="1014">
        <f t="shared" si="432"/>
        <v>0</v>
      </c>
      <c r="CZ80" s="1014">
        <f t="shared" si="433"/>
        <v>0</v>
      </c>
      <c r="DA80" s="1014">
        <f t="shared" si="434"/>
        <v>0</v>
      </c>
      <c r="DB80" s="1014">
        <f t="shared" si="435"/>
        <v>0</v>
      </c>
      <c r="DC80" s="1014">
        <f t="shared" si="436"/>
        <v>0</v>
      </c>
      <c r="DD80" s="1014">
        <f t="shared" si="437"/>
        <v>0</v>
      </c>
      <c r="DE80" s="1015">
        <f t="shared" si="438"/>
        <v>0</v>
      </c>
      <c r="DF80" s="1014">
        <f t="shared" si="439"/>
        <v>0</v>
      </c>
      <c r="DG80" s="1014">
        <f t="shared" si="440"/>
        <v>0</v>
      </c>
      <c r="DH80" s="1012">
        <f t="shared" si="481"/>
        <v>0</v>
      </c>
      <c r="DI80" s="1014">
        <f t="shared" si="441"/>
        <v>0</v>
      </c>
      <c r="DJ80" s="1014">
        <f t="shared" si="442"/>
        <v>0</v>
      </c>
      <c r="DK80" s="1014">
        <f t="shared" si="443"/>
        <v>0</v>
      </c>
      <c r="DL80" s="1014">
        <f t="shared" si="444"/>
        <v>0</v>
      </c>
      <c r="DM80" s="1014">
        <f t="shared" si="445"/>
        <v>0</v>
      </c>
      <c r="DN80" s="1014">
        <f t="shared" si="446"/>
        <v>0</v>
      </c>
      <c r="DO80" s="1014">
        <f t="shared" si="447"/>
        <v>0</v>
      </c>
      <c r="DP80" s="1014">
        <f t="shared" si="448"/>
        <v>0</v>
      </c>
      <c r="DQ80" s="1020">
        <f t="shared" si="449"/>
        <v>0</v>
      </c>
      <c r="DR80" s="1014">
        <f t="shared" si="450"/>
        <v>0</v>
      </c>
      <c r="DS80" s="1014">
        <f t="shared" si="451"/>
        <v>0</v>
      </c>
      <c r="DT80" s="1025">
        <f t="shared" si="482"/>
        <v>0</v>
      </c>
    </row>
    <row r="81" spans="1:138" x14ac:dyDescent="0.2">
      <c r="A81" s="908" t="s">
        <v>310</v>
      </c>
      <c r="B81" s="908"/>
      <c r="C81" s="910">
        <f t="shared" si="469"/>
        <v>0</v>
      </c>
      <c r="D81" s="910">
        <f t="shared" si="470"/>
        <v>0</v>
      </c>
      <c r="E81" s="910">
        <f t="shared" si="471"/>
        <v>0</v>
      </c>
      <c r="F81" s="910">
        <f t="shared" si="361"/>
        <v>0</v>
      </c>
      <c r="G81" s="910">
        <f t="shared" si="472"/>
        <v>0</v>
      </c>
      <c r="H81" s="910">
        <f t="shared" si="473"/>
        <v>0</v>
      </c>
      <c r="I81" s="910">
        <f t="shared" si="474"/>
        <v>0</v>
      </c>
      <c r="J81" s="910">
        <f t="shared" si="362"/>
        <v>0</v>
      </c>
      <c r="K81" s="910">
        <f t="shared" si="363"/>
        <v>0</v>
      </c>
      <c r="L81" s="910">
        <f t="shared" si="364"/>
        <v>0</v>
      </c>
      <c r="M81" s="910">
        <f t="shared" si="475"/>
        <v>6860</v>
      </c>
      <c r="N81" s="910">
        <f t="shared" si="476"/>
        <v>0</v>
      </c>
      <c r="O81" s="910">
        <f t="shared" si="477"/>
        <v>0</v>
      </c>
      <c r="P81" s="910">
        <f t="shared" si="365"/>
        <v>0</v>
      </c>
      <c r="Q81" s="910">
        <f t="shared" si="478"/>
        <v>0</v>
      </c>
      <c r="R81" s="910">
        <f t="shared" si="479"/>
        <v>0</v>
      </c>
      <c r="S81" s="910">
        <f t="shared" si="480"/>
        <v>6860</v>
      </c>
      <c r="T81" s="1037">
        <f t="shared" si="366"/>
        <v>0</v>
      </c>
      <c r="U81" s="1034">
        <f t="shared" si="452"/>
        <v>0</v>
      </c>
      <c r="V81" s="1034">
        <f t="shared" si="453"/>
        <v>0</v>
      </c>
      <c r="W81" s="1034">
        <f t="shared" si="454"/>
        <v>0</v>
      </c>
      <c r="X81" s="1034">
        <f t="shared" si="455"/>
        <v>0</v>
      </c>
      <c r="Y81" s="1034">
        <f t="shared" si="456"/>
        <v>0</v>
      </c>
      <c r="Z81" s="1034">
        <f t="shared" si="457"/>
        <v>0</v>
      </c>
      <c r="AA81" s="1034">
        <f t="shared" si="458"/>
        <v>0</v>
      </c>
      <c r="AB81" s="1034">
        <f t="shared" si="459"/>
        <v>0</v>
      </c>
      <c r="AC81" s="1034">
        <f t="shared" si="460"/>
        <v>0</v>
      </c>
      <c r="AD81" s="1034">
        <f t="shared" si="461"/>
        <v>0</v>
      </c>
      <c r="AE81" s="1034">
        <f t="shared" si="462"/>
        <v>0</v>
      </c>
      <c r="AF81" s="1034">
        <f t="shared" si="463"/>
        <v>6860</v>
      </c>
      <c r="AG81" s="1034">
        <f t="shared" si="464"/>
        <v>6860</v>
      </c>
      <c r="AH81" s="1041">
        <f t="shared" si="465"/>
        <v>1</v>
      </c>
      <c r="AI81" s="1014">
        <f t="shared" si="367"/>
        <v>0</v>
      </c>
      <c r="AJ81" s="1025">
        <f t="shared" si="466"/>
        <v>0</v>
      </c>
      <c r="AK81" s="1014">
        <f t="shared" si="368"/>
        <v>0</v>
      </c>
      <c r="AL81" s="1025">
        <f t="shared" si="467"/>
        <v>0</v>
      </c>
      <c r="AM81" s="1014">
        <f t="shared" si="369"/>
        <v>0</v>
      </c>
      <c r="AN81" s="1025">
        <f t="shared" si="468"/>
        <v>0</v>
      </c>
      <c r="AO81" s="1014">
        <f t="shared" si="370"/>
        <v>0</v>
      </c>
      <c r="AP81" s="1014">
        <f t="shared" si="371"/>
        <v>0</v>
      </c>
      <c r="AQ81" s="1014">
        <f t="shared" si="372"/>
        <v>0</v>
      </c>
      <c r="AR81" s="1015">
        <f t="shared" si="373"/>
        <v>0</v>
      </c>
      <c r="AS81" s="1025">
        <f t="shared" si="374"/>
        <v>0</v>
      </c>
      <c r="AT81" s="1014">
        <f t="shared" si="375"/>
        <v>0</v>
      </c>
      <c r="AU81" s="1014">
        <f t="shared" si="376"/>
        <v>0</v>
      </c>
      <c r="AV81" s="1014">
        <f t="shared" si="377"/>
        <v>0</v>
      </c>
      <c r="AW81" s="1014">
        <f t="shared" si="378"/>
        <v>0</v>
      </c>
      <c r="AX81" s="1014">
        <f t="shared" si="379"/>
        <v>0</v>
      </c>
      <c r="AY81" s="1014">
        <f t="shared" si="380"/>
        <v>0</v>
      </c>
      <c r="AZ81" s="1025">
        <f t="shared" si="381"/>
        <v>0</v>
      </c>
      <c r="BA81" s="1014">
        <f t="shared" si="382"/>
        <v>0</v>
      </c>
      <c r="BB81" s="1014">
        <f t="shared" si="383"/>
        <v>0</v>
      </c>
      <c r="BC81" s="1014">
        <f t="shared" si="384"/>
        <v>0</v>
      </c>
      <c r="BD81" s="1014">
        <f t="shared" si="385"/>
        <v>0</v>
      </c>
      <c r="BE81" s="1014">
        <f t="shared" si="386"/>
        <v>0</v>
      </c>
      <c r="BF81" s="1014">
        <f t="shared" si="387"/>
        <v>0</v>
      </c>
      <c r="BG81" s="1025">
        <f t="shared" si="388"/>
        <v>0</v>
      </c>
      <c r="BH81" s="1014">
        <f t="shared" si="389"/>
        <v>0</v>
      </c>
      <c r="BI81" s="1014">
        <f t="shared" si="390"/>
        <v>0</v>
      </c>
      <c r="BJ81" s="1014">
        <f t="shared" si="391"/>
        <v>0</v>
      </c>
      <c r="BK81" s="1014">
        <f t="shared" si="392"/>
        <v>0</v>
      </c>
      <c r="BL81" s="1014">
        <f t="shared" si="393"/>
        <v>0</v>
      </c>
      <c r="BM81" s="1014">
        <f t="shared" si="394"/>
        <v>0</v>
      </c>
      <c r="BN81" s="1025">
        <f t="shared" si="395"/>
        <v>0</v>
      </c>
      <c r="BO81" s="1014">
        <f t="shared" si="396"/>
        <v>0</v>
      </c>
      <c r="BP81" s="1014">
        <f t="shared" si="397"/>
        <v>0</v>
      </c>
      <c r="BQ81" s="1014">
        <f t="shared" si="398"/>
        <v>0</v>
      </c>
      <c r="BR81" s="1014">
        <f t="shared" si="399"/>
        <v>0</v>
      </c>
      <c r="BS81" s="1014">
        <f t="shared" si="400"/>
        <v>0</v>
      </c>
      <c r="BT81" s="1025">
        <f t="shared" si="401"/>
        <v>0</v>
      </c>
      <c r="BU81" s="1014">
        <f t="shared" si="402"/>
        <v>0</v>
      </c>
      <c r="BV81" s="1014">
        <f t="shared" si="403"/>
        <v>0</v>
      </c>
      <c r="BW81" s="1014">
        <f t="shared" si="404"/>
        <v>0</v>
      </c>
      <c r="BX81" s="1014">
        <f t="shared" si="405"/>
        <v>0</v>
      </c>
      <c r="BY81" s="1014">
        <f t="shared" si="406"/>
        <v>0</v>
      </c>
      <c r="BZ81" s="1014">
        <f t="shared" si="407"/>
        <v>0</v>
      </c>
      <c r="CA81" s="1014">
        <f t="shared" si="408"/>
        <v>0</v>
      </c>
      <c r="CB81" s="1014">
        <f t="shared" si="409"/>
        <v>0</v>
      </c>
      <c r="CC81" s="1014">
        <f t="shared" si="410"/>
        <v>0</v>
      </c>
      <c r="CD81" s="1015">
        <f t="shared" si="411"/>
        <v>0</v>
      </c>
      <c r="CE81" s="1014">
        <f t="shared" si="412"/>
        <v>0</v>
      </c>
      <c r="CF81" s="1025">
        <f t="shared" si="413"/>
        <v>0</v>
      </c>
      <c r="CG81" s="1014">
        <f t="shared" si="414"/>
        <v>0</v>
      </c>
      <c r="CH81" s="1014">
        <f t="shared" si="415"/>
        <v>0</v>
      </c>
      <c r="CI81" s="1014">
        <f t="shared" si="416"/>
        <v>0</v>
      </c>
      <c r="CJ81" s="1014">
        <f t="shared" si="417"/>
        <v>0</v>
      </c>
      <c r="CK81" s="1014">
        <f t="shared" si="418"/>
        <v>0</v>
      </c>
      <c r="CL81" s="1014">
        <f t="shared" si="419"/>
        <v>0</v>
      </c>
      <c r="CM81" s="1014">
        <f t="shared" si="420"/>
        <v>0</v>
      </c>
      <c r="CN81" s="1015">
        <f t="shared" si="421"/>
        <v>0</v>
      </c>
      <c r="CO81" s="1014">
        <f t="shared" si="422"/>
        <v>0</v>
      </c>
      <c r="CP81" s="1025">
        <f t="shared" si="423"/>
        <v>0</v>
      </c>
      <c r="CQ81" s="1014">
        <f t="shared" si="424"/>
        <v>0</v>
      </c>
      <c r="CR81" s="1014">
        <f t="shared" si="425"/>
        <v>0</v>
      </c>
      <c r="CS81" s="1014">
        <f t="shared" si="426"/>
        <v>0</v>
      </c>
      <c r="CT81" s="1014">
        <f t="shared" si="427"/>
        <v>0</v>
      </c>
      <c r="CU81" s="1015">
        <f t="shared" si="428"/>
        <v>0</v>
      </c>
      <c r="CV81" s="1030">
        <f t="shared" si="429"/>
        <v>0</v>
      </c>
      <c r="CW81" s="1014">
        <f t="shared" si="430"/>
        <v>0</v>
      </c>
      <c r="CX81" s="1014">
        <f t="shared" si="431"/>
        <v>0</v>
      </c>
      <c r="CY81" s="1014">
        <f t="shared" si="432"/>
        <v>0</v>
      </c>
      <c r="CZ81" s="1014">
        <f t="shared" si="433"/>
        <v>0</v>
      </c>
      <c r="DA81" s="1014">
        <f t="shared" si="434"/>
        <v>0</v>
      </c>
      <c r="DB81" s="1014">
        <f t="shared" si="435"/>
        <v>0</v>
      </c>
      <c r="DC81" s="1014">
        <f t="shared" si="436"/>
        <v>6860</v>
      </c>
      <c r="DD81" s="1014">
        <f t="shared" si="437"/>
        <v>0</v>
      </c>
      <c r="DE81" s="1015">
        <f t="shared" si="438"/>
        <v>0</v>
      </c>
      <c r="DF81" s="1014">
        <f t="shared" si="439"/>
        <v>0</v>
      </c>
      <c r="DG81" s="1014">
        <f t="shared" si="440"/>
        <v>0</v>
      </c>
      <c r="DH81" s="1012">
        <f t="shared" si="481"/>
        <v>6860</v>
      </c>
      <c r="DI81" s="1014">
        <f t="shared" si="441"/>
        <v>0</v>
      </c>
      <c r="DJ81" s="1014">
        <f t="shared" si="442"/>
        <v>0</v>
      </c>
      <c r="DK81" s="1014">
        <f t="shared" si="443"/>
        <v>0</v>
      </c>
      <c r="DL81" s="1014">
        <f t="shared" si="444"/>
        <v>0</v>
      </c>
      <c r="DM81" s="1014">
        <f t="shared" si="445"/>
        <v>0</v>
      </c>
      <c r="DN81" s="1014">
        <f t="shared" si="446"/>
        <v>0</v>
      </c>
      <c r="DO81" s="1014">
        <f t="shared" si="447"/>
        <v>0</v>
      </c>
      <c r="DP81" s="1014">
        <f t="shared" si="448"/>
        <v>0</v>
      </c>
      <c r="DQ81" s="1020">
        <f t="shared" si="449"/>
        <v>0</v>
      </c>
      <c r="DR81" s="1014">
        <f t="shared" si="450"/>
        <v>0</v>
      </c>
      <c r="DS81" s="1014">
        <f t="shared" si="451"/>
        <v>0</v>
      </c>
      <c r="DT81" s="1025">
        <f t="shared" si="482"/>
        <v>0</v>
      </c>
    </row>
    <row r="82" spans="1:138" x14ac:dyDescent="0.2">
      <c r="A82" s="908" t="s">
        <v>354</v>
      </c>
      <c r="B82" s="908"/>
      <c r="C82" s="910">
        <f t="shared" si="469"/>
        <v>0</v>
      </c>
      <c r="D82" s="910">
        <f t="shared" si="470"/>
        <v>136000</v>
      </c>
      <c r="E82" s="910">
        <f t="shared" si="471"/>
        <v>0</v>
      </c>
      <c r="F82" s="910">
        <f t="shared" si="361"/>
        <v>0</v>
      </c>
      <c r="G82" s="910">
        <f t="shared" si="472"/>
        <v>0</v>
      </c>
      <c r="H82" s="910">
        <f t="shared" si="473"/>
        <v>0</v>
      </c>
      <c r="I82" s="910">
        <f t="shared" si="474"/>
        <v>0</v>
      </c>
      <c r="J82" s="910">
        <f t="shared" si="362"/>
        <v>0</v>
      </c>
      <c r="K82" s="910">
        <f t="shared" si="363"/>
        <v>0</v>
      </c>
      <c r="L82" s="910">
        <f t="shared" si="364"/>
        <v>0</v>
      </c>
      <c r="M82" s="910">
        <f t="shared" si="475"/>
        <v>0</v>
      </c>
      <c r="N82" s="910">
        <f t="shared" si="476"/>
        <v>0</v>
      </c>
      <c r="O82" s="910">
        <f t="shared" si="477"/>
        <v>0</v>
      </c>
      <c r="P82" s="910">
        <f t="shared" si="365"/>
        <v>0</v>
      </c>
      <c r="Q82" s="910">
        <f t="shared" si="478"/>
        <v>0</v>
      </c>
      <c r="R82" s="910">
        <f t="shared" si="479"/>
        <v>0</v>
      </c>
      <c r="S82" s="910">
        <f t="shared" si="480"/>
        <v>136000</v>
      </c>
      <c r="T82" s="1037">
        <f t="shared" si="366"/>
        <v>136000</v>
      </c>
      <c r="U82" s="1034">
        <f t="shared" si="452"/>
        <v>0</v>
      </c>
      <c r="V82" s="1034">
        <f t="shared" si="453"/>
        <v>0</v>
      </c>
      <c r="W82" s="1034">
        <f t="shared" si="454"/>
        <v>0</v>
      </c>
      <c r="X82" s="1034">
        <f t="shared" si="455"/>
        <v>0</v>
      </c>
      <c r="Y82" s="1034">
        <f t="shared" si="456"/>
        <v>0</v>
      </c>
      <c r="Z82" s="1034">
        <f t="shared" si="457"/>
        <v>0</v>
      </c>
      <c r="AA82" s="1034">
        <f t="shared" si="458"/>
        <v>0</v>
      </c>
      <c r="AB82" s="1034">
        <f t="shared" si="459"/>
        <v>0</v>
      </c>
      <c r="AC82" s="1034">
        <f t="shared" si="460"/>
        <v>0</v>
      </c>
      <c r="AD82" s="1034">
        <f t="shared" si="461"/>
        <v>0</v>
      </c>
      <c r="AE82" s="1034">
        <f t="shared" si="462"/>
        <v>0</v>
      </c>
      <c r="AF82" s="1034">
        <f t="shared" si="463"/>
        <v>0</v>
      </c>
      <c r="AG82" s="1034">
        <f t="shared" si="464"/>
        <v>0</v>
      </c>
      <c r="AH82" s="1041" t="str">
        <f t="shared" si="465"/>
        <v>-</v>
      </c>
      <c r="AI82" s="1014">
        <f t="shared" si="367"/>
        <v>0</v>
      </c>
      <c r="AJ82" s="1025">
        <f t="shared" si="466"/>
        <v>0</v>
      </c>
      <c r="AK82" s="1014">
        <f t="shared" si="368"/>
        <v>0</v>
      </c>
      <c r="AL82" s="1025">
        <f t="shared" si="467"/>
        <v>0</v>
      </c>
      <c r="AM82" s="1014">
        <f t="shared" si="369"/>
        <v>0</v>
      </c>
      <c r="AN82" s="1025">
        <f t="shared" si="468"/>
        <v>0</v>
      </c>
      <c r="AO82" s="1014">
        <f t="shared" si="370"/>
        <v>0</v>
      </c>
      <c r="AP82" s="1014">
        <f t="shared" si="371"/>
        <v>0</v>
      </c>
      <c r="AQ82" s="1014">
        <f t="shared" si="372"/>
        <v>0</v>
      </c>
      <c r="AR82" s="1015">
        <f t="shared" si="373"/>
        <v>0</v>
      </c>
      <c r="AS82" s="1025">
        <f t="shared" si="374"/>
        <v>0</v>
      </c>
      <c r="AT82" s="1014">
        <f t="shared" si="375"/>
        <v>0</v>
      </c>
      <c r="AU82" s="1014">
        <f t="shared" si="376"/>
        <v>0</v>
      </c>
      <c r="AV82" s="1014">
        <f t="shared" si="377"/>
        <v>0</v>
      </c>
      <c r="AW82" s="1014">
        <f t="shared" si="378"/>
        <v>0</v>
      </c>
      <c r="AX82" s="1014">
        <f t="shared" si="379"/>
        <v>0</v>
      </c>
      <c r="AY82" s="1014">
        <f t="shared" si="380"/>
        <v>0</v>
      </c>
      <c r="AZ82" s="1025">
        <f t="shared" si="381"/>
        <v>0</v>
      </c>
      <c r="BA82" s="1014">
        <f t="shared" si="382"/>
        <v>0</v>
      </c>
      <c r="BB82" s="1014">
        <f t="shared" si="383"/>
        <v>0</v>
      </c>
      <c r="BC82" s="1014">
        <f t="shared" si="384"/>
        <v>0</v>
      </c>
      <c r="BD82" s="1014">
        <f t="shared" si="385"/>
        <v>0</v>
      </c>
      <c r="BE82" s="1014">
        <f t="shared" si="386"/>
        <v>0</v>
      </c>
      <c r="BF82" s="1014">
        <f t="shared" si="387"/>
        <v>0</v>
      </c>
      <c r="BG82" s="1025">
        <f t="shared" si="388"/>
        <v>0</v>
      </c>
      <c r="BH82" s="1014">
        <f t="shared" si="389"/>
        <v>0</v>
      </c>
      <c r="BI82" s="1014">
        <f t="shared" si="390"/>
        <v>0</v>
      </c>
      <c r="BJ82" s="1014">
        <f t="shared" si="391"/>
        <v>0</v>
      </c>
      <c r="BK82" s="1014">
        <f t="shared" si="392"/>
        <v>0</v>
      </c>
      <c r="BL82" s="1014">
        <f t="shared" si="393"/>
        <v>0</v>
      </c>
      <c r="BM82" s="1014">
        <f t="shared" si="394"/>
        <v>0</v>
      </c>
      <c r="BN82" s="1025">
        <f t="shared" si="395"/>
        <v>0</v>
      </c>
      <c r="BO82" s="1014">
        <f t="shared" si="396"/>
        <v>0</v>
      </c>
      <c r="BP82" s="1014">
        <f t="shared" si="397"/>
        <v>0</v>
      </c>
      <c r="BQ82" s="1014">
        <f t="shared" si="398"/>
        <v>0</v>
      </c>
      <c r="BR82" s="1014">
        <f t="shared" si="399"/>
        <v>0</v>
      </c>
      <c r="BS82" s="1014">
        <f t="shared" si="400"/>
        <v>0</v>
      </c>
      <c r="BT82" s="1025">
        <f t="shared" si="401"/>
        <v>0</v>
      </c>
      <c r="BU82" s="1014">
        <f t="shared" si="402"/>
        <v>0</v>
      </c>
      <c r="BV82" s="1014">
        <f t="shared" si="403"/>
        <v>0</v>
      </c>
      <c r="BW82" s="1014">
        <f t="shared" si="404"/>
        <v>0</v>
      </c>
      <c r="BX82" s="1014">
        <f t="shared" si="405"/>
        <v>0</v>
      </c>
      <c r="BY82" s="1014">
        <f t="shared" si="406"/>
        <v>0</v>
      </c>
      <c r="BZ82" s="1014">
        <f t="shared" si="407"/>
        <v>0</v>
      </c>
      <c r="CA82" s="1014">
        <f t="shared" si="408"/>
        <v>0</v>
      </c>
      <c r="CB82" s="1014">
        <f t="shared" si="409"/>
        <v>0</v>
      </c>
      <c r="CC82" s="1014">
        <f t="shared" si="410"/>
        <v>0</v>
      </c>
      <c r="CD82" s="1015">
        <f t="shared" si="411"/>
        <v>0</v>
      </c>
      <c r="CE82" s="1014">
        <f t="shared" si="412"/>
        <v>0</v>
      </c>
      <c r="CF82" s="1025">
        <f t="shared" si="413"/>
        <v>0</v>
      </c>
      <c r="CG82" s="1014">
        <f t="shared" si="414"/>
        <v>0</v>
      </c>
      <c r="CH82" s="1014">
        <f t="shared" si="415"/>
        <v>0</v>
      </c>
      <c r="CI82" s="1014">
        <f t="shared" si="416"/>
        <v>0</v>
      </c>
      <c r="CJ82" s="1014">
        <f t="shared" si="417"/>
        <v>0</v>
      </c>
      <c r="CK82" s="1014">
        <f t="shared" si="418"/>
        <v>0</v>
      </c>
      <c r="CL82" s="1014">
        <f t="shared" si="419"/>
        <v>0</v>
      </c>
      <c r="CM82" s="1014">
        <f t="shared" si="420"/>
        <v>0</v>
      </c>
      <c r="CN82" s="1015">
        <f t="shared" si="421"/>
        <v>0</v>
      </c>
      <c r="CO82" s="1014">
        <f t="shared" si="422"/>
        <v>0</v>
      </c>
      <c r="CP82" s="1025">
        <f t="shared" si="423"/>
        <v>0</v>
      </c>
      <c r="CQ82" s="1014">
        <f t="shared" si="424"/>
        <v>0</v>
      </c>
      <c r="CR82" s="1014">
        <f t="shared" si="425"/>
        <v>0</v>
      </c>
      <c r="CS82" s="1014">
        <f t="shared" si="426"/>
        <v>0</v>
      </c>
      <c r="CT82" s="1014">
        <f t="shared" si="427"/>
        <v>0</v>
      </c>
      <c r="CU82" s="1015">
        <f t="shared" si="428"/>
        <v>0</v>
      </c>
      <c r="CV82" s="1030">
        <f t="shared" si="429"/>
        <v>0</v>
      </c>
      <c r="CW82" s="1014">
        <f t="shared" si="430"/>
        <v>0</v>
      </c>
      <c r="CX82" s="1014">
        <f t="shared" si="431"/>
        <v>0</v>
      </c>
      <c r="CY82" s="1014">
        <f t="shared" si="432"/>
        <v>0</v>
      </c>
      <c r="CZ82" s="1014">
        <f t="shared" si="433"/>
        <v>0</v>
      </c>
      <c r="DA82" s="1014">
        <f t="shared" si="434"/>
        <v>0</v>
      </c>
      <c r="DB82" s="1014">
        <f t="shared" si="435"/>
        <v>0</v>
      </c>
      <c r="DC82" s="1014">
        <f t="shared" si="436"/>
        <v>0</v>
      </c>
      <c r="DD82" s="1014">
        <f t="shared" si="437"/>
        <v>0</v>
      </c>
      <c r="DE82" s="1015">
        <f t="shared" si="438"/>
        <v>0</v>
      </c>
      <c r="DF82" s="1014">
        <f t="shared" si="439"/>
        <v>0</v>
      </c>
      <c r="DG82" s="1014">
        <f t="shared" si="440"/>
        <v>0</v>
      </c>
      <c r="DH82" s="1012">
        <f t="shared" si="481"/>
        <v>0</v>
      </c>
      <c r="DI82" s="1014">
        <f t="shared" si="441"/>
        <v>0</v>
      </c>
      <c r="DJ82" s="1014">
        <f t="shared" si="442"/>
        <v>0</v>
      </c>
      <c r="DK82" s="1014">
        <f t="shared" si="443"/>
        <v>0</v>
      </c>
      <c r="DL82" s="1014">
        <f t="shared" si="444"/>
        <v>0</v>
      </c>
      <c r="DM82" s="1014">
        <f t="shared" si="445"/>
        <v>0</v>
      </c>
      <c r="DN82" s="1014">
        <f t="shared" si="446"/>
        <v>0</v>
      </c>
      <c r="DO82" s="1014">
        <f t="shared" si="447"/>
        <v>0</v>
      </c>
      <c r="DP82" s="1014">
        <f t="shared" si="448"/>
        <v>0</v>
      </c>
      <c r="DQ82" s="1020">
        <f t="shared" si="449"/>
        <v>0</v>
      </c>
      <c r="DR82" s="1014">
        <f t="shared" si="450"/>
        <v>0</v>
      </c>
      <c r="DS82" s="1014">
        <f t="shared" si="451"/>
        <v>0</v>
      </c>
      <c r="DT82" s="1025">
        <f t="shared" si="482"/>
        <v>0</v>
      </c>
    </row>
    <row r="83" spans="1:138" x14ac:dyDescent="0.2">
      <c r="A83" s="908" t="s">
        <v>277</v>
      </c>
      <c r="B83" s="908"/>
      <c r="C83" s="910">
        <f t="shared" si="469"/>
        <v>0</v>
      </c>
      <c r="D83" s="910">
        <f t="shared" si="470"/>
        <v>0</v>
      </c>
      <c r="E83" s="910">
        <f t="shared" si="471"/>
        <v>0</v>
      </c>
      <c r="F83" s="910">
        <f t="shared" si="361"/>
        <v>0</v>
      </c>
      <c r="G83" s="910">
        <f t="shared" si="472"/>
        <v>0</v>
      </c>
      <c r="H83" s="910">
        <f t="shared" si="473"/>
        <v>0</v>
      </c>
      <c r="I83" s="910">
        <f t="shared" si="474"/>
        <v>0</v>
      </c>
      <c r="J83" s="910">
        <f t="shared" si="362"/>
        <v>0</v>
      </c>
      <c r="K83" s="910">
        <f t="shared" si="363"/>
        <v>0</v>
      </c>
      <c r="L83" s="910">
        <f t="shared" si="364"/>
        <v>0</v>
      </c>
      <c r="M83" s="910">
        <f t="shared" si="475"/>
        <v>7700</v>
      </c>
      <c r="N83" s="910">
        <f t="shared" si="476"/>
        <v>0</v>
      </c>
      <c r="O83" s="910">
        <f t="shared" si="477"/>
        <v>0</v>
      </c>
      <c r="P83" s="910">
        <f t="shared" si="365"/>
        <v>0</v>
      </c>
      <c r="Q83" s="910">
        <f t="shared" si="478"/>
        <v>0</v>
      </c>
      <c r="R83" s="910">
        <f t="shared" si="479"/>
        <v>0</v>
      </c>
      <c r="S83" s="910">
        <f t="shared" si="480"/>
        <v>7700</v>
      </c>
      <c r="T83" s="1037">
        <f t="shared" si="366"/>
        <v>0</v>
      </c>
      <c r="U83" s="1034">
        <f t="shared" si="452"/>
        <v>0</v>
      </c>
      <c r="V83" s="1034">
        <f t="shared" si="453"/>
        <v>0</v>
      </c>
      <c r="W83" s="1034">
        <f t="shared" si="454"/>
        <v>0</v>
      </c>
      <c r="X83" s="1034">
        <f t="shared" si="455"/>
        <v>0</v>
      </c>
      <c r="Y83" s="1034">
        <f t="shared" si="456"/>
        <v>0</v>
      </c>
      <c r="Z83" s="1034">
        <f t="shared" si="457"/>
        <v>0</v>
      </c>
      <c r="AA83" s="1034">
        <f t="shared" si="458"/>
        <v>0</v>
      </c>
      <c r="AB83" s="1034">
        <f t="shared" si="459"/>
        <v>0</v>
      </c>
      <c r="AC83" s="1034">
        <f t="shared" si="460"/>
        <v>0</v>
      </c>
      <c r="AD83" s="1034">
        <f t="shared" si="461"/>
        <v>0</v>
      </c>
      <c r="AE83" s="1034">
        <f t="shared" si="462"/>
        <v>0</v>
      </c>
      <c r="AF83" s="1034">
        <f t="shared" si="463"/>
        <v>7700</v>
      </c>
      <c r="AG83" s="1034">
        <f t="shared" si="464"/>
        <v>7700</v>
      </c>
      <c r="AH83" s="1041">
        <f t="shared" si="465"/>
        <v>1</v>
      </c>
      <c r="AI83" s="1014">
        <f t="shared" si="367"/>
        <v>0</v>
      </c>
      <c r="AJ83" s="1025">
        <f t="shared" si="466"/>
        <v>0</v>
      </c>
      <c r="AK83" s="1014">
        <f t="shared" si="368"/>
        <v>0</v>
      </c>
      <c r="AL83" s="1025">
        <f t="shared" si="467"/>
        <v>0</v>
      </c>
      <c r="AM83" s="1014">
        <f t="shared" si="369"/>
        <v>0</v>
      </c>
      <c r="AN83" s="1025">
        <f t="shared" si="468"/>
        <v>0</v>
      </c>
      <c r="AO83" s="1014">
        <f t="shared" si="370"/>
        <v>0</v>
      </c>
      <c r="AP83" s="1014">
        <f t="shared" si="371"/>
        <v>0</v>
      </c>
      <c r="AQ83" s="1014">
        <f t="shared" si="372"/>
        <v>0</v>
      </c>
      <c r="AR83" s="1015">
        <f t="shared" si="373"/>
        <v>0</v>
      </c>
      <c r="AS83" s="1025">
        <f t="shared" si="374"/>
        <v>0</v>
      </c>
      <c r="AT83" s="1014">
        <f t="shared" si="375"/>
        <v>0</v>
      </c>
      <c r="AU83" s="1014">
        <f t="shared" si="376"/>
        <v>0</v>
      </c>
      <c r="AV83" s="1014">
        <f t="shared" si="377"/>
        <v>0</v>
      </c>
      <c r="AW83" s="1014">
        <f t="shared" si="378"/>
        <v>0</v>
      </c>
      <c r="AX83" s="1014">
        <f t="shared" si="379"/>
        <v>0</v>
      </c>
      <c r="AY83" s="1014">
        <f t="shared" si="380"/>
        <v>0</v>
      </c>
      <c r="AZ83" s="1025">
        <f t="shared" si="381"/>
        <v>0</v>
      </c>
      <c r="BA83" s="1014">
        <f t="shared" si="382"/>
        <v>0</v>
      </c>
      <c r="BB83" s="1014">
        <f t="shared" si="383"/>
        <v>0</v>
      </c>
      <c r="BC83" s="1014">
        <f t="shared" si="384"/>
        <v>0</v>
      </c>
      <c r="BD83" s="1014">
        <f t="shared" si="385"/>
        <v>0</v>
      </c>
      <c r="BE83" s="1014">
        <f t="shared" si="386"/>
        <v>0</v>
      </c>
      <c r="BF83" s="1014">
        <f t="shared" si="387"/>
        <v>0</v>
      </c>
      <c r="BG83" s="1025">
        <f t="shared" si="388"/>
        <v>0</v>
      </c>
      <c r="BH83" s="1014">
        <f t="shared" si="389"/>
        <v>0</v>
      </c>
      <c r="BI83" s="1014">
        <f t="shared" si="390"/>
        <v>0</v>
      </c>
      <c r="BJ83" s="1014">
        <f t="shared" si="391"/>
        <v>0</v>
      </c>
      <c r="BK83" s="1014">
        <f t="shared" si="392"/>
        <v>0</v>
      </c>
      <c r="BL83" s="1014">
        <f t="shared" si="393"/>
        <v>0</v>
      </c>
      <c r="BM83" s="1014">
        <f t="shared" si="394"/>
        <v>0</v>
      </c>
      <c r="BN83" s="1025">
        <f t="shared" si="395"/>
        <v>0</v>
      </c>
      <c r="BO83" s="1014">
        <f t="shared" si="396"/>
        <v>0</v>
      </c>
      <c r="BP83" s="1014">
        <f t="shared" si="397"/>
        <v>0</v>
      </c>
      <c r="BQ83" s="1014">
        <f t="shared" si="398"/>
        <v>0</v>
      </c>
      <c r="BR83" s="1014">
        <f t="shared" si="399"/>
        <v>0</v>
      </c>
      <c r="BS83" s="1014">
        <f t="shared" si="400"/>
        <v>0</v>
      </c>
      <c r="BT83" s="1025">
        <f t="shared" si="401"/>
        <v>0</v>
      </c>
      <c r="BU83" s="1014">
        <f t="shared" si="402"/>
        <v>0</v>
      </c>
      <c r="BV83" s="1014">
        <f t="shared" si="403"/>
        <v>0</v>
      </c>
      <c r="BW83" s="1014">
        <f t="shared" si="404"/>
        <v>0</v>
      </c>
      <c r="BX83" s="1014">
        <f t="shared" si="405"/>
        <v>0</v>
      </c>
      <c r="BY83" s="1014">
        <f t="shared" si="406"/>
        <v>0</v>
      </c>
      <c r="BZ83" s="1014">
        <f t="shared" si="407"/>
        <v>0</v>
      </c>
      <c r="CA83" s="1014">
        <f t="shared" si="408"/>
        <v>0</v>
      </c>
      <c r="CB83" s="1014">
        <f t="shared" si="409"/>
        <v>0</v>
      </c>
      <c r="CC83" s="1014">
        <f t="shared" si="410"/>
        <v>0</v>
      </c>
      <c r="CD83" s="1015">
        <f t="shared" si="411"/>
        <v>0</v>
      </c>
      <c r="CE83" s="1014">
        <f t="shared" si="412"/>
        <v>0</v>
      </c>
      <c r="CF83" s="1025">
        <f t="shared" si="413"/>
        <v>0</v>
      </c>
      <c r="CG83" s="1014">
        <f t="shared" si="414"/>
        <v>0</v>
      </c>
      <c r="CH83" s="1014">
        <f t="shared" si="415"/>
        <v>0</v>
      </c>
      <c r="CI83" s="1014">
        <f t="shared" si="416"/>
        <v>0</v>
      </c>
      <c r="CJ83" s="1014">
        <f t="shared" si="417"/>
        <v>0</v>
      </c>
      <c r="CK83" s="1014">
        <f t="shared" si="418"/>
        <v>0</v>
      </c>
      <c r="CL83" s="1014">
        <f t="shared" si="419"/>
        <v>0</v>
      </c>
      <c r="CM83" s="1014">
        <f t="shared" si="420"/>
        <v>0</v>
      </c>
      <c r="CN83" s="1015">
        <f t="shared" si="421"/>
        <v>0</v>
      </c>
      <c r="CO83" s="1014">
        <f t="shared" si="422"/>
        <v>0</v>
      </c>
      <c r="CP83" s="1025">
        <f t="shared" si="423"/>
        <v>0</v>
      </c>
      <c r="CQ83" s="1014">
        <f t="shared" si="424"/>
        <v>0</v>
      </c>
      <c r="CR83" s="1014">
        <f t="shared" si="425"/>
        <v>0</v>
      </c>
      <c r="CS83" s="1014">
        <f t="shared" si="426"/>
        <v>0</v>
      </c>
      <c r="CT83" s="1014">
        <f t="shared" si="427"/>
        <v>0</v>
      </c>
      <c r="CU83" s="1015">
        <f t="shared" si="428"/>
        <v>0</v>
      </c>
      <c r="CV83" s="1030">
        <f t="shared" si="429"/>
        <v>0</v>
      </c>
      <c r="CW83" s="1014">
        <f t="shared" si="430"/>
        <v>0</v>
      </c>
      <c r="CX83" s="1014">
        <f t="shared" si="431"/>
        <v>0</v>
      </c>
      <c r="CY83" s="1014">
        <f t="shared" si="432"/>
        <v>0</v>
      </c>
      <c r="CZ83" s="1014">
        <f t="shared" si="433"/>
        <v>0</v>
      </c>
      <c r="DA83" s="1014">
        <f t="shared" si="434"/>
        <v>0</v>
      </c>
      <c r="DB83" s="1014">
        <f t="shared" si="435"/>
        <v>0</v>
      </c>
      <c r="DC83" s="1014">
        <f t="shared" si="436"/>
        <v>7700</v>
      </c>
      <c r="DD83" s="1014">
        <f t="shared" si="437"/>
        <v>0</v>
      </c>
      <c r="DE83" s="1015">
        <f t="shared" si="438"/>
        <v>0</v>
      </c>
      <c r="DF83" s="1014">
        <f t="shared" si="439"/>
        <v>0</v>
      </c>
      <c r="DG83" s="1014">
        <f t="shared" si="440"/>
        <v>0</v>
      </c>
      <c r="DH83" s="1012">
        <f t="shared" si="481"/>
        <v>7700</v>
      </c>
      <c r="DI83" s="1014">
        <f t="shared" si="441"/>
        <v>0</v>
      </c>
      <c r="DJ83" s="1014">
        <f t="shared" si="442"/>
        <v>0</v>
      </c>
      <c r="DK83" s="1014">
        <f t="shared" si="443"/>
        <v>0</v>
      </c>
      <c r="DL83" s="1014">
        <f t="shared" si="444"/>
        <v>0</v>
      </c>
      <c r="DM83" s="1014">
        <f t="shared" si="445"/>
        <v>0</v>
      </c>
      <c r="DN83" s="1014">
        <f t="shared" si="446"/>
        <v>0</v>
      </c>
      <c r="DO83" s="1014">
        <f t="shared" si="447"/>
        <v>0</v>
      </c>
      <c r="DP83" s="1014">
        <f t="shared" si="448"/>
        <v>0</v>
      </c>
      <c r="DQ83" s="1020">
        <f t="shared" si="449"/>
        <v>0</v>
      </c>
      <c r="DR83" s="1014">
        <f t="shared" si="450"/>
        <v>0</v>
      </c>
      <c r="DS83" s="1014">
        <f t="shared" si="451"/>
        <v>0</v>
      </c>
      <c r="DT83" s="1025">
        <f t="shared" si="482"/>
        <v>0</v>
      </c>
    </row>
    <row r="84" spans="1:138" x14ac:dyDescent="0.2">
      <c r="A84" s="908" t="s">
        <v>57</v>
      </c>
      <c r="B84" s="908"/>
      <c r="C84" s="910">
        <f t="shared" si="469"/>
        <v>12983142</v>
      </c>
      <c r="D84" s="910">
        <f t="shared" si="470"/>
        <v>0</v>
      </c>
      <c r="E84" s="910">
        <f t="shared" si="471"/>
        <v>0</v>
      </c>
      <c r="F84" s="910">
        <f t="shared" si="361"/>
        <v>0</v>
      </c>
      <c r="G84" s="910">
        <f t="shared" si="472"/>
        <v>0</v>
      </c>
      <c r="H84" s="910">
        <f t="shared" si="473"/>
        <v>0</v>
      </c>
      <c r="I84" s="910">
        <f t="shared" si="474"/>
        <v>0</v>
      </c>
      <c r="J84" s="910">
        <f t="shared" si="362"/>
        <v>0</v>
      </c>
      <c r="K84" s="910">
        <f t="shared" si="363"/>
        <v>0</v>
      </c>
      <c r="L84" s="910">
        <f t="shared" si="364"/>
        <v>201959.72999999998</v>
      </c>
      <c r="M84" s="910">
        <f t="shared" si="475"/>
        <v>0</v>
      </c>
      <c r="N84" s="910">
        <f t="shared" si="476"/>
        <v>0</v>
      </c>
      <c r="O84" s="910">
        <f t="shared" si="477"/>
        <v>0</v>
      </c>
      <c r="P84" s="910">
        <f t="shared" si="365"/>
        <v>225067.56</v>
      </c>
      <c r="Q84" s="910">
        <f t="shared" si="478"/>
        <v>1085000</v>
      </c>
      <c r="R84" s="910">
        <f t="shared" si="479"/>
        <v>0</v>
      </c>
      <c r="S84" s="910">
        <f t="shared" si="480"/>
        <v>14495169.290000001</v>
      </c>
      <c r="T84" s="1037">
        <f t="shared" si="366"/>
        <v>5887831.4700000007</v>
      </c>
      <c r="U84" s="1034">
        <f t="shared" si="452"/>
        <v>135000</v>
      </c>
      <c r="V84" s="1034">
        <f t="shared" si="453"/>
        <v>305100</v>
      </c>
      <c r="W84" s="1034">
        <f t="shared" si="454"/>
        <v>305100</v>
      </c>
      <c r="X84" s="1034">
        <f t="shared" si="455"/>
        <v>438394.53</v>
      </c>
      <c r="Y84" s="1034">
        <f t="shared" si="456"/>
        <v>921111.57000000007</v>
      </c>
      <c r="Z84" s="1034">
        <f t="shared" si="457"/>
        <v>1019931.5700000001</v>
      </c>
      <c r="AA84" s="1034">
        <f t="shared" si="458"/>
        <v>1352031.57</v>
      </c>
      <c r="AB84" s="1034">
        <f t="shared" si="459"/>
        <v>4167642.8</v>
      </c>
      <c r="AC84" s="1034">
        <f t="shared" si="460"/>
        <v>5493423.96</v>
      </c>
      <c r="AD84" s="1034">
        <f t="shared" si="461"/>
        <v>7066436.4000000004</v>
      </c>
      <c r="AE84" s="1034">
        <f t="shared" si="462"/>
        <v>7511662.3200000003</v>
      </c>
      <c r="AF84" s="1034">
        <f t="shared" si="463"/>
        <v>8408617.8200000003</v>
      </c>
      <c r="AG84" s="1034">
        <f t="shared" si="464"/>
        <v>8607337.8200000003</v>
      </c>
      <c r="AH84" s="1041">
        <f t="shared" si="465"/>
        <v>0.59380733317396117</v>
      </c>
      <c r="AI84" s="1014">
        <f t="shared" si="367"/>
        <v>135000</v>
      </c>
      <c r="AJ84" s="1025">
        <f t="shared" si="466"/>
        <v>135000</v>
      </c>
      <c r="AK84" s="1014">
        <f t="shared" si="368"/>
        <v>170100</v>
      </c>
      <c r="AL84" s="1025">
        <f t="shared" si="467"/>
        <v>170100</v>
      </c>
      <c r="AM84" s="1014">
        <f t="shared" si="369"/>
        <v>0</v>
      </c>
      <c r="AN84" s="1025">
        <f t="shared" si="468"/>
        <v>0</v>
      </c>
      <c r="AO84" s="1014">
        <f t="shared" si="370"/>
        <v>63180</v>
      </c>
      <c r="AP84" s="1014">
        <f t="shared" si="371"/>
        <v>0</v>
      </c>
      <c r="AQ84" s="1014">
        <f t="shared" si="372"/>
        <v>0</v>
      </c>
      <c r="AR84" s="1015">
        <f t="shared" si="373"/>
        <v>70114.53</v>
      </c>
      <c r="AS84" s="1025">
        <f t="shared" si="374"/>
        <v>133294.53</v>
      </c>
      <c r="AT84" s="1014">
        <f t="shared" si="375"/>
        <v>358560</v>
      </c>
      <c r="AU84" s="1014">
        <f t="shared" si="376"/>
        <v>0</v>
      </c>
      <c r="AV84" s="1014">
        <f t="shared" si="377"/>
        <v>0</v>
      </c>
      <c r="AW84" s="1014">
        <f t="shared" si="378"/>
        <v>124157.04</v>
      </c>
      <c r="AX84" s="1014">
        <f t="shared" si="379"/>
        <v>0</v>
      </c>
      <c r="AY84" s="1014">
        <f t="shared" si="380"/>
        <v>0</v>
      </c>
      <c r="AZ84" s="1025">
        <f t="shared" si="381"/>
        <v>482717.04</v>
      </c>
      <c r="BA84" s="1014">
        <f t="shared" si="382"/>
        <v>98820</v>
      </c>
      <c r="BB84" s="1014">
        <f t="shared" si="383"/>
        <v>0</v>
      </c>
      <c r="BC84" s="1014">
        <f t="shared" si="384"/>
        <v>0</v>
      </c>
      <c r="BD84" s="1014">
        <f t="shared" si="385"/>
        <v>0</v>
      </c>
      <c r="BE84" s="1014">
        <f t="shared" si="386"/>
        <v>0</v>
      </c>
      <c r="BF84" s="1014">
        <f t="shared" si="387"/>
        <v>0</v>
      </c>
      <c r="BG84" s="1025">
        <f t="shared" si="388"/>
        <v>98820</v>
      </c>
      <c r="BH84" s="1014">
        <f t="shared" si="389"/>
        <v>332100</v>
      </c>
      <c r="BI84" s="1014">
        <f t="shared" si="390"/>
        <v>0</v>
      </c>
      <c r="BJ84" s="1014">
        <f t="shared" si="391"/>
        <v>0</v>
      </c>
      <c r="BK84" s="1014">
        <f t="shared" si="392"/>
        <v>0</v>
      </c>
      <c r="BL84" s="1014">
        <f t="shared" si="393"/>
        <v>0</v>
      </c>
      <c r="BM84" s="1014">
        <f t="shared" si="394"/>
        <v>0</v>
      </c>
      <c r="BN84" s="1025">
        <f t="shared" si="395"/>
        <v>332100</v>
      </c>
      <c r="BO84" s="1014">
        <f t="shared" si="396"/>
        <v>2815611.23</v>
      </c>
      <c r="BP84" s="1014">
        <f t="shared" si="397"/>
        <v>0</v>
      </c>
      <c r="BQ84" s="1014">
        <f t="shared" si="398"/>
        <v>0</v>
      </c>
      <c r="BR84" s="1014">
        <f t="shared" si="399"/>
        <v>0</v>
      </c>
      <c r="BS84" s="1014">
        <f t="shared" si="400"/>
        <v>0</v>
      </c>
      <c r="BT84" s="1025">
        <f t="shared" si="401"/>
        <v>2815611.23</v>
      </c>
      <c r="BU84" s="1014">
        <f t="shared" si="402"/>
        <v>8025.44</v>
      </c>
      <c r="BV84" s="1014">
        <f t="shared" si="403"/>
        <v>0</v>
      </c>
      <c r="BW84" s="1014">
        <f t="shared" si="404"/>
        <v>0</v>
      </c>
      <c r="BX84" s="1014">
        <f t="shared" si="405"/>
        <v>0</v>
      </c>
      <c r="BY84" s="1014">
        <f t="shared" si="406"/>
        <v>0</v>
      </c>
      <c r="BZ84" s="1014">
        <f t="shared" si="407"/>
        <v>0</v>
      </c>
      <c r="CA84" s="1014">
        <f t="shared" si="408"/>
        <v>77802.69</v>
      </c>
      <c r="CB84" s="1014">
        <f t="shared" si="409"/>
        <v>0</v>
      </c>
      <c r="CC84" s="1014">
        <f t="shared" si="410"/>
        <v>0</v>
      </c>
      <c r="CD84" s="1015">
        <f t="shared" si="411"/>
        <v>154953.03</v>
      </c>
      <c r="CE84" s="1014">
        <f t="shared" si="412"/>
        <v>1085000</v>
      </c>
      <c r="CF84" s="1025">
        <f t="shared" si="413"/>
        <v>1325781.1599999999</v>
      </c>
      <c r="CG84" s="1014">
        <f t="shared" si="414"/>
        <v>1573012.44</v>
      </c>
      <c r="CH84" s="1014">
        <f t="shared" si="415"/>
        <v>0</v>
      </c>
      <c r="CI84" s="1014">
        <f t="shared" si="416"/>
        <v>0</v>
      </c>
      <c r="CJ84" s="1014">
        <f t="shared" si="417"/>
        <v>0</v>
      </c>
      <c r="CK84" s="1014">
        <f t="shared" si="418"/>
        <v>0</v>
      </c>
      <c r="CL84" s="1014">
        <f t="shared" si="419"/>
        <v>0</v>
      </c>
      <c r="CM84" s="1014">
        <f t="shared" si="420"/>
        <v>0</v>
      </c>
      <c r="CN84" s="1015">
        <f t="shared" si="421"/>
        <v>0</v>
      </c>
      <c r="CO84" s="1014">
        <f t="shared" si="422"/>
        <v>0</v>
      </c>
      <c r="CP84" s="1025">
        <f t="shared" si="423"/>
        <v>1573012.44</v>
      </c>
      <c r="CQ84" s="1014">
        <f t="shared" si="424"/>
        <v>445225.92</v>
      </c>
      <c r="CR84" s="1014">
        <f t="shared" si="425"/>
        <v>0</v>
      </c>
      <c r="CS84" s="1014">
        <f t="shared" si="426"/>
        <v>0</v>
      </c>
      <c r="CT84" s="1014">
        <f t="shared" si="427"/>
        <v>0</v>
      </c>
      <c r="CU84" s="1015">
        <f t="shared" si="428"/>
        <v>0</v>
      </c>
      <c r="CV84" s="1030">
        <f t="shared" si="429"/>
        <v>445225.92</v>
      </c>
      <c r="CW84" s="1014">
        <f t="shared" si="430"/>
        <v>354455.5</v>
      </c>
      <c r="CX84" s="1014">
        <f t="shared" si="431"/>
        <v>0</v>
      </c>
      <c r="CY84" s="1014">
        <f t="shared" si="432"/>
        <v>0</v>
      </c>
      <c r="CZ84" s="1014">
        <f t="shared" si="433"/>
        <v>0</v>
      </c>
      <c r="DA84" s="1014">
        <f t="shared" si="434"/>
        <v>0</v>
      </c>
      <c r="DB84" s="1014">
        <f t="shared" si="435"/>
        <v>0</v>
      </c>
      <c r="DC84" s="1014">
        <f t="shared" si="436"/>
        <v>0</v>
      </c>
      <c r="DD84" s="1014">
        <f t="shared" si="437"/>
        <v>0</v>
      </c>
      <c r="DE84" s="1015">
        <f t="shared" si="438"/>
        <v>0</v>
      </c>
      <c r="DF84" s="1014">
        <f t="shared" si="439"/>
        <v>542500</v>
      </c>
      <c r="DG84" s="1014">
        <f t="shared" si="440"/>
        <v>0</v>
      </c>
      <c r="DH84" s="1012">
        <f t="shared" si="481"/>
        <v>896955.5</v>
      </c>
      <c r="DI84" s="1014">
        <f t="shared" si="441"/>
        <v>198720</v>
      </c>
      <c r="DJ84" s="1014">
        <f t="shared" si="442"/>
        <v>0</v>
      </c>
      <c r="DK84" s="1014">
        <f t="shared" si="443"/>
        <v>0</v>
      </c>
      <c r="DL84" s="1014">
        <f t="shared" si="444"/>
        <v>0</v>
      </c>
      <c r="DM84" s="1014">
        <f t="shared" si="445"/>
        <v>0</v>
      </c>
      <c r="DN84" s="1014">
        <f t="shared" si="446"/>
        <v>0</v>
      </c>
      <c r="DO84" s="1014">
        <f t="shared" si="447"/>
        <v>0</v>
      </c>
      <c r="DP84" s="1014">
        <f t="shared" si="448"/>
        <v>0</v>
      </c>
      <c r="DQ84" s="1020">
        <f t="shared" si="449"/>
        <v>0</v>
      </c>
      <c r="DR84" s="1014">
        <f t="shared" si="450"/>
        <v>0</v>
      </c>
      <c r="DS84" s="1014">
        <f t="shared" si="451"/>
        <v>0</v>
      </c>
      <c r="DT84" s="1025">
        <f t="shared" si="482"/>
        <v>198720</v>
      </c>
    </row>
    <row r="85" spans="1:138" x14ac:dyDescent="0.2">
      <c r="A85" s="908" t="s">
        <v>239</v>
      </c>
      <c r="B85" s="908"/>
      <c r="C85" s="910">
        <f t="shared" si="469"/>
        <v>0</v>
      </c>
      <c r="D85" s="910">
        <f t="shared" si="470"/>
        <v>0</v>
      </c>
      <c r="E85" s="910">
        <f t="shared" si="471"/>
        <v>800000</v>
      </c>
      <c r="F85" s="910">
        <f t="shared" si="361"/>
        <v>0</v>
      </c>
      <c r="G85" s="910">
        <f t="shared" si="472"/>
        <v>0</v>
      </c>
      <c r="H85" s="910">
        <f t="shared" si="473"/>
        <v>0</v>
      </c>
      <c r="I85" s="910">
        <f t="shared" si="474"/>
        <v>0</v>
      </c>
      <c r="J85" s="910">
        <f t="shared" si="362"/>
        <v>0</v>
      </c>
      <c r="K85" s="910">
        <f t="shared" si="363"/>
        <v>0</v>
      </c>
      <c r="L85" s="910">
        <f t="shared" si="364"/>
        <v>0</v>
      </c>
      <c r="M85" s="910">
        <f t="shared" si="475"/>
        <v>0</v>
      </c>
      <c r="N85" s="910">
        <f t="shared" si="476"/>
        <v>0</v>
      </c>
      <c r="O85" s="910">
        <f t="shared" si="477"/>
        <v>25750.793249999999</v>
      </c>
      <c r="P85" s="910">
        <f t="shared" si="365"/>
        <v>0</v>
      </c>
      <c r="Q85" s="910">
        <f t="shared" si="478"/>
        <v>0</v>
      </c>
      <c r="R85" s="910">
        <f t="shared" si="479"/>
        <v>0</v>
      </c>
      <c r="S85" s="910">
        <f t="shared" si="480"/>
        <v>825750.79324999999</v>
      </c>
      <c r="T85" s="1037">
        <f t="shared" si="366"/>
        <v>825750.79324999999</v>
      </c>
      <c r="U85" s="1034">
        <f t="shared" si="452"/>
        <v>0</v>
      </c>
      <c r="V85" s="1034">
        <f t="shared" si="453"/>
        <v>0</v>
      </c>
      <c r="W85" s="1034">
        <f t="shared" si="454"/>
        <v>0</v>
      </c>
      <c r="X85" s="1034">
        <f t="shared" si="455"/>
        <v>0</v>
      </c>
      <c r="Y85" s="1034">
        <f t="shared" si="456"/>
        <v>0</v>
      </c>
      <c r="Z85" s="1034">
        <f t="shared" si="457"/>
        <v>0</v>
      </c>
      <c r="AA85" s="1034">
        <f t="shared" si="458"/>
        <v>0</v>
      </c>
      <c r="AB85" s="1034">
        <f t="shared" si="459"/>
        <v>0</v>
      </c>
      <c r="AC85" s="1034">
        <f t="shared" si="460"/>
        <v>0</v>
      </c>
      <c r="AD85" s="1034">
        <f t="shared" si="461"/>
        <v>0</v>
      </c>
      <c r="AE85" s="1034">
        <f t="shared" si="462"/>
        <v>0</v>
      </c>
      <c r="AF85" s="1034">
        <f t="shared" si="463"/>
        <v>0</v>
      </c>
      <c r="AG85" s="1034">
        <f t="shared" si="464"/>
        <v>0</v>
      </c>
      <c r="AH85" s="1041" t="str">
        <f t="shared" si="465"/>
        <v>-</v>
      </c>
      <c r="AI85" s="1014">
        <f t="shared" si="367"/>
        <v>0</v>
      </c>
      <c r="AJ85" s="1025">
        <f t="shared" si="466"/>
        <v>0</v>
      </c>
      <c r="AK85" s="1014">
        <f t="shared" si="368"/>
        <v>0</v>
      </c>
      <c r="AL85" s="1025">
        <f t="shared" si="467"/>
        <v>0</v>
      </c>
      <c r="AM85" s="1014">
        <f t="shared" si="369"/>
        <v>0</v>
      </c>
      <c r="AN85" s="1025">
        <f t="shared" si="468"/>
        <v>0</v>
      </c>
      <c r="AO85" s="1014">
        <f t="shared" si="370"/>
        <v>0</v>
      </c>
      <c r="AP85" s="1014">
        <f t="shared" si="371"/>
        <v>0</v>
      </c>
      <c r="AQ85" s="1014">
        <f t="shared" si="372"/>
        <v>0</v>
      </c>
      <c r="AR85" s="1015">
        <f t="shared" si="373"/>
        <v>0</v>
      </c>
      <c r="AS85" s="1025">
        <f t="shared" si="374"/>
        <v>0</v>
      </c>
      <c r="AT85" s="1014">
        <f t="shared" si="375"/>
        <v>0</v>
      </c>
      <c r="AU85" s="1014">
        <f t="shared" si="376"/>
        <v>0</v>
      </c>
      <c r="AV85" s="1014">
        <f t="shared" si="377"/>
        <v>0</v>
      </c>
      <c r="AW85" s="1014">
        <f t="shared" si="378"/>
        <v>0</v>
      </c>
      <c r="AX85" s="1014">
        <f t="shared" si="379"/>
        <v>0</v>
      </c>
      <c r="AY85" s="1014">
        <f t="shared" si="380"/>
        <v>0</v>
      </c>
      <c r="AZ85" s="1025">
        <f t="shared" si="381"/>
        <v>0</v>
      </c>
      <c r="BA85" s="1014">
        <f t="shared" si="382"/>
        <v>0</v>
      </c>
      <c r="BB85" s="1014">
        <f t="shared" si="383"/>
        <v>0</v>
      </c>
      <c r="BC85" s="1014">
        <f t="shared" si="384"/>
        <v>0</v>
      </c>
      <c r="BD85" s="1014">
        <f t="shared" si="385"/>
        <v>0</v>
      </c>
      <c r="BE85" s="1014">
        <f t="shared" si="386"/>
        <v>0</v>
      </c>
      <c r="BF85" s="1014">
        <f t="shared" si="387"/>
        <v>0</v>
      </c>
      <c r="BG85" s="1025">
        <f t="shared" si="388"/>
        <v>0</v>
      </c>
      <c r="BH85" s="1014">
        <f t="shared" si="389"/>
        <v>0</v>
      </c>
      <c r="BI85" s="1014">
        <f t="shared" si="390"/>
        <v>0</v>
      </c>
      <c r="BJ85" s="1014">
        <f t="shared" si="391"/>
        <v>0</v>
      </c>
      <c r="BK85" s="1014">
        <f t="shared" si="392"/>
        <v>0</v>
      </c>
      <c r="BL85" s="1014">
        <f t="shared" si="393"/>
        <v>0</v>
      </c>
      <c r="BM85" s="1014">
        <f t="shared" si="394"/>
        <v>0</v>
      </c>
      <c r="BN85" s="1025">
        <f t="shared" si="395"/>
        <v>0</v>
      </c>
      <c r="BO85" s="1014">
        <f t="shared" si="396"/>
        <v>0</v>
      </c>
      <c r="BP85" s="1014">
        <f t="shared" si="397"/>
        <v>0</v>
      </c>
      <c r="BQ85" s="1014">
        <f t="shared" si="398"/>
        <v>0</v>
      </c>
      <c r="BR85" s="1014">
        <f t="shared" si="399"/>
        <v>0</v>
      </c>
      <c r="BS85" s="1014">
        <f t="shared" si="400"/>
        <v>0</v>
      </c>
      <c r="BT85" s="1025">
        <f t="shared" si="401"/>
        <v>0</v>
      </c>
      <c r="BU85" s="1014">
        <f t="shared" si="402"/>
        <v>0</v>
      </c>
      <c r="BV85" s="1014">
        <f t="shared" si="403"/>
        <v>0</v>
      </c>
      <c r="BW85" s="1014">
        <f t="shared" si="404"/>
        <v>0</v>
      </c>
      <c r="BX85" s="1014">
        <f t="shared" si="405"/>
        <v>0</v>
      </c>
      <c r="BY85" s="1014">
        <f t="shared" si="406"/>
        <v>0</v>
      </c>
      <c r="BZ85" s="1014">
        <f t="shared" si="407"/>
        <v>0</v>
      </c>
      <c r="CA85" s="1014">
        <f t="shared" si="408"/>
        <v>0</v>
      </c>
      <c r="CB85" s="1014">
        <f t="shared" si="409"/>
        <v>0</v>
      </c>
      <c r="CC85" s="1014">
        <f t="shared" si="410"/>
        <v>0</v>
      </c>
      <c r="CD85" s="1015">
        <f t="shared" si="411"/>
        <v>0</v>
      </c>
      <c r="CE85" s="1014">
        <f t="shared" si="412"/>
        <v>0</v>
      </c>
      <c r="CF85" s="1025">
        <f t="shared" si="413"/>
        <v>0</v>
      </c>
      <c r="CG85" s="1014">
        <f t="shared" si="414"/>
        <v>0</v>
      </c>
      <c r="CH85" s="1014">
        <f t="shared" si="415"/>
        <v>0</v>
      </c>
      <c r="CI85" s="1014">
        <f t="shared" si="416"/>
        <v>0</v>
      </c>
      <c r="CJ85" s="1014">
        <f t="shared" si="417"/>
        <v>0</v>
      </c>
      <c r="CK85" s="1014">
        <f t="shared" si="418"/>
        <v>0</v>
      </c>
      <c r="CL85" s="1014">
        <f t="shared" si="419"/>
        <v>0</v>
      </c>
      <c r="CM85" s="1014">
        <f t="shared" si="420"/>
        <v>0</v>
      </c>
      <c r="CN85" s="1015">
        <f t="shared" si="421"/>
        <v>0</v>
      </c>
      <c r="CO85" s="1014">
        <f t="shared" si="422"/>
        <v>0</v>
      </c>
      <c r="CP85" s="1025">
        <f t="shared" si="423"/>
        <v>0</v>
      </c>
      <c r="CQ85" s="1014">
        <f t="shared" si="424"/>
        <v>0</v>
      </c>
      <c r="CR85" s="1014">
        <f t="shared" si="425"/>
        <v>0</v>
      </c>
      <c r="CS85" s="1014">
        <f t="shared" si="426"/>
        <v>0</v>
      </c>
      <c r="CT85" s="1014">
        <f t="shared" si="427"/>
        <v>0</v>
      </c>
      <c r="CU85" s="1015">
        <f t="shared" si="428"/>
        <v>0</v>
      </c>
      <c r="CV85" s="1030">
        <f t="shared" si="429"/>
        <v>0</v>
      </c>
      <c r="CW85" s="1014">
        <f t="shared" si="430"/>
        <v>0</v>
      </c>
      <c r="CX85" s="1014">
        <f t="shared" si="431"/>
        <v>0</v>
      </c>
      <c r="CY85" s="1014">
        <f t="shared" si="432"/>
        <v>0</v>
      </c>
      <c r="CZ85" s="1014">
        <f t="shared" si="433"/>
        <v>0</v>
      </c>
      <c r="DA85" s="1014">
        <f t="shared" si="434"/>
        <v>0</v>
      </c>
      <c r="DB85" s="1014">
        <f t="shared" si="435"/>
        <v>0</v>
      </c>
      <c r="DC85" s="1014">
        <f t="shared" si="436"/>
        <v>0</v>
      </c>
      <c r="DD85" s="1014">
        <f t="shared" si="437"/>
        <v>0</v>
      </c>
      <c r="DE85" s="1015">
        <f t="shared" si="438"/>
        <v>0</v>
      </c>
      <c r="DF85" s="1014">
        <f t="shared" si="439"/>
        <v>0</v>
      </c>
      <c r="DG85" s="1014">
        <f t="shared" si="440"/>
        <v>0</v>
      </c>
      <c r="DH85" s="1012">
        <f t="shared" si="481"/>
        <v>0</v>
      </c>
      <c r="DI85" s="1014">
        <f t="shared" si="441"/>
        <v>0</v>
      </c>
      <c r="DJ85" s="1014">
        <f t="shared" si="442"/>
        <v>0</v>
      </c>
      <c r="DK85" s="1014">
        <f t="shared" si="443"/>
        <v>0</v>
      </c>
      <c r="DL85" s="1014">
        <f t="shared" si="444"/>
        <v>0</v>
      </c>
      <c r="DM85" s="1014">
        <f t="shared" si="445"/>
        <v>0</v>
      </c>
      <c r="DN85" s="1014">
        <f t="shared" si="446"/>
        <v>0</v>
      </c>
      <c r="DO85" s="1014">
        <f t="shared" si="447"/>
        <v>0</v>
      </c>
      <c r="DP85" s="1014">
        <f t="shared" si="448"/>
        <v>0</v>
      </c>
      <c r="DQ85" s="1020">
        <f t="shared" si="449"/>
        <v>0</v>
      </c>
      <c r="DR85" s="1014">
        <f t="shared" si="450"/>
        <v>0</v>
      </c>
      <c r="DS85" s="1014">
        <f t="shared" si="451"/>
        <v>0</v>
      </c>
      <c r="DT85" s="1025">
        <f t="shared" si="482"/>
        <v>0</v>
      </c>
    </row>
    <row r="86" spans="1:138" x14ac:dyDescent="0.2">
      <c r="A86" s="908" t="s">
        <v>118</v>
      </c>
      <c r="B86" s="908">
        <v>2019</v>
      </c>
      <c r="C86" s="910">
        <f t="shared" si="469"/>
        <v>380000</v>
      </c>
      <c r="D86" s="910">
        <f t="shared" si="470"/>
        <v>0</v>
      </c>
      <c r="E86" s="910">
        <f t="shared" si="471"/>
        <v>420000</v>
      </c>
      <c r="F86" s="910">
        <f t="shared" si="361"/>
        <v>0</v>
      </c>
      <c r="G86" s="910">
        <f t="shared" si="472"/>
        <v>0</v>
      </c>
      <c r="H86" s="910">
        <f t="shared" si="473"/>
        <v>0</v>
      </c>
      <c r="I86" s="910">
        <f t="shared" si="474"/>
        <v>0</v>
      </c>
      <c r="J86" s="910">
        <f t="shared" si="362"/>
        <v>0</v>
      </c>
      <c r="K86" s="910">
        <f t="shared" si="363"/>
        <v>0</v>
      </c>
      <c r="L86" s="910">
        <f t="shared" si="364"/>
        <v>0</v>
      </c>
      <c r="M86" s="910">
        <f t="shared" si="475"/>
        <v>0</v>
      </c>
      <c r="N86" s="910">
        <f t="shared" si="476"/>
        <v>0</v>
      </c>
      <c r="O86" s="910">
        <f t="shared" si="477"/>
        <v>72532.304250000001</v>
      </c>
      <c r="P86" s="910">
        <f t="shared" si="365"/>
        <v>0</v>
      </c>
      <c r="Q86" s="910">
        <f t="shared" si="478"/>
        <v>0</v>
      </c>
      <c r="R86" s="910">
        <f t="shared" si="479"/>
        <v>0</v>
      </c>
      <c r="S86" s="910">
        <f t="shared" si="480"/>
        <v>872532.30425000004</v>
      </c>
      <c r="T86" s="1037">
        <f t="shared" si="366"/>
        <v>183453.3642500001</v>
      </c>
      <c r="U86" s="1034">
        <f t="shared" si="452"/>
        <v>0</v>
      </c>
      <c r="V86" s="1034">
        <f t="shared" si="453"/>
        <v>0</v>
      </c>
      <c r="W86" s="1034">
        <f t="shared" si="454"/>
        <v>0</v>
      </c>
      <c r="X86" s="1034">
        <f t="shared" si="455"/>
        <v>0</v>
      </c>
      <c r="Y86" s="1034">
        <f t="shared" si="456"/>
        <v>0</v>
      </c>
      <c r="Z86" s="1034">
        <f t="shared" si="457"/>
        <v>0</v>
      </c>
      <c r="AA86" s="1034">
        <f t="shared" si="458"/>
        <v>0</v>
      </c>
      <c r="AB86" s="1034">
        <f t="shared" si="459"/>
        <v>0</v>
      </c>
      <c r="AC86" s="1034">
        <f t="shared" si="460"/>
        <v>0</v>
      </c>
      <c r="AD86" s="1034">
        <f t="shared" si="461"/>
        <v>0</v>
      </c>
      <c r="AE86" s="1034">
        <f t="shared" si="462"/>
        <v>373421.12</v>
      </c>
      <c r="AF86" s="1034">
        <f t="shared" si="463"/>
        <v>602158</v>
      </c>
      <c r="AG86" s="1034">
        <f t="shared" si="464"/>
        <v>689078.94</v>
      </c>
      <c r="AH86" s="1041">
        <f t="shared" si="465"/>
        <v>0.78974604910738455</v>
      </c>
      <c r="AI86" s="1014">
        <f t="shared" si="367"/>
        <v>0</v>
      </c>
      <c r="AJ86" s="1025">
        <f t="shared" si="466"/>
        <v>0</v>
      </c>
      <c r="AK86" s="1014">
        <f t="shared" si="368"/>
        <v>0</v>
      </c>
      <c r="AL86" s="1025">
        <f t="shared" si="467"/>
        <v>0</v>
      </c>
      <c r="AM86" s="1014">
        <f t="shared" si="369"/>
        <v>0</v>
      </c>
      <c r="AN86" s="1025">
        <f t="shared" si="468"/>
        <v>0</v>
      </c>
      <c r="AO86" s="1014">
        <f t="shared" si="370"/>
        <v>0</v>
      </c>
      <c r="AP86" s="1014">
        <f t="shared" si="371"/>
        <v>0</v>
      </c>
      <c r="AQ86" s="1014">
        <f t="shared" si="372"/>
        <v>0</v>
      </c>
      <c r="AR86" s="1015">
        <f t="shared" si="373"/>
        <v>0</v>
      </c>
      <c r="AS86" s="1025">
        <f t="shared" si="374"/>
        <v>0</v>
      </c>
      <c r="AT86" s="1014">
        <f t="shared" si="375"/>
        <v>0</v>
      </c>
      <c r="AU86" s="1014">
        <f t="shared" si="376"/>
        <v>0</v>
      </c>
      <c r="AV86" s="1014">
        <f t="shared" si="377"/>
        <v>0</v>
      </c>
      <c r="AW86" s="1014">
        <f t="shared" si="378"/>
        <v>0</v>
      </c>
      <c r="AX86" s="1014">
        <f t="shared" si="379"/>
        <v>0</v>
      </c>
      <c r="AY86" s="1014">
        <f t="shared" si="380"/>
        <v>0</v>
      </c>
      <c r="AZ86" s="1025">
        <f t="shared" si="381"/>
        <v>0</v>
      </c>
      <c r="BA86" s="1014">
        <f t="shared" si="382"/>
        <v>0</v>
      </c>
      <c r="BB86" s="1014">
        <f t="shared" si="383"/>
        <v>0</v>
      </c>
      <c r="BC86" s="1014">
        <f t="shared" si="384"/>
        <v>0</v>
      </c>
      <c r="BD86" s="1014">
        <f t="shared" si="385"/>
        <v>0</v>
      </c>
      <c r="BE86" s="1014">
        <f t="shared" si="386"/>
        <v>0</v>
      </c>
      <c r="BF86" s="1014">
        <f t="shared" si="387"/>
        <v>0</v>
      </c>
      <c r="BG86" s="1025">
        <f t="shared" si="388"/>
        <v>0</v>
      </c>
      <c r="BH86" s="1014">
        <f t="shared" si="389"/>
        <v>0</v>
      </c>
      <c r="BI86" s="1014">
        <f t="shared" si="390"/>
        <v>0</v>
      </c>
      <c r="BJ86" s="1014">
        <f t="shared" si="391"/>
        <v>0</v>
      </c>
      <c r="BK86" s="1014">
        <f t="shared" si="392"/>
        <v>0</v>
      </c>
      <c r="BL86" s="1014">
        <f t="shared" si="393"/>
        <v>0</v>
      </c>
      <c r="BM86" s="1014">
        <f t="shared" si="394"/>
        <v>0</v>
      </c>
      <c r="BN86" s="1025">
        <f t="shared" si="395"/>
        <v>0</v>
      </c>
      <c r="BO86" s="1014">
        <f t="shared" si="396"/>
        <v>0</v>
      </c>
      <c r="BP86" s="1014">
        <f t="shared" si="397"/>
        <v>0</v>
      </c>
      <c r="BQ86" s="1014">
        <f t="shared" si="398"/>
        <v>0</v>
      </c>
      <c r="BR86" s="1014">
        <f t="shared" si="399"/>
        <v>0</v>
      </c>
      <c r="BS86" s="1014">
        <f t="shared" si="400"/>
        <v>0</v>
      </c>
      <c r="BT86" s="1025">
        <f t="shared" si="401"/>
        <v>0</v>
      </c>
      <c r="BU86" s="1014">
        <f t="shared" si="402"/>
        <v>0</v>
      </c>
      <c r="BV86" s="1014">
        <f t="shared" si="403"/>
        <v>0</v>
      </c>
      <c r="BW86" s="1014">
        <f t="shared" si="404"/>
        <v>0</v>
      </c>
      <c r="BX86" s="1014">
        <f t="shared" si="405"/>
        <v>0</v>
      </c>
      <c r="BY86" s="1014">
        <f t="shared" si="406"/>
        <v>0</v>
      </c>
      <c r="BZ86" s="1014">
        <f t="shared" si="407"/>
        <v>0</v>
      </c>
      <c r="CA86" s="1014">
        <f t="shared" si="408"/>
        <v>0</v>
      </c>
      <c r="CB86" s="1014">
        <f t="shared" si="409"/>
        <v>0</v>
      </c>
      <c r="CC86" s="1014">
        <f t="shared" si="410"/>
        <v>0</v>
      </c>
      <c r="CD86" s="1015">
        <f t="shared" si="411"/>
        <v>0</v>
      </c>
      <c r="CE86" s="1014">
        <f t="shared" si="412"/>
        <v>0</v>
      </c>
      <c r="CF86" s="1025">
        <f t="shared" si="413"/>
        <v>0</v>
      </c>
      <c r="CG86" s="1014">
        <f t="shared" si="414"/>
        <v>0</v>
      </c>
      <c r="CH86" s="1014">
        <f t="shared" si="415"/>
        <v>0</v>
      </c>
      <c r="CI86" s="1014">
        <f t="shared" si="416"/>
        <v>0</v>
      </c>
      <c r="CJ86" s="1014">
        <f t="shared" si="417"/>
        <v>0</v>
      </c>
      <c r="CK86" s="1014">
        <f t="shared" si="418"/>
        <v>0</v>
      </c>
      <c r="CL86" s="1014">
        <f t="shared" si="419"/>
        <v>0</v>
      </c>
      <c r="CM86" s="1014">
        <f t="shared" si="420"/>
        <v>0</v>
      </c>
      <c r="CN86" s="1015">
        <f t="shared" si="421"/>
        <v>0</v>
      </c>
      <c r="CO86" s="1014">
        <f t="shared" si="422"/>
        <v>0</v>
      </c>
      <c r="CP86" s="1025">
        <f t="shared" si="423"/>
        <v>0</v>
      </c>
      <c r="CQ86" s="1014">
        <f t="shared" si="424"/>
        <v>247421.12</v>
      </c>
      <c r="CR86" s="1014">
        <f t="shared" si="425"/>
        <v>126000</v>
      </c>
      <c r="CS86" s="1014">
        <f t="shared" si="426"/>
        <v>0</v>
      </c>
      <c r="CT86" s="1014">
        <f t="shared" si="427"/>
        <v>0</v>
      </c>
      <c r="CU86" s="1015">
        <f t="shared" si="428"/>
        <v>0</v>
      </c>
      <c r="CV86" s="1030">
        <f t="shared" si="429"/>
        <v>373421.12</v>
      </c>
      <c r="CW86" s="1014">
        <f t="shared" si="430"/>
        <v>56578.879999999997</v>
      </c>
      <c r="CX86" s="1014">
        <f t="shared" si="431"/>
        <v>0</v>
      </c>
      <c r="CY86" s="1014">
        <f t="shared" si="432"/>
        <v>172158</v>
      </c>
      <c r="CZ86" s="1014">
        <f t="shared" si="433"/>
        <v>0</v>
      </c>
      <c r="DA86" s="1014">
        <f t="shared" si="434"/>
        <v>0</v>
      </c>
      <c r="DB86" s="1014">
        <f t="shared" si="435"/>
        <v>0</v>
      </c>
      <c r="DC86" s="1014">
        <f t="shared" si="436"/>
        <v>0</v>
      </c>
      <c r="DD86" s="1014">
        <f t="shared" si="437"/>
        <v>0</v>
      </c>
      <c r="DE86" s="1015">
        <f t="shared" si="438"/>
        <v>0</v>
      </c>
      <c r="DF86" s="1014">
        <f t="shared" si="439"/>
        <v>0</v>
      </c>
      <c r="DG86" s="1014">
        <f t="shared" si="440"/>
        <v>0</v>
      </c>
      <c r="DH86" s="1012">
        <f t="shared" si="481"/>
        <v>228736.88</v>
      </c>
      <c r="DI86" s="1014">
        <f t="shared" si="441"/>
        <v>0</v>
      </c>
      <c r="DJ86" s="1014">
        <f t="shared" si="442"/>
        <v>0</v>
      </c>
      <c r="DK86" s="1014">
        <f t="shared" si="443"/>
        <v>37842</v>
      </c>
      <c r="DL86" s="1014">
        <f t="shared" si="444"/>
        <v>0</v>
      </c>
      <c r="DM86" s="1014">
        <f t="shared" si="445"/>
        <v>0</v>
      </c>
      <c r="DN86" s="1014">
        <f t="shared" si="446"/>
        <v>0</v>
      </c>
      <c r="DO86" s="1014">
        <f t="shared" si="447"/>
        <v>0</v>
      </c>
      <c r="DP86" s="1014">
        <f t="shared" si="448"/>
        <v>0</v>
      </c>
      <c r="DQ86" s="1020">
        <f t="shared" si="449"/>
        <v>49078.94</v>
      </c>
      <c r="DR86" s="1014">
        <f t="shared" si="450"/>
        <v>0</v>
      </c>
      <c r="DS86" s="1014">
        <f t="shared" si="451"/>
        <v>0</v>
      </c>
      <c r="DT86" s="1025">
        <f t="shared" si="482"/>
        <v>86920.94</v>
      </c>
    </row>
    <row r="87" spans="1:138" x14ac:dyDescent="0.2">
      <c r="A87" s="908" t="s">
        <v>279</v>
      </c>
      <c r="B87" s="908"/>
      <c r="C87" s="910">
        <f t="shared" si="469"/>
        <v>0</v>
      </c>
      <c r="D87" s="910">
        <f t="shared" si="470"/>
        <v>0</v>
      </c>
      <c r="E87" s="910">
        <f t="shared" si="471"/>
        <v>700000</v>
      </c>
      <c r="F87" s="910">
        <f t="shared" si="361"/>
        <v>0</v>
      </c>
      <c r="G87" s="910">
        <f t="shared" si="472"/>
        <v>0</v>
      </c>
      <c r="H87" s="910">
        <f t="shared" si="473"/>
        <v>0</v>
      </c>
      <c r="I87" s="910">
        <f t="shared" si="474"/>
        <v>0</v>
      </c>
      <c r="J87" s="910">
        <f t="shared" si="362"/>
        <v>0</v>
      </c>
      <c r="K87" s="910">
        <f t="shared" si="363"/>
        <v>0</v>
      </c>
      <c r="L87" s="910">
        <f t="shared" si="364"/>
        <v>0</v>
      </c>
      <c r="M87" s="910">
        <f t="shared" si="475"/>
        <v>0</v>
      </c>
      <c r="N87" s="910">
        <f t="shared" si="476"/>
        <v>0</v>
      </c>
      <c r="O87" s="910">
        <f t="shared" si="477"/>
        <v>0</v>
      </c>
      <c r="P87" s="910">
        <f t="shared" si="365"/>
        <v>0</v>
      </c>
      <c r="Q87" s="910">
        <f t="shared" si="478"/>
        <v>0</v>
      </c>
      <c r="R87" s="910">
        <f t="shared" si="479"/>
        <v>0</v>
      </c>
      <c r="S87" s="910">
        <f t="shared" si="480"/>
        <v>700000</v>
      </c>
      <c r="T87" s="1037">
        <f t="shared" si="366"/>
        <v>245560</v>
      </c>
      <c r="U87" s="1034">
        <f t="shared" si="452"/>
        <v>0</v>
      </c>
      <c r="V87" s="1034">
        <f t="shared" si="453"/>
        <v>0</v>
      </c>
      <c r="W87" s="1034">
        <f t="shared" si="454"/>
        <v>0</v>
      </c>
      <c r="X87" s="1034">
        <f t="shared" si="455"/>
        <v>0</v>
      </c>
      <c r="Y87" s="1034">
        <f t="shared" si="456"/>
        <v>0</v>
      </c>
      <c r="Z87" s="1034">
        <f t="shared" si="457"/>
        <v>0</v>
      </c>
      <c r="AA87" s="1034">
        <f t="shared" si="458"/>
        <v>0</v>
      </c>
      <c r="AB87" s="1034">
        <f t="shared" si="459"/>
        <v>0</v>
      </c>
      <c r="AC87" s="1034">
        <f t="shared" si="460"/>
        <v>0</v>
      </c>
      <c r="AD87" s="1034">
        <f t="shared" si="461"/>
        <v>0</v>
      </c>
      <c r="AE87" s="1034">
        <f t="shared" si="462"/>
        <v>0</v>
      </c>
      <c r="AF87" s="1034">
        <f t="shared" si="463"/>
        <v>210000</v>
      </c>
      <c r="AG87" s="1034">
        <f t="shared" si="464"/>
        <v>454440</v>
      </c>
      <c r="AH87" s="1041">
        <f t="shared" si="465"/>
        <v>0.6492</v>
      </c>
      <c r="AI87" s="1014">
        <f t="shared" si="367"/>
        <v>0</v>
      </c>
      <c r="AJ87" s="1025">
        <f t="shared" si="466"/>
        <v>0</v>
      </c>
      <c r="AK87" s="1014">
        <f t="shared" si="368"/>
        <v>0</v>
      </c>
      <c r="AL87" s="1025">
        <f t="shared" si="467"/>
        <v>0</v>
      </c>
      <c r="AM87" s="1014">
        <f t="shared" si="369"/>
        <v>0</v>
      </c>
      <c r="AN87" s="1025">
        <f t="shared" si="468"/>
        <v>0</v>
      </c>
      <c r="AO87" s="1014">
        <f t="shared" si="370"/>
        <v>0</v>
      </c>
      <c r="AP87" s="1014">
        <f t="shared" si="371"/>
        <v>0</v>
      </c>
      <c r="AQ87" s="1014">
        <f t="shared" si="372"/>
        <v>0</v>
      </c>
      <c r="AR87" s="1015">
        <f t="shared" si="373"/>
        <v>0</v>
      </c>
      <c r="AS87" s="1025">
        <f t="shared" si="374"/>
        <v>0</v>
      </c>
      <c r="AT87" s="1014">
        <f t="shared" si="375"/>
        <v>0</v>
      </c>
      <c r="AU87" s="1014">
        <f t="shared" si="376"/>
        <v>0</v>
      </c>
      <c r="AV87" s="1014">
        <f t="shared" si="377"/>
        <v>0</v>
      </c>
      <c r="AW87" s="1014">
        <f t="shared" si="378"/>
        <v>0</v>
      </c>
      <c r="AX87" s="1014">
        <f t="shared" si="379"/>
        <v>0</v>
      </c>
      <c r="AY87" s="1014">
        <f t="shared" si="380"/>
        <v>0</v>
      </c>
      <c r="AZ87" s="1025">
        <f t="shared" si="381"/>
        <v>0</v>
      </c>
      <c r="BA87" s="1014">
        <f t="shared" si="382"/>
        <v>0</v>
      </c>
      <c r="BB87" s="1014">
        <f t="shared" si="383"/>
        <v>0</v>
      </c>
      <c r="BC87" s="1014">
        <f t="shared" si="384"/>
        <v>0</v>
      </c>
      <c r="BD87" s="1014">
        <f t="shared" si="385"/>
        <v>0</v>
      </c>
      <c r="BE87" s="1014">
        <f t="shared" si="386"/>
        <v>0</v>
      </c>
      <c r="BF87" s="1014">
        <f t="shared" si="387"/>
        <v>0</v>
      </c>
      <c r="BG87" s="1025">
        <f t="shared" si="388"/>
        <v>0</v>
      </c>
      <c r="BH87" s="1014">
        <f t="shared" si="389"/>
        <v>0</v>
      </c>
      <c r="BI87" s="1014">
        <f t="shared" si="390"/>
        <v>0</v>
      </c>
      <c r="BJ87" s="1014">
        <f t="shared" si="391"/>
        <v>0</v>
      </c>
      <c r="BK87" s="1014">
        <f t="shared" si="392"/>
        <v>0</v>
      </c>
      <c r="BL87" s="1014">
        <f t="shared" si="393"/>
        <v>0</v>
      </c>
      <c r="BM87" s="1014">
        <f t="shared" si="394"/>
        <v>0</v>
      </c>
      <c r="BN87" s="1025">
        <f t="shared" si="395"/>
        <v>0</v>
      </c>
      <c r="BO87" s="1014">
        <f t="shared" si="396"/>
        <v>0</v>
      </c>
      <c r="BP87" s="1014">
        <f t="shared" si="397"/>
        <v>0</v>
      </c>
      <c r="BQ87" s="1014">
        <f t="shared" si="398"/>
        <v>0</v>
      </c>
      <c r="BR87" s="1014">
        <f t="shared" si="399"/>
        <v>0</v>
      </c>
      <c r="BS87" s="1014">
        <f t="shared" si="400"/>
        <v>0</v>
      </c>
      <c r="BT87" s="1025">
        <f t="shared" si="401"/>
        <v>0</v>
      </c>
      <c r="BU87" s="1014">
        <f t="shared" si="402"/>
        <v>0</v>
      </c>
      <c r="BV87" s="1014">
        <f t="shared" si="403"/>
        <v>0</v>
      </c>
      <c r="BW87" s="1014">
        <f t="shared" si="404"/>
        <v>0</v>
      </c>
      <c r="BX87" s="1014">
        <f t="shared" si="405"/>
        <v>0</v>
      </c>
      <c r="BY87" s="1014">
        <f t="shared" si="406"/>
        <v>0</v>
      </c>
      <c r="BZ87" s="1014">
        <f t="shared" si="407"/>
        <v>0</v>
      </c>
      <c r="CA87" s="1014">
        <f t="shared" si="408"/>
        <v>0</v>
      </c>
      <c r="CB87" s="1014">
        <f t="shared" si="409"/>
        <v>0</v>
      </c>
      <c r="CC87" s="1014">
        <f t="shared" si="410"/>
        <v>0</v>
      </c>
      <c r="CD87" s="1015">
        <f t="shared" si="411"/>
        <v>0</v>
      </c>
      <c r="CE87" s="1014">
        <f t="shared" si="412"/>
        <v>0</v>
      </c>
      <c r="CF87" s="1025">
        <f t="shared" si="413"/>
        <v>0</v>
      </c>
      <c r="CG87" s="1014">
        <f t="shared" si="414"/>
        <v>0</v>
      </c>
      <c r="CH87" s="1014">
        <f t="shared" si="415"/>
        <v>0</v>
      </c>
      <c r="CI87" s="1014">
        <f t="shared" si="416"/>
        <v>0</v>
      </c>
      <c r="CJ87" s="1014">
        <f t="shared" si="417"/>
        <v>0</v>
      </c>
      <c r="CK87" s="1014">
        <f t="shared" si="418"/>
        <v>0</v>
      </c>
      <c r="CL87" s="1014">
        <f t="shared" si="419"/>
        <v>0</v>
      </c>
      <c r="CM87" s="1014">
        <f t="shared" si="420"/>
        <v>0</v>
      </c>
      <c r="CN87" s="1015">
        <f t="shared" si="421"/>
        <v>0</v>
      </c>
      <c r="CO87" s="1014">
        <f t="shared" si="422"/>
        <v>0</v>
      </c>
      <c r="CP87" s="1025">
        <f t="shared" si="423"/>
        <v>0</v>
      </c>
      <c r="CQ87" s="1014">
        <f t="shared" si="424"/>
        <v>0</v>
      </c>
      <c r="CR87" s="1014">
        <f t="shared" si="425"/>
        <v>0</v>
      </c>
      <c r="CS87" s="1014">
        <f t="shared" si="426"/>
        <v>0</v>
      </c>
      <c r="CT87" s="1014">
        <f t="shared" si="427"/>
        <v>0</v>
      </c>
      <c r="CU87" s="1015">
        <f t="shared" si="428"/>
        <v>0</v>
      </c>
      <c r="CV87" s="1030">
        <f t="shared" si="429"/>
        <v>0</v>
      </c>
      <c r="CW87" s="1014">
        <f t="shared" si="430"/>
        <v>0</v>
      </c>
      <c r="CX87" s="1014">
        <f t="shared" si="431"/>
        <v>0</v>
      </c>
      <c r="CY87" s="1014">
        <f t="shared" si="432"/>
        <v>210000</v>
      </c>
      <c r="CZ87" s="1014">
        <f t="shared" si="433"/>
        <v>0</v>
      </c>
      <c r="DA87" s="1014">
        <f t="shared" si="434"/>
        <v>0</v>
      </c>
      <c r="DB87" s="1014">
        <f t="shared" si="435"/>
        <v>0</v>
      </c>
      <c r="DC87" s="1014">
        <f t="shared" si="436"/>
        <v>0</v>
      </c>
      <c r="DD87" s="1014">
        <f t="shared" si="437"/>
        <v>0</v>
      </c>
      <c r="DE87" s="1015">
        <f t="shared" si="438"/>
        <v>0</v>
      </c>
      <c r="DF87" s="1014">
        <f t="shared" si="439"/>
        <v>0</v>
      </c>
      <c r="DG87" s="1014">
        <f t="shared" si="440"/>
        <v>0</v>
      </c>
      <c r="DH87" s="1012">
        <f t="shared" si="481"/>
        <v>210000</v>
      </c>
      <c r="DI87" s="1014">
        <f t="shared" si="441"/>
        <v>0</v>
      </c>
      <c r="DJ87" s="1014">
        <f t="shared" si="442"/>
        <v>0</v>
      </c>
      <c r="DK87" s="1014">
        <f t="shared" si="443"/>
        <v>244440</v>
      </c>
      <c r="DL87" s="1014">
        <f t="shared" si="444"/>
        <v>0</v>
      </c>
      <c r="DM87" s="1014">
        <f t="shared" si="445"/>
        <v>0</v>
      </c>
      <c r="DN87" s="1014">
        <f t="shared" si="446"/>
        <v>0</v>
      </c>
      <c r="DO87" s="1014">
        <f t="shared" si="447"/>
        <v>0</v>
      </c>
      <c r="DP87" s="1014">
        <f t="shared" si="448"/>
        <v>0</v>
      </c>
      <c r="DQ87" s="1020">
        <f t="shared" si="449"/>
        <v>0</v>
      </c>
      <c r="DR87" s="1014">
        <f t="shared" si="450"/>
        <v>0</v>
      </c>
      <c r="DS87" s="1014">
        <f t="shared" si="451"/>
        <v>0</v>
      </c>
      <c r="DT87" s="1025">
        <f t="shared" si="482"/>
        <v>244440</v>
      </c>
    </row>
    <row r="88" spans="1:138" x14ac:dyDescent="0.2">
      <c r="A88" s="908" t="s">
        <v>434</v>
      </c>
      <c r="B88" s="908"/>
      <c r="C88" s="910">
        <f t="shared" ref="C88" si="483">SUMPRODUCT((OP_FRAFU=A88)*(Bdgt_FRAFU))</f>
        <v>0</v>
      </c>
      <c r="D88" s="910">
        <f t="shared" ref="D88" si="484">SUMPRODUCT((OP_Rehab=A88)*(Bdgt_Rehab))</f>
        <v>0</v>
      </c>
      <c r="E88" s="910">
        <f t="shared" ref="E88" si="485">SUMPRODUCT((OP_LBU=A88)*(Bdgt_LBU))</f>
        <v>680000</v>
      </c>
      <c r="F88" s="910">
        <f t="shared" ref="F88" si="486">SUMPRODUCT((OP_ST_LEU=A88)*(Bdgt_ST_LEU))</f>
        <v>0</v>
      </c>
      <c r="G88" s="910">
        <f t="shared" ref="G88" si="487">SUMPRODUCT((OP_CAF=A88)*(Bdgt_CAF))</f>
        <v>0</v>
      </c>
      <c r="H88" s="910">
        <f t="shared" ref="H88" si="488">SUMPRODUCT((OP_Region=A88)*(Bdgt_Region))</f>
        <v>0</v>
      </c>
      <c r="I88" s="910">
        <f t="shared" ref="I88" si="489">SUMPRODUCT((OP_Rectorat=A88)*(Bdgt_Rectorat))</f>
        <v>0</v>
      </c>
      <c r="J88" s="910">
        <f t="shared" ref="J88" si="490">SUMPRODUCT((OP_DIECCTE=A88)*(Bdgt_DIECCTE))</f>
        <v>0</v>
      </c>
      <c r="K88" s="910">
        <f t="shared" ref="K88" si="491">SUMPRODUCT((OP_TCO=A88)*(Bdgt_TCO))</f>
        <v>0</v>
      </c>
      <c r="L88" s="910">
        <f t="shared" ref="L88" si="492">SUMPRODUCT((OP_FEDER=A88)*(Bdgt_FEDER))</f>
        <v>0</v>
      </c>
      <c r="M88" s="910">
        <f t="shared" ref="M88" si="493">SUMPRODUCT((OP_ADEME=A88)*(Bdgt_ADEME))</f>
        <v>0</v>
      </c>
      <c r="N88" s="910">
        <f t="shared" ref="N88" si="494">SUMPRODUCT((OP_P_Ile=A88)*(Bdgt_P_Ile))</f>
        <v>0</v>
      </c>
      <c r="O88" s="910">
        <f t="shared" ref="O88" si="495">SUMPRODUCT((OP_EDF=A88)*(Bdgt_EDF))</f>
        <v>0</v>
      </c>
      <c r="P88" s="910">
        <f t="shared" ref="P88" si="496">SUMPRODUCT((OP_EAU=A88)*(Bdgt_EAU))</f>
        <v>0</v>
      </c>
      <c r="Q88" s="910">
        <f t="shared" ref="Q88" si="497">SUMPRODUCT((OP_ETG_SALE=A88)*(Bdgt_ETG_SALE))</f>
        <v>0</v>
      </c>
      <c r="R88" s="910">
        <f t="shared" ref="R88" si="498">SUMPRODUCT((OP_ST_JO=A88)*(Bdgt_ST_JO))</f>
        <v>0</v>
      </c>
      <c r="S88" s="910">
        <f t="shared" ref="S88" si="499">SUM(C88:R88)</f>
        <v>680000</v>
      </c>
      <c r="T88" s="1037"/>
      <c r="U88" s="1034"/>
      <c r="V88" s="1034"/>
      <c r="W88" s="1034"/>
      <c r="X88" s="1034"/>
      <c r="Y88" s="1034"/>
      <c r="Z88" s="1034"/>
      <c r="AA88" s="1034"/>
      <c r="AB88" s="1034"/>
      <c r="AC88" s="1034"/>
      <c r="AD88" s="1034"/>
      <c r="AE88" s="1034"/>
      <c r="AF88" s="1034"/>
      <c r="AG88" s="1034"/>
      <c r="AH88" s="1041"/>
      <c r="AI88" s="1014"/>
      <c r="AJ88" s="1025"/>
      <c r="AK88" s="1014"/>
      <c r="AL88" s="1025"/>
      <c r="AM88" s="1014"/>
      <c r="AN88" s="1025"/>
      <c r="AO88" s="1014"/>
      <c r="AP88" s="1014"/>
      <c r="AQ88" s="1014"/>
      <c r="AR88" s="1015"/>
      <c r="AS88" s="1025"/>
      <c r="AT88" s="1014"/>
      <c r="AU88" s="1014"/>
      <c r="AV88" s="1014"/>
      <c r="AW88" s="1014"/>
      <c r="AX88" s="1014"/>
      <c r="AY88" s="1014"/>
      <c r="AZ88" s="1025"/>
      <c r="BA88" s="1014"/>
      <c r="BB88" s="1014"/>
      <c r="BC88" s="1014"/>
      <c r="BD88" s="1014"/>
      <c r="BE88" s="1014"/>
      <c r="BF88" s="1014"/>
      <c r="BG88" s="1025"/>
      <c r="BH88" s="1014"/>
      <c r="BI88" s="1014"/>
      <c r="BJ88" s="1014"/>
      <c r="BK88" s="1014"/>
      <c r="BL88" s="1014"/>
      <c r="BM88" s="1014"/>
      <c r="BN88" s="1025"/>
      <c r="BO88" s="1014"/>
      <c r="BP88" s="1014"/>
      <c r="BQ88" s="1014"/>
      <c r="BR88" s="1014"/>
      <c r="BS88" s="1014"/>
      <c r="BT88" s="1025"/>
      <c r="BU88" s="1014"/>
      <c r="BV88" s="1014"/>
      <c r="BW88" s="1014"/>
      <c r="BX88" s="1014"/>
      <c r="BY88" s="1014"/>
      <c r="BZ88" s="1014"/>
      <c r="CA88" s="1014"/>
      <c r="CB88" s="1014"/>
      <c r="CC88" s="1014"/>
      <c r="CD88" s="1015"/>
      <c r="CE88" s="1014"/>
      <c r="CF88" s="1025"/>
      <c r="CG88" s="1014"/>
      <c r="CH88" s="1014"/>
      <c r="CI88" s="1014"/>
      <c r="CJ88" s="1014"/>
      <c r="CK88" s="1014"/>
      <c r="CL88" s="1014"/>
      <c r="CM88" s="1014"/>
      <c r="CN88" s="1015"/>
      <c r="CO88" s="1014"/>
      <c r="CP88" s="1025"/>
      <c r="CQ88" s="1014"/>
      <c r="CR88" s="1014"/>
      <c r="CS88" s="1014"/>
      <c r="CT88" s="1014"/>
      <c r="CU88" s="1015"/>
      <c r="CV88" s="1030"/>
      <c r="CW88" s="1014"/>
      <c r="CX88" s="1014"/>
      <c r="CY88" s="1014"/>
      <c r="CZ88" s="1014"/>
      <c r="DA88" s="1014"/>
      <c r="DB88" s="1014"/>
      <c r="DC88" s="1014"/>
      <c r="DD88" s="1014"/>
      <c r="DE88" s="1015"/>
      <c r="DF88" s="1014"/>
      <c r="DG88" s="1014"/>
      <c r="DH88" s="1012"/>
      <c r="DI88" s="1014"/>
      <c r="DJ88" s="1014"/>
      <c r="DK88" s="1014"/>
      <c r="DL88" s="1014"/>
      <c r="DM88" s="1014"/>
      <c r="DN88" s="1014"/>
      <c r="DO88" s="1014"/>
      <c r="DP88" s="1014"/>
      <c r="DQ88" s="1020"/>
      <c r="DR88" s="1014"/>
      <c r="DS88" s="1014"/>
      <c r="DT88" s="1025"/>
    </row>
    <row r="89" spans="1:138" x14ac:dyDescent="0.2">
      <c r="A89" s="908" t="s">
        <v>91</v>
      </c>
      <c r="B89" s="908"/>
      <c r="C89" s="910">
        <f t="shared" si="469"/>
        <v>0</v>
      </c>
      <c r="D89" s="910">
        <f t="shared" si="470"/>
        <v>0</v>
      </c>
      <c r="E89" s="910">
        <f t="shared" si="471"/>
        <v>543200</v>
      </c>
      <c r="F89" s="910">
        <f t="shared" si="361"/>
        <v>0</v>
      </c>
      <c r="G89" s="910">
        <f t="shared" si="472"/>
        <v>160000</v>
      </c>
      <c r="H89" s="910">
        <f t="shared" si="473"/>
        <v>0</v>
      </c>
      <c r="I89" s="910">
        <f t="shared" si="474"/>
        <v>0</v>
      </c>
      <c r="J89" s="910">
        <f t="shared" si="362"/>
        <v>0</v>
      </c>
      <c r="K89" s="910">
        <f t="shared" si="363"/>
        <v>0</v>
      </c>
      <c r="L89" s="910">
        <f t="shared" si="364"/>
        <v>0</v>
      </c>
      <c r="M89" s="910">
        <f t="shared" si="475"/>
        <v>0</v>
      </c>
      <c r="N89" s="910">
        <f t="shared" si="476"/>
        <v>0</v>
      </c>
      <c r="O89" s="910">
        <f t="shared" si="477"/>
        <v>0</v>
      </c>
      <c r="P89" s="910">
        <f t="shared" si="365"/>
        <v>0</v>
      </c>
      <c r="Q89" s="910">
        <f t="shared" si="478"/>
        <v>0</v>
      </c>
      <c r="R89" s="910">
        <f t="shared" si="479"/>
        <v>0</v>
      </c>
      <c r="S89" s="910">
        <f t="shared" si="480"/>
        <v>703200</v>
      </c>
      <c r="T89" s="1037">
        <f t="shared" si="366"/>
        <v>703200</v>
      </c>
      <c r="U89" s="1034">
        <f t="shared" si="452"/>
        <v>0</v>
      </c>
      <c r="V89" s="1034">
        <f t="shared" si="453"/>
        <v>0</v>
      </c>
      <c r="W89" s="1034">
        <f t="shared" si="454"/>
        <v>0</v>
      </c>
      <c r="X89" s="1034">
        <f t="shared" si="455"/>
        <v>0</v>
      </c>
      <c r="Y89" s="1034">
        <f t="shared" si="456"/>
        <v>0</v>
      </c>
      <c r="Z89" s="1034">
        <f t="shared" si="457"/>
        <v>0</v>
      </c>
      <c r="AA89" s="1034">
        <f t="shared" si="458"/>
        <v>0</v>
      </c>
      <c r="AB89" s="1034">
        <f t="shared" si="459"/>
        <v>0</v>
      </c>
      <c r="AC89" s="1034">
        <f t="shared" si="460"/>
        <v>0</v>
      </c>
      <c r="AD89" s="1034">
        <f t="shared" si="461"/>
        <v>0</v>
      </c>
      <c r="AE89" s="1034">
        <f t="shared" si="462"/>
        <v>0</v>
      </c>
      <c r="AF89" s="1034">
        <f t="shared" si="463"/>
        <v>0</v>
      </c>
      <c r="AG89" s="1034">
        <f t="shared" si="464"/>
        <v>0</v>
      </c>
      <c r="AH89" s="1041" t="str">
        <f t="shared" si="465"/>
        <v>-</v>
      </c>
      <c r="AI89" s="1014">
        <f t="shared" si="367"/>
        <v>0</v>
      </c>
      <c r="AJ89" s="1025">
        <f t="shared" si="466"/>
        <v>0</v>
      </c>
      <c r="AK89" s="1014">
        <f t="shared" si="368"/>
        <v>0</v>
      </c>
      <c r="AL89" s="1025">
        <f t="shared" si="467"/>
        <v>0</v>
      </c>
      <c r="AM89" s="1014">
        <f t="shared" si="369"/>
        <v>0</v>
      </c>
      <c r="AN89" s="1025">
        <f t="shared" si="468"/>
        <v>0</v>
      </c>
      <c r="AO89" s="1014">
        <f t="shared" si="370"/>
        <v>0</v>
      </c>
      <c r="AP89" s="1014">
        <f t="shared" si="371"/>
        <v>0</v>
      </c>
      <c r="AQ89" s="1014">
        <f t="shared" si="372"/>
        <v>0</v>
      </c>
      <c r="AR89" s="1015">
        <f t="shared" si="373"/>
        <v>0</v>
      </c>
      <c r="AS89" s="1025">
        <f t="shared" si="374"/>
        <v>0</v>
      </c>
      <c r="AT89" s="1014">
        <f t="shared" si="375"/>
        <v>0</v>
      </c>
      <c r="AU89" s="1014">
        <f t="shared" si="376"/>
        <v>0</v>
      </c>
      <c r="AV89" s="1014">
        <f t="shared" si="377"/>
        <v>0</v>
      </c>
      <c r="AW89" s="1014">
        <f t="shared" si="378"/>
        <v>0</v>
      </c>
      <c r="AX89" s="1014">
        <f t="shared" si="379"/>
        <v>0</v>
      </c>
      <c r="AY89" s="1014">
        <f t="shared" si="380"/>
        <v>0</v>
      </c>
      <c r="AZ89" s="1025">
        <f t="shared" si="381"/>
        <v>0</v>
      </c>
      <c r="BA89" s="1014">
        <f t="shared" si="382"/>
        <v>0</v>
      </c>
      <c r="BB89" s="1014">
        <f t="shared" si="383"/>
        <v>0</v>
      </c>
      <c r="BC89" s="1014">
        <f t="shared" si="384"/>
        <v>0</v>
      </c>
      <c r="BD89" s="1014">
        <f t="shared" si="385"/>
        <v>0</v>
      </c>
      <c r="BE89" s="1014">
        <f t="shared" si="386"/>
        <v>0</v>
      </c>
      <c r="BF89" s="1014">
        <f t="shared" si="387"/>
        <v>0</v>
      </c>
      <c r="BG89" s="1025">
        <f t="shared" si="388"/>
        <v>0</v>
      </c>
      <c r="BH89" s="1014">
        <f t="shared" si="389"/>
        <v>0</v>
      </c>
      <c r="BI89" s="1014">
        <f t="shared" si="390"/>
        <v>0</v>
      </c>
      <c r="BJ89" s="1014">
        <f t="shared" si="391"/>
        <v>0</v>
      </c>
      <c r="BK89" s="1014">
        <f t="shared" si="392"/>
        <v>0</v>
      </c>
      <c r="BL89" s="1014">
        <f t="shared" si="393"/>
        <v>0</v>
      </c>
      <c r="BM89" s="1014">
        <f t="shared" si="394"/>
        <v>0</v>
      </c>
      <c r="BN89" s="1025">
        <f t="shared" si="395"/>
        <v>0</v>
      </c>
      <c r="BO89" s="1014">
        <f t="shared" si="396"/>
        <v>0</v>
      </c>
      <c r="BP89" s="1014">
        <f t="shared" si="397"/>
        <v>0</v>
      </c>
      <c r="BQ89" s="1014">
        <f t="shared" si="398"/>
        <v>0</v>
      </c>
      <c r="BR89" s="1014">
        <f t="shared" si="399"/>
        <v>0</v>
      </c>
      <c r="BS89" s="1014">
        <f t="shared" si="400"/>
        <v>0</v>
      </c>
      <c r="BT89" s="1025">
        <f t="shared" si="401"/>
        <v>0</v>
      </c>
      <c r="BU89" s="1014">
        <f t="shared" si="402"/>
        <v>0</v>
      </c>
      <c r="BV89" s="1014">
        <f t="shared" si="403"/>
        <v>0</v>
      </c>
      <c r="BW89" s="1014">
        <f t="shared" si="404"/>
        <v>0</v>
      </c>
      <c r="BX89" s="1014">
        <f t="shared" si="405"/>
        <v>0</v>
      </c>
      <c r="BY89" s="1014">
        <f t="shared" si="406"/>
        <v>0</v>
      </c>
      <c r="BZ89" s="1014">
        <f t="shared" si="407"/>
        <v>0</v>
      </c>
      <c r="CA89" s="1014">
        <f t="shared" si="408"/>
        <v>0</v>
      </c>
      <c r="CB89" s="1014">
        <f t="shared" si="409"/>
        <v>0</v>
      </c>
      <c r="CC89" s="1014">
        <f t="shared" si="410"/>
        <v>0</v>
      </c>
      <c r="CD89" s="1015">
        <f t="shared" si="411"/>
        <v>0</v>
      </c>
      <c r="CE89" s="1014">
        <f t="shared" si="412"/>
        <v>0</v>
      </c>
      <c r="CF89" s="1025">
        <f t="shared" si="413"/>
        <v>0</v>
      </c>
      <c r="CG89" s="1014">
        <f t="shared" si="414"/>
        <v>0</v>
      </c>
      <c r="CH89" s="1014">
        <f t="shared" si="415"/>
        <v>0</v>
      </c>
      <c r="CI89" s="1014">
        <f t="shared" si="416"/>
        <v>0</v>
      </c>
      <c r="CJ89" s="1014">
        <f t="shared" si="417"/>
        <v>0</v>
      </c>
      <c r="CK89" s="1014">
        <f t="shared" si="418"/>
        <v>0</v>
      </c>
      <c r="CL89" s="1014">
        <f t="shared" si="419"/>
        <v>0</v>
      </c>
      <c r="CM89" s="1014">
        <f t="shared" si="420"/>
        <v>0</v>
      </c>
      <c r="CN89" s="1015">
        <f t="shared" si="421"/>
        <v>0</v>
      </c>
      <c r="CO89" s="1014">
        <f t="shared" si="422"/>
        <v>0</v>
      </c>
      <c r="CP89" s="1025">
        <f t="shared" si="423"/>
        <v>0</v>
      </c>
      <c r="CQ89" s="1014">
        <f t="shared" si="424"/>
        <v>0</v>
      </c>
      <c r="CR89" s="1014">
        <f t="shared" si="425"/>
        <v>0</v>
      </c>
      <c r="CS89" s="1014">
        <f t="shared" si="426"/>
        <v>0</v>
      </c>
      <c r="CT89" s="1014">
        <f t="shared" si="427"/>
        <v>0</v>
      </c>
      <c r="CU89" s="1015">
        <f t="shared" si="428"/>
        <v>0</v>
      </c>
      <c r="CV89" s="1030">
        <f t="shared" si="429"/>
        <v>0</v>
      </c>
      <c r="CW89" s="1014">
        <f t="shared" si="430"/>
        <v>0</v>
      </c>
      <c r="CX89" s="1014">
        <f t="shared" si="431"/>
        <v>0</v>
      </c>
      <c r="CY89" s="1014">
        <f t="shared" si="432"/>
        <v>0</v>
      </c>
      <c r="CZ89" s="1014">
        <f t="shared" si="433"/>
        <v>0</v>
      </c>
      <c r="DA89" s="1014">
        <f t="shared" si="434"/>
        <v>0</v>
      </c>
      <c r="DB89" s="1014">
        <f t="shared" si="435"/>
        <v>0</v>
      </c>
      <c r="DC89" s="1014">
        <f t="shared" si="436"/>
        <v>0</v>
      </c>
      <c r="DD89" s="1014">
        <f t="shared" si="437"/>
        <v>0</v>
      </c>
      <c r="DE89" s="1015">
        <f t="shared" si="438"/>
        <v>0</v>
      </c>
      <c r="DF89" s="1014">
        <f t="shared" si="439"/>
        <v>0</v>
      </c>
      <c r="DG89" s="1014">
        <f t="shared" si="440"/>
        <v>0</v>
      </c>
      <c r="DH89" s="1012">
        <f t="shared" si="481"/>
        <v>0</v>
      </c>
      <c r="DI89" s="1014">
        <f t="shared" si="441"/>
        <v>0</v>
      </c>
      <c r="DJ89" s="1014">
        <f t="shared" si="442"/>
        <v>0</v>
      </c>
      <c r="DK89" s="1014">
        <f t="shared" si="443"/>
        <v>0</v>
      </c>
      <c r="DL89" s="1014">
        <f t="shared" si="444"/>
        <v>0</v>
      </c>
      <c r="DM89" s="1014">
        <f t="shared" si="445"/>
        <v>0</v>
      </c>
      <c r="DN89" s="1014">
        <f t="shared" si="446"/>
        <v>0</v>
      </c>
      <c r="DO89" s="1014">
        <f t="shared" si="447"/>
        <v>0</v>
      </c>
      <c r="DP89" s="1014">
        <f t="shared" si="448"/>
        <v>0</v>
      </c>
      <c r="DQ89" s="1020">
        <f t="shared" si="449"/>
        <v>0</v>
      </c>
      <c r="DR89" s="1014">
        <f t="shared" si="450"/>
        <v>0</v>
      </c>
      <c r="DS89" s="1014">
        <f t="shared" si="451"/>
        <v>0</v>
      </c>
      <c r="DT89" s="1025">
        <f t="shared" si="482"/>
        <v>0</v>
      </c>
    </row>
    <row r="90" spans="1:138" x14ac:dyDescent="0.2">
      <c r="A90" s="908" t="s">
        <v>294</v>
      </c>
      <c r="B90" s="908"/>
      <c r="C90" s="910">
        <f t="shared" si="469"/>
        <v>0</v>
      </c>
      <c r="D90" s="910">
        <f t="shared" si="470"/>
        <v>0</v>
      </c>
      <c r="E90" s="910">
        <f t="shared" si="471"/>
        <v>660000</v>
      </c>
      <c r="F90" s="910">
        <f t="shared" si="361"/>
        <v>0</v>
      </c>
      <c r="G90" s="910">
        <f t="shared" si="472"/>
        <v>0</v>
      </c>
      <c r="H90" s="910">
        <f t="shared" si="473"/>
        <v>0</v>
      </c>
      <c r="I90" s="910">
        <f t="shared" si="474"/>
        <v>0</v>
      </c>
      <c r="J90" s="910">
        <f t="shared" si="362"/>
        <v>0</v>
      </c>
      <c r="K90" s="910">
        <f t="shared" si="363"/>
        <v>0</v>
      </c>
      <c r="L90" s="910">
        <f t="shared" si="364"/>
        <v>0</v>
      </c>
      <c r="M90" s="910">
        <f t="shared" si="475"/>
        <v>0</v>
      </c>
      <c r="N90" s="910">
        <f t="shared" si="476"/>
        <v>0</v>
      </c>
      <c r="O90" s="910">
        <f t="shared" si="477"/>
        <v>0</v>
      </c>
      <c r="P90" s="910">
        <f t="shared" si="365"/>
        <v>0</v>
      </c>
      <c r="Q90" s="910">
        <f t="shared" si="478"/>
        <v>0</v>
      </c>
      <c r="R90" s="910">
        <f t="shared" si="479"/>
        <v>0</v>
      </c>
      <c r="S90" s="910">
        <f t="shared" si="480"/>
        <v>660000</v>
      </c>
      <c r="T90" s="1038">
        <f t="shared" si="366"/>
        <v>660000</v>
      </c>
      <c r="U90" s="1035">
        <f t="shared" si="452"/>
        <v>0</v>
      </c>
      <c r="V90" s="1035">
        <f t="shared" si="453"/>
        <v>0</v>
      </c>
      <c r="W90" s="1035">
        <f t="shared" si="454"/>
        <v>0</v>
      </c>
      <c r="X90" s="1035">
        <f t="shared" si="455"/>
        <v>0</v>
      </c>
      <c r="Y90" s="1035">
        <f t="shared" si="456"/>
        <v>0</v>
      </c>
      <c r="Z90" s="1035">
        <f t="shared" si="457"/>
        <v>0</v>
      </c>
      <c r="AA90" s="1035">
        <f t="shared" si="458"/>
        <v>0</v>
      </c>
      <c r="AB90" s="1035">
        <f t="shared" si="459"/>
        <v>0</v>
      </c>
      <c r="AC90" s="1035">
        <f t="shared" si="460"/>
        <v>0</v>
      </c>
      <c r="AD90" s="1035">
        <f t="shared" si="461"/>
        <v>0</v>
      </c>
      <c r="AE90" s="1035">
        <f t="shared" si="462"/>
        <v>0</v>
      </c>
      <c r="AF90" s="1035">
        <f t="shared" si="463"/>
        <v>0</v>
      </c>
      <c r="AG90" s="1035">
        <f t="shared" si="464"/>
        <v>0</v>
      </c>
      <c r="AH90" s="1041" t="str">
        <f t="shared" si="465"/>
        <v>-</v>
      </c>
      <c r="AI90" s="1018">
        <f t="shared" si="367"/>
        <v>0</v>
      </c>
      <c r="AJ90" s="1026">
        <f t="shared" si="466"/>
        <v>0</v>
      </c>
      <c r="AK90" s="1018">
        <f t="shared" si="368"/>
        <v>0</v>
      </c>
      <c r="AL90" s="1026">
        <f t="shared" si="467"/>
        <v>0</v>
      </c>
      <c r="AM90" s="1018">
        <f t="shared" si="369"/>
        <v>0</v>
      </c>
      <c r="AN90" s="1026">
        <f t="shared" si="468"/>
        <v>0</v>
      </c>
      <c r="AO90" s="1018">
        <f t="shared" si="370"/>
        <v>0</v>
      </c>
      <c r="AP90" s="1018">
        <f t="shared" si="371"/>
        <v>0</v>
      </c>
      <c r="AQ90" s="1018">
        <f t="shared" si="372"/>
        <v>0</v>
      </c>
      <c r="AR90" s="1019">
        <f t="shared" si="373"/>
        <v>0</v>
      </c>
      <c r="AS90" s="1026">
        <f t="shared" si="374"/>
        <v>0</v>
      </c>
      <c r="AT90" s="1018">
        <f t="shared" si="375"/>
        <v>0</v>
      </c>
      <c r="AU90" s="1018">
        <f t="shared" si="376"/>
        <v>0</v>
      </c>
      <c r="AV90" s="1018">
        <f t="shared" si="377"/>
        <v>0</v>
      </c>
      <c r="AW90" s="1018">
        <f t="shared" si="378"/>
        <v>0</v>
      </c>
      <c r="AX90" s="1018">
        <f t="shared" si="379"/>
        <v>0</v>
      </c>
      <c r="AY90" s="1018">
        <f t="shared" si="380"/>
        <v>0</v>
      </c>
      <c r="AZ90" s="1026">
        <f t="shared" si="381"/>
        <v>0</v>
      </c>
      <c r="BA90" s="1018">
        <f t="shared" si="382"/>
        <v>0</v>
      </c>
      <c r="BB90" s="1018">
        <f t="shared" si="383"/>
        <v>0</v>
      </c>
      <c r="BC90" s="1018">
        <f t="shared" si="384"/>
        <v>0</v>
      </c>
      <c r="BD90" s="1018">
        <f t="shared" si="385"/>
        <v>0</v>
      </c>
      <c r="BE90" s="1018">
        <f t="shared" si="386"/>
        <v>0</v>
      </c>
      <c r="BF90" s="1018">
        <f t="shared" si="387"/>
        <v>0</v>
      </c>
      <c r="BG90" s="1026">
        <f t="shared" si="388"/>
        <v>0</v>
      </c>
      <c r="BH90" s="1018">
        <f t="shared" si="389"/>
        <v>0</v>
      </c>
      <c r="BI90" s="1018">
        <f t="shared" si="390"/>
        <v>0</v>
      </c>
      <c r="BJ90" s="1018">
        <f t="shared" si="391"/>
        <v>0</v>
      </c>
      <c r="BK90" s="1018">
        <f t="shared" si="392"/>
        <v>0</v>
      </c>
      <c r="BL90" s="1018">
        <f t="shared" si="393"/>
        <v>0</v>
      </c>
      <c r="BM90" s="1018">
        <f t="shared" si="394"/>
        <v>0</v>
      </c>
      <c r="BN90" s="1026">
        <f t="shared" si="395"/>
        <v>0</v>
      </c>
      <c r="BO90" s="1018">
        <f t="shared" si="396"/>
        <v>0</v>
      </c>
      <c r="BP90" s="1018">
        <f t="shared" si="397"/>
        <v>0</v>
      </c>
      <c r="BQ90" s="1018">
        <f t="shared" si="398"/>
        <v>0</v>
      </c>
      <c r="BR90" s="1018">
        <f t="shared" si="399"/>
        <v>0</v>
      </c>
      <c r="BS90" s="1018">
        <f t="shared" si="400"/>
        <v>0</v>
      </c>
      <c r="BT90" s="1026">
        <f t="shared" si="401"/>
        <v>0</v>
      </c>
      <c r="BU90" s="1018">
        <f t="shared" si="402"/>
        <v>0</v>
      </c>
      <c r="BV90" s="1018">
        <f t="shared" si="403"/>
        <v>0</v>
      </c>
      <c r="BW90" s="1018">
        <f t="shared" si="404"/>
        <v>0</v>
      </c>
      <c r="BX90" s="1018">
        <f t="shared" si="405"/>
        <v>0</v>
      </c>
      <c r="BY90" s="1018">
        <f t="shared" si="406"/>
        <v>0</v>
      </c>
      <c r="BZ90" s="1018">
        <f t="shared" si="407"/>
        <v>0</v>
      </c>
      <c r="CA90" s="1018">
        <f t="shared" si="408"/>
        <v>0</v>
      </c>
      <c r="CB90" s="1018">
        <f t="shared" si="409"/>
        <v>0</v>
      </c>
      <c r="CC90" s="1018">
        <f t="shared" si="410"/>
        <v>0</v>
      </c>
      <c r="CD90" s="1019">
        <f t="shared" si="411"/>
        <v>0</v>
      </c>
      <c r="CE90" s="1018">
        <f t="shared" si="412"/>
        <v>0</v>
      </c>
      <c r="CF90" s="1026">
        <f t="shared" si="413"/>
        <v>0</v>
      </c>
      <c r="CG90" s="1018">
        <f t="shared" si="414"/>
        <v>0</v>
      </c>
      <c r="CH90" s="1018">
        <f t="shared" si="415"/>
        <v>0</v>
      </c>
      <c r="CI90" s="1018">
        <f t="shared" si="416"/>
        <v>0</v>
      </c>
      <c r="CJ90" s="1018">
        <f t="shared" si="417"/>
        <v>0</v>
      </c>
      <c r="CK90" s="1018">
        <f t="shared" si="418"/>
        <v>0</v>
      </c>
      <c r="CL90" s="1018">
        <f t="shared" si="419"/>
        <v>0</v>
      </c>
      <c r="CM90" s="1018">
        <f t="shared" si="420"/>
        <v>0</v>
      </c>
      <c r="CN90" s="1019">
        <f t="shared" si="421"/>
        <v>0</v>
      </c>
      <c r="CO90" s="1018">
        <f t="shared" si="422"/>
        <v>0</v>
      </c>
      <c r="CP90" s="1026">
        <f t="shared" si="423"/>
        <v>0</v>
      </c>
      <c r="CQ90" s="1018">
        <f t="shared" si="424"/>
        <v>0</v>
      </c>
      <c r="CR90" s="1018">
        <f t="shared" si="425"/>
        <v>0</v>
      </c>
      <c r="CS90" s="1018">
        <f t="shared" si="426"/>
        <v>0</v>
      </c>
      <c r="CT90" s="1018">
        <f t="shared" si="427"/>
        <v>0</v>
      </c>
      <c r="CU90" s="1019">
        <f t="shared" si="428"/>
        <v>0</v>
      </c>
      <c r="CV90" s="1031">
        <f t="shared" si="429"/>
        <v>0</v>
      </c>
      <c r="CW90" s="1018">
        <f t="shared" si="430"/>
        <v>0</v>
      </c>
      <c r="CX90" s="1018">
        <f t="shared" si="431"/>
        <v>0</v>
      </c>
      <c r="CY90" s="1018">
        <f t="shared" si="432"/>
        <v>0</v>
      </c>
      <c r="CZ90" s="1018">
        <f t="shared" si="433"/>
        <v>0</v>
      </c>
      <c r="DA90" s="1018">
        <f t="shared" si="434"/>
        <v>0</v>
      </c>
      <c r="DB90" s="1018">
        <f t="shared" si="435"/>
        <v>0</v>
      </c>
      <c r="DC90" s="1018">
        <f t="shared" si="436"/>
        <v>0</v>
      </c>
      <c r="DD90" s="1018">
        <f t="shared" si="437"/>
        <v>0</v>
      </c>
      <c r="DE90" s="1019">
        <f t="shared" si="438"/>
        <v>0</v>
      </c>
      <c r="DF90" s="1018">
        <f t="shared" si="439"/>
        <v>0</v>
      </c>
      <c r="DG90" s="1018">
        <f t="shared" si="440"/>
        <v>0</v>
      </c>
      <c r="DH90" s="1024">
        <f t="shared" si="481"/>
        <v>0</v>
      </c>
      <c r="DI90" s="1018">
        <f t="shared" si="441"/>
        <v>0</v>
      </c>
      <c r="DJ90" s="1018">
        <f t="shared" si="442"/>
        <v>0</v>
      </c>
      <c r="DK90" s="1018">
        <f t="shared" si="443"/>
        <v>0</v>
      </c>
      <c r="DL90" s="1018">
        <f t="shared" si="444"/>
        <v>0</v>
      </c>
      <c r="DM90" s="1018">
        <f t="shared" si="445"/>
        <v>0</v>
      </c>
      <c r="DN90" s="1018">
        <f t="shared" si="446"/>
        <v>0</v>
      </c>
      <c r="DO90" s="1018">
        <f t="shared" si="447"/>
        <v>0</v>
      </c>
      <c r="DP90" s="1018">
        <f t="shared" si="448"/>
        <v>0</v>
      </c>
      <c r="DQ90" s="1021">
        <f t="shared" si="449"/>
        <v>0</v>
      </c>
      <c r="DR90" s="1018">
        <f t="shared" si="450"/>
        <v>0</v>
      </c>
      <c r="DS90" s="1018">
        <f t="shared" si="451"/>
        <v>0</v>
      </c>
      <c r="DT90" s="1026">
        <f t="shared" si="482"/>
        <v>0</v>
      </c>
    </row>
    <row r="91" spans="1:138" s="1016" customFormat="1" x14ac:dyDescent="0.2">
      <c r="A91" s="1017"/>
      <c r="B91" s="1017"/>
      <c r="C91" s="1017"/>
      <c r="D91" s="1017"/>
      <c r="E91" s="1017"/>
      <c r="F91" s="1017"/>
      <c r="G91" s="1017"/>
      <c r="H91" s="1017"/>
      <c r="I91" s="1017"/>
      <c r="J91" s="1017"/>
      <c r="K91" s="1017"/>
      <c r="L91" s="1017"/>
      <c r="M91" s="1017"/>
      <c r="N91" s="1017"/>
      <c r="O91" s="1017"/>
      <c r="P91" s="1017"/>
      <c r="Q91" s="1017"/>
      <c r="R91" s="1017"/>
      <c r="S91" s="1017"/>
      <c r="T91" s="1017"/>
      <c r="U91" s="1040">
        <f>SUM(U3:U90)</f>
        <v>135000</v>
      </c>
      <c r="V91" s="1040">
        <f t="shared" si="453"/>
        <v>1728157.8</v>
      </c>
      <c r="W91" s="1040">
        <f t="shared" si="454"/>
        <v>2558229.2999999998</v>
      </c>
      <c r="X91" s="1040">
        <f t="shared" si="455"/>
        <v>3830592.76</v>
      </c>
      <c r="Y91" s="1040">
        <f t="shared" si="456"/>
        <v>8032715.0799999991</v>
      </c>
      <c r="Z91" s="1040">
        <f t="shared" si="457"/>
        <v>12378872.449999999</v>
      </c>
      <c r="AA91" s="1040">
        <f t="shared" si="458"/>
        <v>16685693.73</v>
      </c>
      <c r="AB91" s="1040">
        <f t="shared" si="459"/>
        <v>23288607.899999999</v>
      </c>
      <c r="AC91" s="1040">
        <f t="shared" si="460"/>
        <v>32004727.809999999</v>
      </c>
      <c r="AD91" s="1040">
        <f t="shared" si="461"/>
        <v>42004123.82</v>
      </c>
      <c r="AE91" s="1040">
        <f t="shared" si="462"/>
        <v>48509983.740000002</v>
      </c>
      <c r="AF91" s="1040">
        <f t="shared" si="463"/>
        <v>57742125.600000001</v>
      </c>
      <c r="AG91" s="1040">
        <f t="shared" si="464"/>
        <v>60247744.550000004</v>
      </c>
      <c r="AH91" s="1042"/>
      <c r="AI91" s="1013">
        <f t="shared" ref="AI91:BN91" si="500">SUM(AI3:AI90)</f>
        <v>135000</v>
      </c>
      <c r="AJ91" s="1013">
        <f t="shared" si="500"/>
        <v>135000</v>
      </c>
      <c r="AK91" s="1013">
        <f t="shared" si="500"/>
        <v>1593157.8</v>
      </c>
      <c r="AL91" s="1013">
        <f t="shared" si="500"/>
        <v>1593157.8</v>
      </c>
      <c r="AM91" s="1013">
        <f t="shared" si="500"/>
        <v>830071.5</v>
      </c>
      <c r="AN91" s="1013">
        <f t="shared" si="500"/>
        <v>830071.5</v>
      </c>
      <c r="AO91" s="1013">
        <f t="shared" si="500"/>
        <v>63180</v>
      </c>
      <c r="AP91" s="1013">
        <f t="shared" si="500"/>
        <v>1071068.93</v>
      </c>
      <c r="AQ91" s="1013">
        <f t="shared" si="500"/>
        <v>68000</v>
      </c>
      <c r="AR91" s="1013">
        <f t="shared" si="500"/>
        <v>70114.53</v>
      </c>
      <c r="AS91" s="1013">
        <f t="shared" si="500"/>
        <v>1272363.46</v>
      </c>
      <c r="AT91" s="1013">
        <f t="shared" si="500"/>
        <v>964320</v>
      </c>
      <c r="AU91" s="1013">
        <f t="shared" si="500"/>
        <v>1745441.3800000004</v>
      </c>
      <c r="AV91" s="1013">
        <f t="shared" si="500"/>
        <v>735403.9</v>
      </c>
      <c r="AW91" s="1013">
        <f t="shared" si="500"/>
        <v>124157.04</v>
      </c>
      <c r="AX91" s="1013">
        <f t="shared" si="500"/>
        <v>12800</v>
      </c>
      <c r="AY91" s="1013">
        <f t="shared" si="500"/>
        <v>620000</v>
      </c>
      <c r="AZ91" s="1013">
        <f t="shared" si="500"/>
        <v>4202122.3199999994</v>
      </c>
      <c r="BA91" s="1013">
        <f t="shared" si="500"/>
        <v>1285783.17</v>
      </c>
      <c r="BB91" s="1013">
        <f t="shared" si="500"/>
        <v>2192494.3899999997</v>
      </c>
      <c r="BC91" s="1013">
        <f t="shared" si="500"/>
        <v>23978.81</v>
      </c>
      <c r="BD91" s="1013">
        <f t="shared" si="500"/>
        <v>28000</v>
      </c>
      <c r="BE91" s="1013">
        <f t="shared" si="500"/>
        <v>204000</v>
      </c>
      <c r="BF91" s="1013">
        <f t="shared" si="500"/>
        <v>611901</v>
      </c>
      <c r="BG91" s="1013">
        <f t="shared" si="500"/>
        <v>4346157.3699999992</v>
      </c>
      <c r="BH91" s="1013">
        <f t="shared" si="500"/>
        <v>655454.87</v>
      </c>
      <c r="BI91" s="1013">
        <f t="shared" si="500"/>
        <v>3091587.22</v>
      </c>
      <c r="BJ91" s="1013">
        <f t="shared" si="500"/>
        <v>91990.6</v>
      </c>
      <c r="BK91" s="1013">
        <f t="shared" si="500"/>
        <v>175000</v>
      </c>
      <c r="BL91" s="1013">
        <f t="shared" si="500"/>
        <v>205000</v>
      </c>
      <c r="BM91" s="1013">
        <f t="shared" si="500"/>
        <v>87788.59</v>
      </c>
      <c r="BN91" s="1013">
        <f t="shared" si="500"/>
        <v>4306821.28</v>
      </c>
      <c r="BO91" s="1013">
        <f t="shared" ref="BO91:CT91" si="501">SUM(BO3:BO90)</f>
        <v>4460611.76</v>
      </c>
      <c r="BP91" s="1013">
        <f t="shared" si="501"/>
        <v>1926685.98</v>
      </c>
      <c r="BQ91" s="1013">
        <f t="shared" si="501"/>
        <v>71936.430000000008</v>
      </c>
      <c r="BR91" s="1013">
        <f t="shared" si="501"/>
        <v>136000</v>
      </c>
      <c r="BS91" s="1013">
        <f t="shared" si="501"/>
        <v>7680</v>
      </c>
      <c r="BT91" s="1013">
        <f t="shared" si="501"/>
        <v>6602914.1699999999</v>
      </c>
      <c r="BU91" s="1013">
        <f t="shared" si="501"/>
        <v>1769182.02</v>
      </c>
      <c r="BV91" s="1013">
        <f t="shared" si="501"/>
        <v>3628789.28</v>
      </c>
      <c r="BW91" s="1013">
        <f t="shared" si="501"/>
        <v>827337.32000000007</v>
      </c>
      <c r="BX91" s="1013">
        <f t="shared" si="501"/>
        <v>290500</v>
      </c>
      <c r="BY91" s="1013">
        <f t="shared" si="501"/>
        <v>614035.68000000005</v>
      </c>
      <c r="BZ91" s="1013">
        <f t="shared" si="501"/>
        <v>57101.89</v>
      </c>
      <c r="CA91" s="1013">
        <f t="shared" si="501"/>
        <v>77802.69</v>
      </c>
      <c r="CB91" s="1013">
        <f t="shared" si="501"/>
        <v>5120</v>
      </c>
      <c r="CC91" s="1013">
        <f t="shared" si="501"/>
        <v>206298</v>
      </c>
      <c r="CD91" s="1013">
        <f t="shared" si="501"/>
        <v>154953.03</v>
      </c>
      <c r="CE91" s="1013">
        <f t="shared" si="501"/>
        <v>1085000</v>
      </c>
      <c r="CF91" s="1013">
        <f t="shared" si="501"/>
        <v>8716119.9100000001</v>
      </c>
      <c r="CG91" s="1013">
        <f t="shared" si="501"/>
        <v>3898075.0300000003</v>
      </c>
      <c r="CH91" s="1013">
        <f t="shared" si="501"/>
        <v>2546228.3499999996</v>
      </c>
      <c r="CI91" s="1013">
        <f t="shared" si="501"/>
        <v>1442192.77</v>
      </c>
      <c r="CJ91" s="1013">
        <f t="shared" si="501"/>
        <v>168000</v>
      </c>
      <c r="CK91" s="1013">
        <f t="shared" si="501"/>
        <v>105000</v>
      </c>
      <c r="CL91" s="1013">
        <f t="shared" si="501"/>
        <v>1290562.67</v>
      </c>
      <c r="CM91" s="1013">
        <f t="shared" si="501"/>
        <v>388215</v>
      </c>
      <c r="CN91" s="1013">
        <f t="shared" si="501"/>
        <v>51875.6</v>
      </c>
      <c r="CO91" s="1013">
        <f t="shared" si="501"/>
        <v>109246.59</v>
      </c>
      <c r="CP91" s="1013">
        <f t="shared" si="501"/>
        <v>9999396.0099999998</v>
      </c>
      <c r="CQ91" s="1013">
        <f t="shared" si="501"/>
        <v>2215954.2800000003</v>
      </c>
      <c r="CR91" s="1013">
        <f t="shared" si="501"/>
        <v>3620444.11</v>
      </c>
      <c r="CS91" s="1013">
        <f t="shared" si="501"/>
        <v>288000</v>
      </c>
      <c r="CT91" s="1013">
        <f t="shared" si="501"/>
        <v>100000</v>
      </c>
      <c r="CU91" s="1013">
        <f t="shared" ref="CU91:DT91" si="502">SUM(CU3:CU90)</f>
        <v>281461.53000000003</v>
      </c>
      <c r="CV91" s="1013">
        <f t="shared" si="502"/>
        <v>6505859.9200000009</v>
      </c>
      <c r="CW91" s="1013">
        <f t="shared" si="502"/>
        <v>1554322.41</v>
      </c>
      <c r="CX91" s="1013">
        <f t="shared" si="502"/>
        <v>248857.37</v>
      </c>
      <c r="CY91" s="1013">
        <f t="shared" si="502"/>
        <v>4229192.16</v>
      </c>
      <c r="CZ91" s="1013">
        <f t="shared" si="502"/>
        <v>124500</v>
      </c>
      <c r="DA91" s="1013">
        <f t="shared" si="502"/>
        <v>941484.5</v>
      </c>
      <c r="DB91" s="1013">
        <f t="shared" si="502"/>
        <v>941484.5</v>
      </c>
      <c r="DC91" s="1013">
        <f t="shared" si="502"/>
        <v>38080</v>
      </c>
      <c r="DD91" s="1013">
        <f t="shared" si="502"/>
        <v>46021.32</v>
      </c>
      <c r="DE91" s="1013">
        <f t="shared" si="502"/>
        <v>310341.90999999997</v>
      </c>
      <c r="DF91" s="1013">
        <f t="shared" si="502"/>
        <v>542500</v>
      </c>
      <c r="DG91" s="1013">
        <f t="shared" si="502"/>
        <v>255357.69</v>
      </c>
      <c r="DH91" s="1013">
        <f t="shared" si="502"/>
        <v>9232141.8600000013</v>
      </c>
      <c r="DI91" s="1013">
        <f t="shared" si="502"/>
        <v>198720</v>
      </c>
      <c r="DJ91" s="1013">
        <f t="shared" si="502"/>
        <v>104666.04000000001</v>
      </c>
      <c r="DK91" s="1013">
        <f t="shared" si="502"/>
        <v>1369555.2</v>
      </c>
      <c r="DL91" s="1013">
        <f t="shared" si="502"/>
        <v>0</v>
      </c>
      <c r="DM91" s="1013">
        <f t="shared" si="502"/>
        <v>306961</v>
      </c>
      <c r="DN91" s="1013">
        <f t="shared" si="502"/>
        <v>0</v>
      </c>
      <c r="DO91" s="1013">
        <f t="shared" si="502"/>
        <v>0</v>
      </c>
      <c r="DP91" s="1013">
        <f t="shared" si="502"/>
        <v>0</v>
      </c>
      <c r="DQ91" s="1013">
        <f t="shared" si="502"/>
        <v>525716.71</v>
      </c>
      <c r="DR91" s="1013">
        <f t="shared" si="502"/>
        <v>0</v>
      </c>
      <c r="DS91" s="1013">
        <f t="shared" si="502"/>
        <v>0</v>
      </c>
      <c r="DT91" s="1013">
        <f t="shared" si="502"/>
        <v>2505618.9499999997</v>
      </c>
      <c r="DU91" s="1009"/>
      <c r="DV91" s="1009"/>
      <c r="DW91" s="1009"/>
      <c r="DX91" s="1009"/>
      <c r="DY91" s="1009"/>
      <c r="DZ91" s="1009"/>
      <c r="EA91" s="1009"/>
      <c r="EB91" s="1009"/>
      <c r="EC91" s="1009"/>
      <c r="ED91" s="1009"/>
      <c r="EE91" s="1009"/>
      <c r="EF91" s="1009"/>
      <c r="EG91" s="1009"/>
      <c r="EH91" s="1009"/>
    </row>
    <row r="92" spans="1:138" x14ac:dyDescent="0.2">
      <c r="AI92" s="1000">
        <f>AI91-'FRAFU DEAL'!M158</f>
        <v>0</v>
      </c>
      <c r="AJ92" s="970">
        <f>AJ91-SYNTHESE!C40</f>
        <v>0</v>
      </c>
      <c r="AK92" s="1000">
        <f>AK91-'FRAFU DEAL'!M159</f>
        <v>0</v>
      </c>
      <c r="AL92" s="970">
        <f>AL91-SYNTHESE!C41</f>
        <v>0</v>
      </c>
      <c r="AM92" s="969">
        <f>AM91-'LBU DEAL'!N411</f>
        <v>0</v>
      </c>
      <c r="AN92" s="970">
        <f>AN91-SYNTHESE!C42</f>
        <v>0</v>
      </c>
      <c r="AO92" s="1000">
        <f>AO91-'FRAFU DEAL'!M160</f>
        <v>0</v>
      </c>
      <c r="AP92" s="969">
        <f>AP91-'LBU DEAL'!N412</f>
        <v>0</v>
      </c>
      <c r="AQ92" s="969">
        <f>AQ91-TCO!M21</f>
        <v>0</v>
      </c>
      <c r="AR92" s="970">
        <f>AR91-'OFFICE DE L''EAU'!L19</f>
        <v>0</v>
      </c>
      <c r="AS92" s="970">
        <f>AS91-SYNTHESE!C43</f>
        <v>0</v>
      </c>
      <c r="AT92" s="1000">
        <f>AT91-'FRAFU DEAL'!M161</f>
        <v>0</v>
      </c>
      <c r="AU92" s="969">
        <f>AU91-'LBU DEAL'!N413</f>
        <v>0</v>
      </c>
      <c r="AV92" s="969">
        <f>AV91-REGION!L34</f>
        <v>0</v>
      </c>
      <c r="AW92" s="969">
        <f>AW91-FEDER!P18</f>
        <v>0</v>
      </c>
      <c r="AX92" s="969">
        <f>AX91-ADEME!I29</f>
        <v>0</v>
      </c>
      <c r="AY92" s="969">
        <f>AY91-'PETITE ILE'!K22</f>
        <v>0</v>
      </c>
      <c r="AZ92" s="970">
        <f>AZ91-SYNTHESE!C44</f>
        <v>0</v>
      </c>
      <c r="BA92" s="1000">
        <f>BA91-'FRAFU DEAL'!M162</f>
        <v>0</v>
      </c>
      <c r="BB92" s="969">
        <f>BB91-'LBU DEAL'!N414</f>
        <v>0</v>
      </c>
      <c r="BC92" s="969">
        <f>BC91-'ST LEU'!L58</f>
        <v>0</v>
      </c>
      <c r="BD92" s="969">
        <f>BD91-CAF!N48</f>
        <v>0</v>
      </c>
      <c r="BE92" s="969">
        <f>+BE91-TCO!M22</f>
        <v>0</v>
      </c>
      <c r="BF92" s="1028">
        <f>BF91-'PETITE ILE'!K23</f>
        <v>0</v>
      </c>
      <c r="BG92" s="970">
        <f>BG91-SYNTHESE!C45</f>
        <v>0</v>
      </c>
      <c r="BH92" s="1000">
        <f>BH91-'FRAFU DEAL'!M163</f>
        <v>0</v>
      </c>
      <c r="BI92" s="969">
        <f>BI91-'LBU DEAL'!N415</f>
        <v>0</v>
      </c>
      <c r="BJ92" s="969">
        <f>BJ91-'ST LEU'!L59</f>
        <v>0</v>
      </c>
      <c r="BK92" s="969">
        <f>BK91-CAF!N49</f>
        <v>0</v>
      </c>
      <c r="BL92" s="969">
        <f>BL91-REGION!L36</f>
        <v>0</v>
      </c>
      <c r="BM92" s="969">
        <f>+BM91-TCO!M23</f>
        <v>0</v>
      </c>
      <c r="BN92" s="970">
        <f>BN91-SYNTHESE!C46</f>
        <v>0</v>
      </c>
      <c r="BO92" s="1000">
        <f>BO91-'FRAFU DEAL'!M164</f>
        <v>0</v>
      </c>
      <c r="BP92" s="969">
        <f>BP91-'LBU DEAL'!N416</f>
        <v>0</v>
      </c>
      <c r="BQ92" s="969">
        <f>BQ91-'ST LEU'!L60</f>
        <v>0</v>
      </c>
      <c r="BR92" s="969">
        <f>BR91-CAF!N50</f>
        <v>0</v>
      </c>
      <c r="BS92" s="1028">
        <f>BS91-ADEME!I32</f>
        <v>0</v>
      </c>
      <c r="BT92" s="970">
        <f>BT91-SYNTHESE!C47</f>
        <v>0</v>
      </c>
      <c r="BU92" s="1000">
        <f>BU91-'FRAFU DEAL'!M165</f>
        <v>0</v>
      </c>
      <c r="BV92" s="969">
        <f>BV91-'LBU DEAL'!N417</f>
        <v>0</v>
      </c>
      <c r="BW92" s="969">
        <f>BW91-'ST LEU'!L61</f>
        <v>0</v>
      </c>
      <c r="BX92" s="969">
        <f>BX91-CAF!N51</f>
        <v>0</v>
      </c>
      <c r="BY92" s="969">
        <f>BY91-REGION!L38</f>
        <v>0</v>
      </c>
      <c r="BZ92" s="969">
        <f>BZ91-SYNTHESE!K48</f>
        <v>0</v>
      </c>
      <c r="CA92" s="969">
        <f>CA91-FEDER!P21</f>
        <v>0</v>
      </c>
      <c r="CB92" s="969">
        <f>CB91-ADEME!I33</f>
        <v>0</v>
      </c>
      <c r="CC92" s="969">
        <f>CC91-'PETITE ILE'!K24</f>
        <v>0</v>
      </c>
      <c r="CD92" s="970">
        <f>CD91-'OFFICE DE L''EAU'!L20</f>
        <v>0</v>
      </c>
      <c r="CE92" s="969">
        <f>CE91-'ETANG-SALE'!H15</f>
        <v>0</v>
      </c>
      <c r="CF92" s="970">
        <f>CF91-SYNTHESE!C48</f>
        <v>0</v>
      </c>
      <c r="CG92" s="1000">
        <f>CG91-'FRAFU DEAL'!M166</f>
        <v>0</v>
      </c>
      <c r="CH92" s="969">
        <f>CH91-'LBU DEAL'!N418</f>
        <v>0</v>
      </c>
      <c r="CI92" s="969">
        <f>CI91-'ST LEU'!L62</f>
        <v>0</v>
      </c>
      <c r="CJ92" s="969">
        <f>CJ91-CAF!N52</f>
        <v>0</v>
      </c>
      <c r="CK92" s="969">
        <f>CK91-REGION!L39</f>
        <v>0</v>
      </c>
      <c r="CL92" s="969">
        <f>CL91-FEDER!P22</f>
        <v>0</v>
      </c>
      <c r="CM92" s="969">
        <f>CM91-'PETITE ILE'!K25</f>
        <v>0</v>
      </c>
      <c r="CN92" s="970">
        <f>CN91-EDF!M90</f>
        <v>0</v>
      </c>
      <c r="CO92" s="969">
        <f>CO91-'ST JOSEPH'!L21</f>
        <v>0</v>
      </c>
      <c r="CP92" s="970">
        <f>CP91-SYNTHESE!C49</f>
        <v>0</v>
      </c>
      <c r="CQ92" s="1000">
        <f>CQ91-'FRAFU DEAL'!M167</f>
        <v>0</v>
      </c>
      <c r="CR92" s="969">
        <f>CR91-'LBU DEAL'!N419</f>
        <v>0</v>
      </c>
      <c r="CS92" s="969">
        <f>CS91-CAF!N53</f>
        <v>0</v>
      </c>
      <c r="CT92" s="969">
        <f>CT91-REGION!L40</f>
        <v>0</v>
      </c>
      <c r="CU92" s="970">
        <f>CU91-EDF!M91</f>
        <v>0</v>
      </c>
      <c r="CV92" s="970">
        <f>CV91-SYNTHESE!C50</f>
        <v>0</v>
      </c>
      <c r="CW92" s="1000">
        <f>CW91-'FRAFU DEAL'!M168</f>
        <v>0</v>
      </c>
      <c r="CX92" s="1000">
        <f>CX91-'LBU REHAB'!N63</f>
        <v>4467.3699999999953</v>
      </c>
      <c r="CY92" s="969">
        <f>CY91-'LBU DEAL'!N420</f>
        <v>0</v>
      </c>
      <c r="CZ92" s="969">
        <f>CZ91-CAF!N54</f>
        <v>0</v>
      </c>
      <c r="DA92" s="969">
        <f>DA91-REGION!L41</f>
        <v>0</v>
      </c>
      <c r="DB92" s="969">
        <f>DB91-RECTORAT!L17</f>
        <v>0</v>
      </c>
      <c r="DC92" s="969">
        <f>DC91-ADEME!I36</f>
        <v>0</v>
      </c>
      <c r="DD92" s="969">
        <f>DD91-'PETITE ILE'!K26</f>
        <v>0</v>
      </c>
      <c r="DE92" s="970">
        <f>DE91-EDF!M92</f>
        <v>0</v>
      </c>
      <c r="DF92" s="969">
        <f>DF91-'ETANG-SALE'!H16</f>
        <v>0</v>
      </c>
      <c r="DG92" s="969">
        <f>DG91-'ST JOSEPH'!L23</f>
        <v>0</v>
      </c>
      <c r="DH92" s="970">
        <f>DH91-SYNTHESE!C51</f>
        <v>4467.3700000010431</v>
      </c>
      <c r="DI92" s="969">
        <f>DI91-'FRAFU DEAL'!M169</f>
        <v>0</v>
      </c>
      <c r="DJ92" s="969">
        <f>DJ91-'LBU REHAB'!N64</f>
        <v>-3272.359999999986</v>
      </c>
      <c r="DK92" s="969">
        <f>DK91-'LBU DEAL'!N421</f>
        <v>0</v>
      </c>
      <c r="DL92" s="969"/>
      <c r="DM92" s="969">
        <f>DM91-REGION!L42</f>
        <v>0</v>
      </c>
      <c r="DN92" s="969">
        <f>DN91-RECTORAT!L18</f>
        <v>0</v>
      </c>
      <c r="DO92" s="969">
        <f>DO91-ADEME!I37</f>
        <v>0</v>
      </c>
      <c r="DP92" s="969">
        <f>DP91-'PETITE ILE'!K27</f>
        <v>0</v>
      </c>
      <c r="DQ92" s="970">
        <f>DQ91-EDF!M93</f>
        <v>0</v>
      </c>
      <c r="DR92" s="969">
        <f>DR91-'ETANG-SALE'!H17</f>
        <v>0</v>
      </c>
      <c r="DS92" s="969">
        <f>DS91-'ST JOSEPH'!L24</f>
        <v>0</v>
      </c>
      <c r="DT92" s="970">
        <f>DT91-SYNTHESE!C52</f>
        <v>-3272.3599999998696</v>
      </c>
    </row>
    <row r="93" spans="1:138" x14ac:dyDescent="0.2">
      <c r="BS93" s="437"/>
    </row>
    <row r="94" spans="1:138" x14ac:dyDescent="0.2">
      <c r="S94">
        <v>114303</v>
      </c>
      <c r="BS94" s="437"/>
    </row>
  </sheetData>
  <autoFilter ref="A2:DT92"/>
  <mergeCells count="13">
    <mergeCell ref="AM1:AN1"/>
    <mergeCell ref="AO1:AS1"/>
    <mergeCell ref="AK1:AL1"/>
    <mergeCell ref="AI1:AJ1"/>
    <mergeCell ref="AT1:AZ1"/>
    <mergeCell ref="CW1:DH1"/>
    <mergeCell ref="DI1:DT1"/>
    <mergeCell ref="CG1:CP1"/>
    <mergeCell ref="BA1:BG1"/>
    <mergeCell ref="BH1:BN1"/>
    <mergeCell ref="BO1:BT1"/>
    <mergeCell ref="BU1:CF1"/>
    <mergeCell ref="CQ1:CV1"/>
  </mergeCell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1CA847"/>
    <pageSetUpPr fitToPage="1"/>
  </sheetPr>
  <dimension ref="A1:Q77"/>
  <sheetViews>
    <sheetView topLeftCell="A10" workbookViewId="0">
      <selection activeCell="K30" sqref="K30"/>
    </sheetView>
  </sheetViews>
  <sheetFormatPr baseColWidth="10" defaultColWidth="11.42578125" defaultRowHeight="12" outlineLevelCol="1" x14ac:dyDescent="0.2"/>
  <cols>
    <col min="1" max="1" width="29.42578125" style="6" customWidth="1"/>
    <col min="2" max="2" width="20.7109375" style="1" customWidth="1" outlineLevel="1"/>
    <col min="3" max="3" width="14.28515625" style="1" customWidth="1"/>
    <col min="4" max="4" width="15.71093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87"/>
      <c r="P1" s="8"/>
    </row>
    <row r="2" spans="1:17" x14ac:dyDescent="0.2">
      <c r="A2" s="1066" t="s">
        <v>59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9">
        <f ca="1">TODAY()</f>
        <v>43696</v>
      </c>
      <c r="P2" s="61"/>
    </row>
    <row r="4" spans="1:17" s="2" customFormat="1" ht="24" x14ac:dyDescent="0.2">
      <c r="A4" s="1083" t="s">
        <v>2</v>
      </c>
      <c r="B4" s="1083" t="s">
        <v>0</v>
      </c>
      <c r="C4" s="1071" t="s">
        <v>19</v>
      </c>
      <c r="D4" s="511" t="s">
        <v>274</v>
      </c>
      <c r="E4" s="1071" t="s">
        <v>10</v>
      </c>
      <c r="F4" s="1067" t="s">
        <v>4</v>
      </c>
      <c r="G4" s="1068"/>
      <c r="H4" s="1068"/>
      <c r="I4" s="1068"/>
      <c r="J4" s="1068"/>
      <c r="K4" s="1069"/>
      <c r="L4" s="1070" t="s">
        <v>11</v>
      </c>
      <c r="M4" s="1071"/>
      <c r="P4" s="63"/>
      <c r="Q4" s="63"/>
    </row>
    <row r="5" spans="1:17" s="13" customFormat="1" x14ac:dyDescent="0.2">
      <c r="A5" s="1084"/>
      <c r="B5" s="1084"/>
      <c r="C5" s="1085"/>
      <c r="D5" s="512"/>
      <c r="E5" s="1085"/>
      <c r="F5" s="10" t="s">
        <v>1</v>
      </c>
      <c r="G5" s="11" t="s">
        <v>3</v>
      </c>
      <c r="H5" s="11" t="s">
        <v>13</v>
      </c>
      <c r="I5" s="12" t="s">
        <v>12</v>
      </c>
      <c r="J5" s="10" t="s">
        <v>13</v>
      </c>
      <c r="K5" s="11" t="s">
        <v>16</v>
      </c>
      <c r="L5" s="3" t="s">
        <v>18</v>
      </c>
      <c r="M5" s="3" t="s">
        <v>17</v>
      </c>
    </row>
    <row r="6" spans="1:17" x14ac:dyDescent="0.2">
      <c r="A6" s="397" t="s">
        <v>37</v>
      </c>
      <c r="B6" s="398"/>
      <c r="C6" s="347">
        <v>40817</v>
      </c>
      <c r="D6" s="342"/>
      <c r="E6" s="404">
        <v>25600</v>
      </c>
      <c r="F6" s="399"/>
      <c r="G6" s="400"/>
      <c r="H6" s="401"/>
      <c r="I6" s="402"/>
      <c r="J6" s="403"/>
      <c r="K6" s="401"/>
      <c r="L6" s="404"/>
      <c r="M6" s="404"/>
    </row>
    <row r="7" spans="1:17" s="26" customFormat="1" x14ac:dyDescent="0.2">
      <c r="A7" s="329" t="s">
        <v>37</v>
      </c>
      <c r="B7" s="348"/>
      <c r="C7" s="342"/>
      <c r="D7" s="342"/>
      <c r="E7" s="350"/>
      <c r="F7" s="344">
        <v>12800</v>
      </c>
      <c r="G7" s="345">
        <v>1</v>
      </c>
      <c r="H7" s="347">
        <v>40841</v>
      </c>
      <c r="I7" s="344">
        <v>12800</v>
      </c>
      <c r="J7" s="347">
        <v>40882</v>
      </c>
      <c r="K7" s="348">
        <f>J7-H7</f>
        <v>41</v>
      </c>
      <c r="L7" s="349">
        <f>+IF(H7="",0,F7-I7)</f>
        <v>0</v>
      </c>
      <c r="M7" s="349">
        <f>IF(H7="",F7-I7,0)</f>
        <v>0</v>
      </c>
      <c r="O7" s="27"/>
      <c r="P7" s="27"/>
    </row>
    <row r="8" spans="1:17" s="26" customFormat="1" x14ac:dyDescent="0.2">
      <c r="A8" s="329" t="s">
        <v>37</v>
      </c>
      <c r="B8" s="348"/>
      <c r="C8" s="342"/>
      <c r="D8" s="342"/>
      <c r="E8" s="350"/>
      <c r="F8" s="344">
        <v>7680</v>
      </c>
      <c r="G8" s="345">
        <v>2</v>
      </c>
      <c r="H8" s="342">
        <v>41849</v>
      </c>
      <c r="I8" s="344">
        <v>7680</v>
      </c>
      <c r="J8" s="347">
        <v>41891</v>
      </c>
      <c r="K8" s="348">
        <f>J8-H8</f>
        <v>42</v>
      </c>
      <c r="L8" s="349">
        <f>+IF(H8="",0,F8-I8)</f>
        <v>0</v>
      </c>
      <c r="M8" s="349">
        <f>IF(H8="",F8-I8,0)</f>
        <v>0</v>
      </c>
      <c r="O8" s="27"/>
      <c r="P8" s="27"/>
    </row>
    <row r="9" spans="1:17" s="26" customFormat="1" x14ac:dyDescent="0.2">
      <c r="A9" s="329" t="s">
        <v>37</v>
      </c>
      <c r="B9" s="348"/>
      <c r="C9" s="342"/>
      <c r="D9" s="342"/>
      <c r="E9" s="350"/>
      <c r="F9" s="344">
        <v>5120</v>
      </c>
      <c r="G9" s="345">
        <v>3</v>
      </c>
      <c r="H9" s="342">
        <v>42005</v>
      </c>
      <c r="I9" s="346">
        <v>5120</v>
      </c>
      <c r="J9" s="347">
        <v>42129</v>
      </c>
      <c r="K9" s="348"/>
      <c r="L9" s="349">
        <f>+IF(H9="",0,F9-I9)</f>
        <v>0</v>
      </c>
      <c r="M9" s="349">
        <f>IF(H9="",F9-I9,0)</f>
        <v>0</v>
      </c>
      <c r="O9" s="27"/>
      <c r="P9" s="27"/>
    </row>
    <row r="10" spans="1:17" s="8" customFormat="1" x14ac:dyDescent="0.2">
      <c r="A10" s="532"/>
      <c r="B10" s="533"/>
      <c r="C10" s="532"/>
      <c r="D10" s="539"/>
      <c r="E10" s="534"/>
      <c r="F10" s="535">
        <f>SUM(F6:F9)-L7</f>
        <v>25600</v>
      </c>
      <c r="G10" s="536"/>
      <c r="H10" s="537"/>
      <c r="I10" s="535">
        <f>SUM(I6:I9)</f>
        <v>25600</v>
      </c>
      <c r="J10" s="537"/>
      <c r="K10" s="537"/>
      <c r="L10" s="535">
        <f>SUM(L6:L9)-L7</f>
        <v>0</v>
      </c>
      <c r="M10" s="535">
        <f>SUM(M6:M9)</f>
        <v>0</v>
      </c>
      <c r="O10" s="20"/>
      <c r="P10" s="20"/>
    </row>
    <row r="11" spans="1:17" s="8" customFormat="1" x14ac:dyDescent="0.2">
      <c r="A11" s="516" t="s">
        <v>381</v>
      </c>
      <c r="B11" s="513" t="s">
        <v>312</v>
      </c>
      <c r="C11" s="538">
        <v>42181</v>
      </c>
      <c r="D11" s="540">
        <v>44008</v>
      </c>
      <c r="E11" s="517">
        <v>9355</v>
      </c>
      <c r="F11" s="517"/>
      <c r="G11" s="524"/>
      <c r="H11" s="518"/>
      <c r="I11" s="514"/>
      <c r="J11" s="518"/>
      <c r="K11" s="515"/>
      <c r="L11" s="517"/>
      <c r="M11" s="80">
        <f>IF(H11="",F11-I11,0)</f>
        <v>0</v>
      </c>
      <c r="O11" s="20" t="s">
        <v>364</v>
      </c>
      <c r="P11" s="20"/>
    </row>
    <row r="12" spans="1:17" s="8" customFormat="1" x14ac:dyDescent="0.2">
      <c r="A12" s="972" t="s">
        <v>381</v>
      </c>
      <c r="B12" s="520"/>
      <c r="C12" s="522"/>
      <c r="D12" s="541" t="s">
        <v>363</v>
      </c>
      <c r="E12" s="17"/>
      <c r="F12" s="17">
        <v>9355</v>
      </c>
      <c r="G12" s="525"/>
      <c r="H12" s="529"/>
      <c r="I12" s="20"/>
      <c r="J12" s="529"/>
      <c r="K12" s="521"/>
      <c r="L12" s="362" t="str">
        <f>IF(I12="en attente",F12,"")</f>
        <v/>
      </c>
      <c r="M12" s="80">
        <f>IF(H12="",F12-I12,0)</f>
        <v>9355</v>
      </c>
      <c r="O12" s="20"/>
      <c r="P12" s="20"/>
    </row>
    <row r="13" spans="1:17" s="8" customFormat="1" x14ac:dyDescent="0.2">
      <c r="A13" s="523"/>
      <c r="B13" s="531"/>
      <c r="C13" s="523"/>
      <c r="D13" s="546"/>
      <c r="E13" s="384"/>
      <c r="F13" s="384"/>
      <c r="G13" s="526"/>
      <c r="H13" s="530"/>
      <c r="I13" s="528"/>
      <c r="J13" s="530"/>
      <c r="K13" s="527"/>
      <c r="L13" s="384"/>
      <c r="M13" s="103"/>
      <c r="O13" s="20"/>
      <c r="P13" s="20"/>
    </row>
    <row r="14" spans="1:17" s="8" customFormat="1" x14ac:dyDescent="0.2">
      <c r="A14" s="629" t="s">
        <v>333</v>
      </c>
      <c r="B14" s="630" t="s">
        <v>313</v>
      </c>
      <c r="C14" s="631">
        <v>42923</v>
      </c>
      <c r="D14" s="833">
        <v>43288</v>
      </c>
      <c r="E14" s="273">
        <v>4200</v>
      </c>
      <c r="F14" s="273"/>
      <c r="G14" s="632"/>
      <c r="H14" s="652"/>
      <c r="I14" s="275"/>
      <c r="J14" s="652"/>
      <c r="K14" s="634"/>
      <c r="L14" s="273"/>
      <c r="M14" s="272"/>
      <c r="O14" s="20"/>
      <c r="P14" s="20"/>
    </row>
    <row r="15" spans="1:17" s="8" customFormat="1" x14ac:dyDescent="0.2">
      <c r="A15" s="973" t="s">
        <v>333</v>
      </c>
      <c r="B15" s="640"/>
      <c r="C15" s="639"/>
      <c r="D15" s="639"/>
      <c r="E15" s="641"/>
      <c r="F15" s="641">
        <v>4200</v>
      </c>
      <c r="G15" s="642">
        <v>1</v>
      </c>
      <c r="H15" s="653">
        <v>43147</v>
      </c>
      <c r="I15" s="644">
        <v>4200</v>
      </c>
      <c r="J15" s="653">
        <v>43266</v>
      </c>
      <c r="K15" s="645"/>
      <c r="L15" s="641"/>
      <c r="M15" s="646"/>
      <c r="O15" s="20"/>
      <c r="P15" s="20"/>
    </row>
    <row r="16" spans="1:17" s="982" customFormat="1" ht="36" x14ac:dyDescent="0.2">
      <c r="A16" s="974" t="s">
        <v>389</v>
      </c>
      <c r="B16" s="975" t="s">
        <v>315</v>
      </c>
      <c r="C16" s="976">
        <v>42923</v>
      </c>
      <c r="D16" s="977">
        <v>43288</v>
      </c>
      <c r="E16" s="978">
        <v>13720</v>
      </c>
      <c r="F16" s="978">
        <v>13720</v>
      </c>
      <c r="G16" s="979">
        <v>1</v>
      </c>
      <c r="H16" s="976">
        <v>43220</v>
      </c>
      <c r="I16" s="980">
        <v>13720</v>
      </c>
      <c r="J16" s="976">
        <v>43340</v>
      </c>
      <c r="K16" s="975"/>
      <c r="L16" s="978"/>
      <c r="M16" s="981"/>
      <c r="O16" s="693"/>
      <c r="P16" s="693"/>
    </row>
    <row r="17" spans="1:16" s="8" customFormat="1" x14ac:dyDescent="0.2">
      <c r="A17" s="629" t="s">
        <v>277</v>
      </c>
      <c r="B17" s="630" t="s">
        <v>314</v>
      </c>
      <c r="C17" s="631">
        <v>42923</v>
      </c>
      <c r="D17" s="833">
        <v>43288</v>
      </c>
      <c r="E17" s="273">
        <v>7700</v>
      </c>
      <c r="F17" s="273">
        <v>7700</v>
      </c>
      <c r="G17" s="632"/>
      <c r="H17" s="633">
        <v>43087</v>
      </c>
      <c r="I17" s="275">
        <v>7700</v>
      </c>
      <c r="J17" s="633">
        <v>43150</v>
      </c>
      <c r="K17" s="634"/>
      <c r="L17" s="273"/>
      <c r="M17" s="272"/>
      <c r="O17" s="20"/>
      <c r="P17" s="20"/>
    </row>
    <row r="18" spans="1:16" s="8" customFormat="1" x14ac:dyDescent="0.2">
      <c r="A18" s="629" t="s">
        <v>310</v>
      </c>
      <c r="B18" s="630" t="s">
        <v>311</v>
      </c>
      <c r="C18" s="631">
        <v>43055</v>
      </c>
      <c r="D18" s="833">
        <v>43420</v>
      </c>
      <c r="E18" s="273">
        <v>6860</v>
      </c>
      <c r="F18" s="273"/>
      <c r="G18" s="632"/>
      <c r="H18" s="633"/>
      <c r="I18" s="275"/>
      <c r="J18" s="652"/>
      <c r="K18" s="634"/>
      <c r="L18" s="273"/>
      <c r="M18" s="272"/>
      <c r="O18" s="20"/>
      <c r="P18" s="20"/>
    </row>
    <row r="19" spans="1:16" s="8" customFormat="1" x14ac:dyDescent="0.2">
      <c r="A19" s="973" t="s">
        <v>310</v>
      </c>
      <c r="B19" s="640"/>
      <c r="C19" s="639"/>
      <c r="D19" s="639"/>
      <c r="E19" s="641"/>
      <c r="F19" s="641">
        <v>6860</v>
      </c>
      <c r="G19" s="642">
        <v>1</v>
      </c>
      <c r="H19" s="653">
        <v>43355</v>
      </c>
      <c r="I19" s="644">
        <v>6860</v>
      </c>
      <c r="J19" s="653">
        <v>43462</v>
      </c>
      <c r="K19" s="645"/>
      <c r="L19" s="641"/>
      <c r="M19" s="646"/>
      <c r="O19" s="20"/>
      <c r="P19" s="20"/>
    </row>
    <row r="20" spans="1:16" s="8" customFormat="1" x14ac:dyDescent="0.2">
      <c r="A20" s="635" t="s">
        <v>349</v>
      </c>
      <c r="B20" s="636" t="s">
        <v>323</v>
      </c>
      <c r="C20" s="701">
        <v>43206</v>
      </c>
      <c r="D20" s="834">
        <v>43481</v>
      </c>
      <c r="E20" s="289">
        <v>5600</v>
      </c>
      <c r="F20" s="729"/>
      <c r="G20" s="637"/>
      <c r="H20" s="702"/>
      <c r="I20" s="292"/>
      <c r="J20" s="293"/>
      <c r="K20" s="638"/>
      <c r="L20" s="289"/>
      <c r="M20" s="294"/>
      <c r="O20" s="20"/>
      <c r="P20" s="20"/>
    </row>
    <row r="21" spans="1:16" s="8" customFormat="1" x14ac:dyDescent="0.2">
      <c r="A21" s="983" t="s">
        <v>349</v>
      </c>
      <c r="B21" s="636"/>
      <c r="C21" s="635"/>
      <c r="D21" s="635"/>
      <c r="E21" s="289"/>
      <c r="F21" s="289">
        <v>5600</v>
      </c>
      <c r="G21" s="637">
        <v>1</v>
      </c>
      <c r="H21" s="702">
        <v>43328</v>
      </c>
      <c r="I21" s="292">
        <v>5600</v>
      </c>
      <c r="J21" s="702">
        <v>43462</v>
      </c>
      <c r="K21" s="638"/>
      <c r="L21" s="289"/>
      <c r="M21" s="294"/>
      <c r="O21" s="20"/>
      <c r="P21" s="20"/>
    </row>
    <row r="22" spans="1:16" s="8" customFormat="1" x14ac:dyDescent="0.2">
      <c r="A22" s="639"/>
      <c r="B22" s="640"/>
      <c r="C22" s="639"/>
      <c r="D22" s="639"/>
      <c r="E22" s="641"/>
      <c r="F22" s="641"/>
      <c r="G22" s="642"/>
      <c r="H22" s="643"/>
      <c r="I22" s="644"/>
      <c r="J22" s="643"/>
      <c r="K22" s="645"/>
      <c r="L22" s="641"/>
      <c r="M22" s="646"/>
      <c r="O22" s="20"/>
      <c r="P22" s="20"/>
    </row>
    <row r="23" spans="1:16" s="8" customFormat="1" x14ac:dyDescent="0.2">
      <c r="A23" s="880" t="s">
        <v>366</v>
      </c>
      <c r="B23" s="881" t="s">
        <v>367</v>
      </c>
      <c r="C23" s="882">
        <v>43272</v>
      </c>
      <c r="D23" s="883">
        <v>43637</v>
      </c>
      <c r="E23" s="17">
        <v>1575</v>
      </c>
      <c r="F23" s="884"/>
      <c r="G23" s="885"/>
      <c r="H23" s="84"/>
      <c r="I23" s="20"/>
      <c r="J23" s="21"/>
      <c r="K23" s="182"/>
      <c r="L23" s="17"/>
      <c r="M23" s="22"/>
      <c r="O23" s="20"/>
      <c r="P23" s="20"/>
    </row>
    <row r="24" spans="1:16" s="8" customFormat="1" x14ac:dyDescent="0.2">
      <c r="A24" s="984" t="s">
        <v>366</v>
      </c>
      <c r="B24" s="881"/>
      <c r="C24" s="880"/>
      <c r="D24" s="880"/>
      <c r="E24" s="17"/>
      <c r="F24" s="17">
        <v>1575</v>
      </c>
      <c r="G24" s="885"/>
      <c r="H24" s="84">
        <v>43571</v>
      </c>
      <c r="I24" s="869" t="s">
        <v>259</v>
      </c>
      <c r="J24" s="84"/>
      <c r="K24" s="182"/>
      <c r="L24" s="362">
        <f>IF(I24="en attente",F24,"")</f>
        <v>1575</v>
      </c>
      <c r="M24" s="362">
        <f>IF(H24="",F24-I24,0)</f>
        <v>0</v>
      </c>
      <c r="O24" s="20"/>
      <c r="P24" s="20"/>
    </row>
    <row r="25" spans="1:16" s="8" customFormat="1" x14ac:dyDescent="0.2">
      <c r="A25" s="886"/>
      <c r="B25" s="887"/>
      <c r="C25" s="886"/>
      <c r="D25" s="886"/>
      <c r="E25" s="384"/>
      <c r="F25" s="384"/>
      <c r="G25" s="888"/>
      <c r="H25" s="889"/>
      <c r="I25" s="528"/>
      <c r="J25" s="889"/>
      <c r="K25" s="890"/>
      <c r="L25" s="384"/>
      <c r="M25" s="103"/>
      <c r="O25" s="20"/>
      <c r="P25" s="20"/>
    </row>
    <row r="26" spans="1:16" x14ac:dyDescent="0.2">
      <c r="E26" s="62">
        <f>SUM(E6:E25)</f>
        <v>74610</v>
      </c>
      <c r="F26" s="62">
        <f>SUMPRODUCT((DateAF_ADEME&lt;&gt;"")*MontantAF_ADEME)</f>
        <v>65255</v>
      </c>
      <c r="I26" s="62">
        <f>I10+I15+I16+I17+I19+I21</f>
        <v>63680</v>
      </c>
      <c r="L26" s="62">
        <f>SUM(L6:L25)</f>
        <v>1575</v>
      </c>
      <c r="M26" s="62">
        <f>SUM(M6:M25)</f>
        <v>9355</v>
      </c>
    </row>
    <row r="27" spans="1:16" ht="12.75" thickBot="1" x14ac:dyDescent="0.25"/>
    <row r="28" spans="1:16" ht="12.75" thickBot="1" x14ac:dyDescent="0.25">
      <c r="F28" s="740" t="s">
        <v>192</v>
      </c>
      <c r="G28" s="733"/>
      <c r="H28" s="734"/>
      <c r="I28" s="744" t="s">
        <v>194</v>
      </c>
    </row>
    <row r="29" spans="1:16" x14ac:dyDescent="0.2">
      <c r="E29" s="747">
        <v>2011</v>
      </c>
      <c r="F29" s="741">
        <f>SUMPRODUCT((YEAR($E$42:$E$75)=E29)*($F$42:$F$75))</f>
        <v>12800</v>
      </c>
      <c r="G29" s="519"/>
      <c r="H29" s="47"/>
      <c r="I29" s="741">
        <f>SUMPRODUCT((YEAR($E$42:$E$75)=E29)*($I$42:$I$75))</f>
        <v>12800</v>
      </c>
    </row>
    <row r="30" spans="1:16" x14ac:dyDescent="0.2">
      <c r="E30" s="746">
        <v>2012</v>
      </c>
      <c r="F30" s="741">
        <f t="shared" ref="F30:F37" si="0">SUMPRODUCT((YEAR($E$42:$E$75)=E30)*($F$42:$F$75))</f>
        <v>0</v>
      </c>
      <c r="G30" s="519"/>
      <c r="H30" s="47"/>
      <c r="I30" s="741">
        <f t="shared" ref="I30:I37" si="1">SUMPRODUCT((YEAR($E$42:$E$75)=E30)*($I$42:$I$75))</f>
        <v>0</v>
      </c>
    </row>
    <row r="31" spans="1:16" x14ac:dyDescent="0.2">
      <c r="E31" s="746">
        <v>2013</v>
      </c>
      <c r="F31" s="741">
        <f t="shared" si="0"/>
        <v>0</v>
      </c>
      <c r="G31" s="519"/>
      <c r="H31" s="47"/>
      <c r="I31" s="741">
        <f t="shared" si="1"/>
        <v>0</v>
      </c>
    </row>
    <row r="32" spans="1:16" x14ac:dyDescent="0.2">
      <c r="E32" s="746">
        <v>2014</v>
      </c>
      <c r="F32" s="741">
        <f t="shared" si="0"/>
        <v>7680</v>
      </c>
      <c r="G32" s="519"/>
      <c r="H32" s="47"/>
      <c r="I32" s="741">
        <f t="shared" si="1"/>
        <v>7680</v>
      </c>
    </row>
    <row r="33" spans="5:10" x14ac:dyDescent="0.2">
      <c r="E33" s="746">
        <v>2015</v>
      </c>
      <c r="F33" s="741">
        <f t="shared" si="0"/>
        <v>5120</v>
      </c>
      <c r="G33" s="519"/>
      <c r="H33" s="47"/>
      <c r="I33" s="741">
        <f t="shared" si="1"/>
        <v>5120</v>
      </c>
    </row>
    <row r="34" spans="5:10" x14ac:dyDescent="0.2">
      <c r="E34" s="746">
        <v>2016</v>
      </c>
      <c r="F34" s="741">
        <f t="shared" si="0"/>
        <v>0</v>
      </c>
      <c r="G34" s="519"/>
      <c r="H34" s="47"/>
      <c r="I34" s="741">
        <f t="shared" si="1"/>
        <v>0</v>
      </c>
    </row>
    <row r="35" spans="5:10" x14ac:dyDescent="0.2">
      <c r="E35" s="746">
        <v>2017</v>
      </c>
      <c r="F35" s="741">
        <f t="shared" si="0"/>
        <v>7700</v>
      </c>
      <c r="G35" s="519"/>
      <c r="H35" s="47"/>
      <c r="I35" s="741">
        <f t="shared" si="1"/>
        <v>0</v>
      </c>
    </row>
    <row r="36" spans="5:10" ht="12.75" thickBot="1" x14ac:dyDescent="0.25">
      <c r="E36" s="746">
        <v>2018</v>
      </c>
      <c r="F36" s="741">
        <f>SUMPRODUCT((YEAR($E$42:$E$75)=E36)*($F$42:$F$75))</f>
        <v>30380</v>
      </c>
      <c r="G36" s="519"/>
      <c r="H36" s="47"/>
      <c r="I36" s="741">
        <f>SUMPRODUCT((YEAR($E$42:$E$75)=E36)*($I$42:$I$75))</f>
        <v>38080</v>
      </c>
    </row>
    <row r="37" spans="5:10" ht="12.75" thickBot="1" x14ac:dyDescent="0.25">
      <c r="E37" s="748">
        <v>2019</v>
      </c>
      <c r="F37" s="742">
        <f t="shared" si="0"/>
        <v>1575</v>
      </c>
      <c r="G37" s="749"/>
      <c r="H37" s="750"/>
      <c r="I37" s="751">
        <f t="shared" si="1"/>
        <v>0</v>
      </c>
    </row>
    <row r="38" spans="5:10" ht="12.75" thickBot="1" x14ac:dyDescent="0.25">
      <c r="E38" s="76"/>
      <c r="F38" s="743">
        <f>SUM(F29:F37)</f>
        <v>65255</v>
      </c>
      <c r="G38" s="738"/>
      <c r="H38" s="739"/>
      <c r="I38" s="743">
        <f>SUM(I29:I36)</f>
        <v>63680</v>
      </c>
      <c r="J38" s="90">
        <f>I38-F38</f>
        <v>-1575</v>
      </c>
    </row>
    <row r="39" spans="5:10" x14ac:dyDescent="0.2">
      <c r="E39" s="76"/>
      <c r="F39" s="90">
        <f>F38-F76</f>
        <v>0</v>
      </c>
      <c r="I39" s="90">
        <f>I38-I76</f>
        <v>0</v>
      </c>
    </row>
    <row r="40" spans="5:10" x14ac:dyDescent="0.2">
      <c r="F40" s="90"/>
    </row>
    <row r="41" spans="5:10" x14ac:dyDescent="0.2">
      <c r="F41" s="366" t="s">
        <v>192</v>
      </c>
      <c r="I41" s="367" t="s">
        <v>194</v>
      </c>
    </row>
    <row r="42" spans="5:10" x14ac:dyDescent="0.2">
      <c r="E42" s="363">
        <v>40817</v>
      </c>
      <c r="F42" s="370">
        <f t="shared" ref="F42:F75" si="2">SUMPRODUCT((DateAF_ADEME&lt;&gt;"")*(MONTH(DateAF_ADEME)=MONTH(E42))*(YEAR(DateAF_ADEME)=YEAR(E42))*MontantAF_ADEME)</f>
        <v>12800</v>
      </c>
      <c r="I42" s="370">
        <f t="shared" ref="I42:I75" si="3">SUMPRODUCT((DatePmt_ADEME&lt;&gt;"")*(DatePmt_ADEME&lt;&gt;"en attente")*(MONTH(DatePmt_ADEME)=MONTH(E42))*(YEAR(DatePmt_ADEME)=YEAR(E42))*(ISNUMBER(MtntPaye_ADEME)),MtntPaye_ADEME)</f>
        <v>0</v>
      </c>
    </row>
    <row r="43" spans="5:10" x14ac:dyDescent="0.2">
      <c r="E43" s="363">
        <v>40848</v>
      </c>
      <c r="F43" s="370">
        <f t="shared" si="2"/>
        <v>0</v>
      </c>
      <c r="I43" s="370">
        <f t="shared" si="3"/>
        <v>0</v>
      </c>
    </row>
    <row r="44" spans="5:10" x14ac:dyDescent="0.2">
      <c r="E44" s="363">
        <v>40878</v>
      </c>
      <c r="F44" s="370">
        <f t="shared" si="2"/>
        <v>0</v>
      </c>
      <c r="I44" s="370">
        <f t="shared" si="3"/>
        <v>12800</v>
      </c>
    </row>
    <row r="45" spans="5:10" x14ac:dyDescent="0.2">
      <c r="E45" s="363">
        <v>40909</v>
      </c>
      <c r="F45" s="370">
        <f t="shared" si="2"/>
        <v>0</v>
      </c>
      <c r="G45" s="371"/>
      <c r="H45" s="370"/>
      <c r="I45" s="370">
        <f t="shared" si="3"/>
        <v>0</v>
      </c>
    </row>
    <row r="46" spans="5:10" x14ac:dyDescent="0.2">
      <c r="E46" s="363">
        <v>41640</v>
      </c>
      <c r="F46" s="370">
        <f t="shared" si="2"/>
        <v>0</v>
      </c>
      <c r="G46" s="371"/>
      <c r="H46" s="365"/>
      <c r="I46" s="370">
        <f t="shared" si="3"/>
        <v>0</v>
      </c>
    </row>
    <row r="47" spans="5:10" x14ac:dyDescent="0.2">
      <c r="E47" s="363">
        <v>41821</v>
      </c>
      <c r="F47" s="370">
        <f t="shared" si="2"/>
        <v>7680</v>
      </c>
      <c r="G47" s="371"/>
      <c r="H47" s="365"/>
      <c r="I47" s="370">
        <f t="shared" si="3"/>
        <v>0</v>
      </c>
    </row>
    <row r="48" spans="5:10" x14ac:dyDescent="0.2">
      <c r="E48" s="363">
        <v>41883</v>
      </c>
      <c r="F48" s="370">
        <f t="shared" si="2"/>
        <v>0</v>
      </c>
      <c r="G48" s="371"/>
      <c r="H48" s="365"/>
      <c r="I48" s="370">
        <f t="shared" si="3"/>
        <v>7680</v>
      </c>
    </row>
    <row r="49" spans="5:9" x14ac:dyDescent="0.2">
      <c r="E49" s="363">
        <v>42005</v>
      </c>
      <c r="F49" s="370">
        <f t="shared" si="2"/>
        <v>5120</v>
      </c>
      <c r="G49" s="371"/>
      <c r="H49" s="365"/>
      <c r="I49" s="370">
        <f t="shared" si="3"/>
        <v>0</v>
      </c>
    </row>
    <row r="50" spans="5:9" x14ac:dyDescent="0.2">
      <c r="E50" s="363">
        <v>42125</v>
      </c>
      <c r="F50" s="370">
        <f t="shared" si="2"/>
        <v>0</v>
      </c>
      <c r="G50" s="371"/>
      <c r="H50" s="365"/>
      <c r="I50" s="370">
        <f t="shared" si="3"/>
        <v>5120</v>
      </c>
    </row>
    <row r="51" spans="5:9" x14ac:dyDescent="0.2">
      <c r="E51" s="363">
        <v>43070</v>
      </c>
      <c r="F51" s="370">
        <f t="shared" si="2"/>
        <v>7700</v>
      </c>
      <c r="G51" s="371"/>
      <c r="H51" s="365"/>
      <c r="I51" s="370">
        <f t="shared" si="3"/>
        <v>0</v>
      </c>
    </row>
    <row r="52" spans="5:9" x14ac:dyDescent="0.2">
      <c r="E52" s="363">
        <v>43101</v>
      </c>
      <c r="F52" s="370">
        <f t="shared" si="2"/>
        <v>0</v>
      </c>
      <c r="G52" s="371"/>
      <c r="H52" s="365"/>
      <c r="I52" s="370">
        <f t="shared" si="3"/>
        <v>0</v>
      </c>
    </row>
    <row r="53" spans="5:9" x14ac:dyDescent="0.2">
      <c r="E53" s="363">
        <v>43132</v>
      </c>
      <c r="F53" s="370">
        <f t="shared" si="2"/>
        <v>4200</v>
      </c>
      <c r="G53" s="371"/>
      <c r="H53" s="365"/>
      <c r="I53" s="370">
        <f t="shared" si="3"/>
        <v>7700</v>
      </c>
    </row>
    <row r="54" spans="5:9" x14ac:dyDescent="0.2">
      <c r="E54" s="363">
        <v>43160</v>
      </c>
      <c r="F54" s="370">
        <f t="shared" si="2"/>
        <v>0</v>
      </c>
      <c r="G54" s="371"/>
      <c r="H54" s="365"/>
      <c r="I54" s="370">
        <f t="shared" si="3"/>
        <v>0</v>
      </c>
    </row>
    <row r="55" spans="5:9" x14ac:dyDescent="0.2">
      <c r="E55" s="363">
        <v>43191</v>
      </c>
      <c r="F55" s="370">
        <f t="shared" si="2"/>
        <v>13720</v>
      </c>
      <c r="G55" s="371"/>
      <c r="H55" s="365"/>
      <c r="I55" s="370">
        <f t="shared" si="3"/>
        <v>0</v>
      </c>
    </row>
    <row r="56" spans="5:9" x14ac:dyDescent="0.2">
      <c r="E56" s="363">
        <v>43221</v>
      </c>
      <c r="F56" s="370">
        <f t="shared" si="2"/>
        <v>0</v>
      </c>
      <c r="G56" s="371"/>
      <c r="H56" s="365"/>
      <c r="I56" s="370">
        <f t="shared" si="3"/>
        <v>0</v>
      </c>
    </row>
    <row r="57" spans="5:9" x14ac:dyDescent="0.2">
      <c r="E57" s="363">
        <v>43252</v>
      </c>
      <c r="F57" s="370">
        <f t="shared" si="2"/>
        <v>0</v>
      </c>
      <c r="G57" s="371"/>
      <c r="H57" s="365"/>
      <c r="I57" s="370">
        <f t="shared" si="3"/>
        <v>4200</v>
      </c>
    </row>
    <row r="58" spans="5:9" x14ac:dyDescent="0.2">
      <c r="E58" s="363">
        <v>43282</v>
      </c>
      <c r="F58" s="370">
        <f t="shared" si="2"/>
        <v>0</v>
      </c>
      <c r="G58" s="371"/>
      <c r="H58" s="365"/>
      <c r="I58" s="370">
        <f t="shared" si="3"/>
        <v>0</v>
      </c>
    </row>
    <row r="59" spans="5:9" x14ac:dyDescent="0.2">
      <c r="E59" s="363">
        <v>43313</v>
      </c>
      <c r="F59" s="370">
        <f t="shared" si="2"/>
        <v>5600</v>
      </c>
      <c r="G59" s="371"/>
      <c r="H59" s="365"/>
      <c r="I59" s="370">
        <f t="shared" si="3"/>
        <v>13720</v>
      </c>
    </row>
    <row r="60" spans="5:9" x14ac:dyDescent="0.2">
      <c r="E60" s="363">
        <v>43344</v>
      </c>
      <c r="F60" s="370">
        <f t="shared" si="2"/>
        <v>6860</v>
      </c>
      <c r="G60" s="371"/>
      <c r="H60" s="365"/>
      <c r="I60" s="370">
        <f t="shared" si="3"/>
        <v>0</v>
      </c>
    </row>
    <row r="61" spans="5:9" x14ac:dyDescent="0.2">
      <c r="E61" s="363">
        <v>43374</v>
      </c>
      <c r="F61" s="370">
        <f t="shared" si="2"/>
        <v>0</v>
      </c>
      <c r="G61" s="371"/>
      <c r="H61" s="365"/>
      <c r="I61" s="370">
        <f t="shared" si="3"/>
        <v>0</v>
      </c>
    </row>
    <row r="62" spans="5:9" x14ac:dyDescent="0.2">
      <c r="E62" s="363">
        <v>43405</v>
      </c>
      <c r="F62" s="370">
        <f t="shared" si="2"/>
        <v>0</v>
      </c>
      <c r="G62" s="371"/>
      <c r="H62" s="365"/>
      <c r="I62" s="370">
        <f t="shared" si="3"/>
        <v>0</v>
      </c>
    </row>
    <row r="63" spans="5:9" x14ac:dyDescent="0.2">
      <c r="E63" s="363">
        <v>43435</v>
      </c>
      <c r="F63" s="370">
        <f t="shared" si="2"/>
        <v>0</v>
      </c>
      <c r="G63" s="371"/>
      <c r="H63" s="365"/>
      <c r="I63" s="370">
        <f t="shared" si="3"/>
        <v>12460</v>
      </c>
    </row>
    <row r="64" spans="5:9" x14ac:dyDescent="0.2">
      <c r="E64" s="363">
        <v>43466</v>
      </c>
      <c r="F64" s="370">
        <f t="shared" si="2"/>
        <v>0</v>
      </c>
      <c r="G64" s="371"/>
      <c r="H64" s="365"/>
      <c r="I64" s="370">
        <f t="shared" si="3"/>
        <v>0</v>
      </c>
    </row>
    <row r="65" spans="5:9" x14ac:dyDescent="0.2">
      <c r="E65" s="363">
        <v>43497</v>
      </c>
      <c r="F65" s="370">
        <f t="shared" si="2"/>
        <v>0</v>
      </c>
      <c r="G65" s="371"/>
      <c r="H65" s="365"/>
      <c r="I65" s="370">
        <f t="shared" si="3"/>
        <v>0</v>
      </c>
    </row>
    <row r="66" spans="5:9" x14ac:dyDescent="0.2">
      <c r="E66" s="363">
        <v>43525</v>
      </c>
      <c r="F66" s="370">
        <f t="shared" si="2"/>
        <v>0</v>
      </c>
      <c r="G66" s="371"/>
      <c r="H66" s="365"/>
      <c r="I66" s="370">
        <f t="shared" si="3"/>
        <v>0</v>
      </c>
    </row>
    <row r="67" spans="5:9" x14ac:dyDescent="0.2">
      <c r="E67" s="363">
        <v>43556</v>
      </c>
      <c r="F67" s="370">
        <f t="shared" si="2"/>
        <v>1575</v>
      </c>
      <c r="G67" s="371"/>
      <c r="H67" s="365"/>
      <c r="I67" s="370">
        <f t="shared" si="3"/>
        <v>0</v>
      </c>
    </row>
    <row r="68" spans="5:9" x14ac:dyDescent="0.2">
      <c r="E68" s="363">
        <v>43586</v>
      </c>
      <c r="F68" s="370">
        <f t="shared" si="2"/>
        <v>0</v>
      </c>
      <c r="G68" s="371"/>
      <c r="H68" s="365"/>
      <c r="I68" s="370">
        <f t="shared" si="3"/>
        <v>0</v>
      </c>
    </row>
    <row r="69" spans="5:9" x14ac:dyDescent="0.2">
      <c r="E69" s="363">
        <v>43617</v>
      </c>
      <c r="F69" s="370">
        <f t="shared" si="2"/>
        <v>0</v>
      </c>
      <c r="G69" s="371"/>
      <c r="H69" s="365"/>
      <c r="I69" s="370">
        <f t="shared" si="3"/>
        <v>0</v>
      </c>
    </row>
    <row r="70" spans="5:9" x14ac:dyDescent="0.2">
      <c r="E70" s="363">
        <v>43647</v>
      </c>
      <c r="F70" s="370">
        <f t="shared" si="2"/>
        <v>0</v>
      </c>
      <c r="G70" s="371"/>
      <c r="H70" s="365"/>
      <c r="I70" s="370">
        <f t="shared" si="3"/>
        <v>0</v>
      </c>
    </row>
    <row r="71" spans="5:9" x14ac:dyDescent="0.2">
      <c r="E71" s="363">
        <v>43678</v>
      </c>
      <c r="F71" s="370">
        <f t="shared" si="2"/>
        <v>0</v>
      </c>
      <c r="G71" s="371"/>
      <c r="H71" s="365"/>
      <c r="I71" s="370">
        <f t="shared" si="3"/>
        <v>0</v>
      </c>
    </row>
    <row r="72" spans="5:9" x14ac:dyDescent="0.2">
      <c r="E72" s="363">
        <v>43709</v>
      </c>
      <c r="F72" s="370">
        <f t="shared" si="2"/>
        <v>0</v>
      </c>
      <c r="G72" s="371"/>
      <c r="H72" s="365"/>
      <c r="I72" s="370">
        <f t="shared" si="3"/>
        <v>0</v>
      </c>
    </row>
    <row r="73" spans="5:9" x14ac:dyDescent="0.2">
      <c r="E73" s="363">
        <v>43739</v>
      </c>
      <c r="F73" s="370">
        <f t="shared" si="2"/>
        <v>0</v>
      </c>
      <c r="G73" s="371"/>
      <c r="H73" s="365"/>
      <c r="I73" s="370">
        <f t="shared" si="3"/>
        <v>0</v>
      </c>
    </row>
    <row r="74" spans="5:9" x14ac:dyDescent="0.2">
      <c r="E74" s="363">
        <v>43770</v>
      </c>
      <c r="F74" s="370">
        <f t="shared" si="2"/>
        <v>0</v>
      </c>
      <c r="G74" s="371"/>
      <c r="H74" s="365"/>
      <c r="I74" s="370">
        <f t="shared" si="3"/>
        <v>0</v>
      </c>
    </row>
    <row r="75" spans="5:9" x14ac:dyDescent="0.2">
      <c r="E75" s="363">
        <v>43800</v>
      </c>
      <c r="F75" s="370">
        <f t="shared" si="2"/>
        <v>0</v>
      </c>
      <c r="G75" s="371"/>
      <c r="H75" s="365"/>
      <c r="I75" s="370">
        <f t="shared" si="3"/>
        <v>0</v>
      </c>
    </row>
    <row r="76" spans="5:9" x14ac:dyDescent="0.2">
      <c r="F76" s="372">
        <f>SUM(F42:F75)</f>
        <v>65255</v>
      </c>
      <c r="G76" s="371"/>
      <c r="H76" s="365"/>
      <c r="I76" s="372">
        <f>SUM(I42:I75)</f>
        <v>63680</v>
      </c>
    </row>
    <row r="77" spans="5:9" x14ac:dyDescent="0.2">
      <c r="F77" s="90">
        <f>F76-F26</f>
        <v>0</v>
      </c>
      <c r="I77" s="90">
        <f>I76-I26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52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1:R131"/>
  <sheetViews>
    <sheetView topLeftCell="A67" workbookViewId="0">
      <selection activeCell="I64" sqref="I64"/>
    </sheetView>
  </sheetViews>
  <sheetFormatPr baseColWidth="10" defaultColWidth="11.42578125" defaultRowHeight="12" x14ac:dyDescent="0.2"/>
  <cols>
    <col min="1" max="1" width="31.5703125" style="6" bestFit="1" customWidth="1"/>
    <col min="2" max="2" width="31.5703125" style="6" customWidth="1"/>
    <col min="3" max="3" width="9.7109375" style="1" bestFit="1" customWidth="1"/>
    <col min="4" max="4" width="8.5703125" style="1" bestFit="1" customWidth="1"/>
    <col min="5" max="5" width="13.42578125" style="1" bestFit="1" customWidth="1"/>
    <col min="6" max="6" width="14.42578125" style="90" customWidth="1"/>
    <col min="7" max="7" width="4.140625" style="6" bestFit="1" customWidth="1"/>
    <col min="8" max="8" width="10.42578125" style="778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71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x14ac:dyDescent="0.2">
      <c r="O1" s="221"/>
      <c r="P1" s="8"/>
    </row>
    <row r="2" spans="1:18" x14ac:dyDescent="0.2">
      <c r="A2" s="1066" t="s">
        <v>108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9">
        <f ca="1">TODAY()</f>
        <v>43696</v>
      </c>
      <c r="P2" s="61"/>
    </row>
    <row r="4" spans="1:18" s="2" customFormat="1" x14ac:dyDescent="0.2">
      <c r="A4" s="1083" t="s">
        <v>2</v>
      </c>
      <c r="B4" s="448" t="s">
        <v>244</v>
      </c>
      <c r="C4" s="1071" t="s">
        <v>19</v>
      </c>
      <c r="D4" s="222" t="s">
        <v>109</v>
      </c>
      <c r="E4" s="1071" t="s">
        <v>247</v>
      </c>
      <c r="F4" s="1067" t="s">
        <v>4</v>
      </c>
      <c r="G4" s="1068"/>
      <c r="H4" s="1068"/>
      <c r="I4" s="1068"/>
      <c r="J4" s="1068"/>
      <c r="K4" s="1069"/>
      <c r="L4" s="1070" t="s">
        <v>11</v>
      </c>
      <c r="M4" s="1071"/>
      <c r="N4" s="845"/>
      <c r="P4" s="63"/>
      <c r="Q4" s="63"/>
    </row>
    <row r="5" spans="1:18" s="13" customFormat="1" x14ac:dyDescent="0.2">
      <c r="A5" s="1084"/>
      <c r="B5" s="449"/>
      <c r="C5" s="1085"/>
      <c r="D5" s="223"/>
      <c r="E5" s="1085"/>
      <c r="F5" s="10" t="s">
        <v>1</v>
      </c>
      <c r="G5" s="11" t="s">
        <v>3</v>
      </c>
      <c r="H5" s="779" t="s">
        <v>13</v>
      </c>
      <c r="I5" s="12" t="s">
        <v>12</v>
      </c>
      <c r="J5" s="10" t="s">
        <v>13</v>
      </c>
      <c r="K5" s="11" t="s">
        <v>16</v>
      </c>
      <c r="L5" s="3" t="s">
        <v>18</v>
      </c>
      <c r="M5" s="3" t="s">
        <v>17</v>
      </c>
      <c r="N5" s="845"/>
    </row>
    <row r="6" spans="1:18" s="106" customFormat="1" ht="14.25" customHeight="1" x14ac:dyDescent="0.2">
      <c r="A6" s="1051" t="s">
        <v>426</v>
      </c>
      <c r="B6" s="801" t="s">
        <v>245</v>
      </c>
      <c r="C6" s="822"/>
      <c r="D6" s="822"/>
      <c r="E6" s="41">
        <v>22947</v>
      </c>
      <c r="F6" s="812">
        <v>22947</v>
      </c>
      <c r="G6" s="41"/>
      <c r="H6" s="807">
        <v>43661</v>
      </c>
      <c r="I6" s="1053" t="s">
        <v>81</v>
      </c>
      <c r="J6" s="1052"/>
      <c r="K6" s="830"/>
      <c r="L6" s="812"/>
      <c r="M6" s="81"/>
      <c r="N6" s="872"/>
      <c r="O6" s="13"/>
      <c r="P6" s="13"/>
      <c r="Q6" s="162"/>
      <c r="R6" s="206"/>
    </row>
    <row r="7" spans="1:18" s="106" customFormat="1" ht="14.25" customHeight="1" x14ac:dyDescent="0.2">
      <c r="A7" s="789" t="s">
        <v>365</v>
      </c>
      <c r="B7" s="793" t="s">
        <v>245</v>
      </c>
      <c r="C7" s="821"/>
      <c r="D7" s="821"/>
      <c r="E7" s="486">
        <v>17204.37</v>
      </c>
      <c r="F7" s="817">
        <v>17204.37</v>
      </c>
      <c r="G7" s="486"/>
      <c r="H7" s="790">
        <v>43551</v>
      </c>
      <c r="I7" s="857">
        <v>17204.37</v>
      </c>
      <c r="J7" s="858">
        <v>43573</v>
      </c>
      <c r="K7" s="857"/>
      <c r="L7" s="817" t="str">
        <f t="shared" ref="L7:L38" si="0">IF(I7="en attente",F7,"")</f>
        <v/>
      </c>
      <c r="M7" s="792">
        <f>IF(H7="",F7-I7,0)</f>
        <v>0</v>
      </c>
      <c r="N7" s="845"/>
      <c r="O7" s="13"/>
      <c r="P7" s="13"/>
      <c r="Q7" s="165"/>
      <c r="R7" s="206"/>
    </row>
    <row r="8" spans="1:18" s="106" customFormat="1" ht="14.25" customHeight="1" x14ac:dyDescent="0.2">
      <c r="A8" s="789" t="s">
        <v>37</v>
      </c>
      <c r="B8" s="793" t="s">
        <v>245</v>
      </c>
      <c r="C8" s="821"/>
      <c r="D8" s="821"/>
      <c r="E8" s="486">
        <v>24360.32</v>
      </c>
      <c r="F8" s="817">
        <v>24360.32</v>
      </c>
      <c r="G8" s="486"/>
      <c r="H8" s="790">
        <v>43481</v>
      </c>
      <c r="I8" s="857">
        <v>24360.32</v>
      </c>
      <c r="J8" s="858">
        <v>43539</v>
      </c>
      <c r="K8" s="857">
        <f>IF(J8="",$M$2-H8,J8-H8)</f>
        <v>58</v>
      </c>
      <c r="L8" s="817" t="str">
        <f t="shared" si="0"/>
        <v/>
      </c>
      <c r="M8" s="792">
        <f>IF(H8="",F8-I8,0)</f>
        <v>0</v>
      </c>
      <c r="N8" s="845"/>
      <c r="O8" s="13"/>
      <c r="P8" s="13"/>
      <c r="Q8" s="165"/>
      <c r="R8" s="206"/>
    </row>
    <row r="9" spans="1:18" s="106" customFormat="1" x14ac:dyDescent="0.2">
      <c r="A9" s="789" t="s">
        <v>40</v>
      </c>
      <c r="B9" s="793" t="s">
        <v>245</v>
      </c>
      <c r="C9" s="821">
        <v>41094</v>
      </c>
      <c r="D9" s="821"/>
      <c r="E9" s="486">
        <v>9449.1</v>
      </c>
      <c r="F9" s="796">
        <v>9449.1</v>
      </c>
      <c r="G9" s="486"/>
      <c r="H9" s="790">
        <v>43481</v>
      </c>
      <c r="I9" s="798">
        <v>9449.1299999999992</v>
      </c>
      <c r="J9" s="858">
        <v>43539</v>
      </c>
      <c r="K9" s="857">
        <f t="shared" ref="K9:K61" si="1">IF(J9="",$M$2-H9,J9-H9)</f>
        <v>58</v>
      </c>
      <c r="L9" s="817" t="str">
        <f t="shared" si="0"/>
        <v/>
      </c>
      <c r="M9" s="792">
        <f t="shared" ref="M9:M12" si="2">IF(H9="",F9-I9,0)</f>
        <v>0</v>
      </c>
      <c r="N9" s="845"/>
      <c r="O9" s="13"/>
      <c r="P9" s="13"/>
      <c r="Q9" s="165"/>
      <c r="R9" s="206"/>
    </row>
    <row r="10" spans="1:18" s="227" customFormat="1" x14ac:dyDescent="0.2">
      <c r="A10" s="789" t="s">
        <v>43</v>
      </c>
      <c r="B10" s="793" t="s">
        <v>245</v>
      </c>
      <c r="C10" s="794"/>
      <c r="D10" s="795"/>
      <c r="E10" s="486">
        <v>51875.6</v>
      </c>
      <c r="F10" s="796">
        <v>51875.6</v>
      </c>
      <c r="G10" s="797"/>
      <c r="H10" s="790">
        <v>42452</v>
      </c>
      <c r="I10" s="798">
        <v>51875.6</v>
      </c>
      <c r="J10" s="794">
        <v>42513</v>
      </c>
      <c r="K10" s="797">
        <f t="shared" si="1"/>
        <v>61</v>
      </c>
      <c r="L10" s="486" t="str">
        <f t="shared" si="0"/>
        <v/>
      </c>
      <c r="M10" s="792">
        <f t="shared" si="2"/>
        <v>0</v>
      </c>
      <c r="N10" s="845"/>
    </row>
    <row r="11" spans="1:18" s="227" customFormat="1" x14ac:dyDescent="0.2">
      <c r="A11" s="789" t="s">
        <v>8</v>
      </c>
      <c r="B11" s="793" t="s">
        <v>245</v>
      </c>
      <c r="C11" s="794"/>
      <c r="D11" s="795"/>
      <c r="E11" s="486">
        <v>42015.88</v>
      </c>
      <c r="F11" s="796">
        <v>42015.88</v>
      </c>
      <c r="G11" s="797"/>
      <c r="H11" s="790">
        <v>42660</v>
      </c>
      <c r="I11" s="798">
        <v>42015.88</v>
      </c>
      <c r="J11" s="794">
        <v>42836</v>
      </c>
      <c r="K11" s="797">
        <f t="shared" si="1"/>
        <v>176</v>
      </c>
      <c r="L11" s="791" t="str">
        <f t="shared" si="0"/>
        <v/>
      </c>
      <c r="M11" s="792">
        <f>IF(H11="",F11-I11,0)</f>
        <v>0</v>
      </c>
      <c r="N11" s="845"/>
    </row>
    <row r="12" spans="1:18" s="227" customFormat="1" x14ac:dyDescent="0.2">
      <c r="A12" s="789" t="s">
        <v>7</v>
      </c>
      <c r="B12" s="793" t="s">
        <v>245</v>
      </c>
      <c r="C12" s="821"/>
      <c r="D12" s="821"/>
      <c r="E12" s="486">
        <v>46495.98</v>
      </c>
      <c r="F12" s="796">
        <v>46495.98</v>
      </c>
      <c r="G12" s="486"/>
      <c r="H12" s="790">
        <v>42660</v>
      </c>
      <c r="I12" s="798">
        <v>46495.48</v>
      </c>
      <c r="J12" s="858">
        <v>43542</v>
      </c>
      <c r="K12" s="857">
        <f t="shared" si="1"/>
        <v>882</v>
      </c>
      <c r="L12" s="486" t="str">
        <f t="shared" si="0"/>
        <v/>
      </c>
      <c r="M12" s="792">
        <f t="shared" si="2"/>
        <v>0</v>
      </c>
      <c r="N12" s="845"/>
    </row>
    <row r="13" spans="1:18" s="227" customFormat="1" x14ac:dyDescent="0.2">
      <c r="A13" s="789" t="s">
        <v>35</v>
      </c>
      <c r="B13" s="793" t="s">
        <v>245</v>
      </c>
      <c r="C13" s="794"/>
      <c r="D13" s="795"/>
      <c r="E13" s="486">
        <v>37827.35</v>
      </c>
      <c r="F13" s="796">
        <v>37827.35</v>
      </c>
      <c r="G13" s="797"/>
      <c r="H13" s="790">
        <v>42660</v>
      </c>
      <c r="I13" s="798">
        <v>37825.35</v>
      </c>
      <c r="J13" s="794">
        <v>42989</v>
      </c>
      <c r="K13" s="797">
        <f t="shared" si="1"/>
        <v>329</v>
      </c>
      <c r="L13" s="791" t="str">
        <f t="shared" si="0"/>
        <v/>
      </c>
      <c r="M13" s="799">
        <f t="shared" ref="M13:M28" si="3">IF(H13="",F13-I13,0)</f>
        <v>0</v>
      </c>
      <c r="N13" s="845"/>
    </row>
    <row r="14" spans="1:18" s="227" customFormat="1" x14ac:dyDescent="0.2">
      <c r="A14" s="789" t="s">
        <v>48</v>
      </c>
      <c r="B14" s="793" t="s">
        <v>245</v>
      </c>
      <c r="C14" s="794"/>
      <c r="D14" s="795"/>
      <c r="E14" s="486">
        <v>93111.2</v>
      </c>
      <c r="F14" s="796">
        <v>93111.2</v>
      </c>
      <c r="G14" s="797"/>
      <c r="H14" s="790">
        <v>42829</v>
      </c>
      <c r="I14" s="798">
        <v>93111.2</v>
      </c>
      <c r="J14" s="794">
        <v>42892</v>
      </c>
      <c r="K14" s="797">
        <f t="shared" si="1"/>
        <v>63</v>
      </c>
      <c r="L14" s="791" t="str">
        <f t="shared" si="0"/>
        <v/>
      </c>
      <c r="M14" s="799">
        <f t="shared" si="3"/>
        <v>0</v>
      </c>
      <c r="N14" s="845"/>
    </row>
    <row r="15" spans="1:18" s="227" customFormat="1" x14ac:dyDescent="0.2">
      <c r="A15" s="789" t="s">
        <v>41</v>
      </c>
      <c r="B15" s="793" t="s">
        <v>245</v>
      </c>
      <c r="C15" s="794"/>
      <c r="D15" s="795"/>
      <c r="E15" s="486">
        <v>17009.03</v>
      </c>
      <c r="F15" s="796">
        <v>17009.03</v>
      </c>
      <c r="G15" s="797"/>
      <c r="H15" s="790">
        <v>42803</v>
      </c>
      <c r="I15" s="798">
        <v>17009.03</v>
      </c>
      <c r="J15" s="794">
        <v>42877</v>
      </c>
      <c r="K15" s="797">
        <f t="shared" si="1"/>
        <v>74</v>
      </c>
      <c r="L15" s="791" t="str">
        <f t="shared" si="0"/>
        <v/>
      </c>
      <c r="M15" s="799">
        <f t="shared" si="3"/>
        <v>0</v>
      </c>
      <c r="N15" s="845"/>
      <c r="O15" s="507"/>
    </row>
    <row r="16" spans="1:18" s="227" customFormat="1" x14ac:dyDescent="0.2">
      <c r="A16" s="789" t="s">
        <v>44</v>
      </c>
      <c r="B16" s="793" t="s">
        <v>245</v>
      </c>
      <c r="C16" s="794"/>
      <c r="D16" s="795"/>
      <c r="E16" s="486">
        <v>28319.18</v>
      </c>
      <c r="F16" s="796">
        <v>28319.18</v>
      </c>
      <c r="G16" s="797"/>
      <c r="H16" s="790">
        <v>42660</v>
      </c>
      <c r="I16" s="798">
        <v>28319.18</v>
      </c>
      <c r="J16" s="794">
        <v>42797</v>
      </c>
      <c r="K16" s="797">
        <f t="shared" si="1"/>
        <v>137</v>
      </c>
      <c r="L16" s="791" t="str">
        <f t="shared" si="0"/>
        <v/>
      </c>
      <c r="M16" s="799">
        <f t="shared" si="3"/>
        <v>0</v>
      </c>
      <c r="N16" s="845"/>
    </row>
    <row r="17" spans="1:16" s="227" customFormat="1" x14ac:dyDescent="0.2">
      <c r="A17" s="789" t="s">
        <v>45</v>
      </c>
      <c r="B17" s="793" t="s">
        <v>245</v>
      </c>
      <c r="C17" s="794"/>
      <c r="D17" s="795"/>
      <c r="E17" s="486">
        <v>58548.7</v>
      </c>
      <c r="F17" s="796">
        <v>58548.7</v>
      </c>
      <c r="G17" s="797"/>
      <c r="H17" s="790">
        <v>42781</v>
      </c>
      <c r="I17" s="798">
        <v>58548.68</v>
      </c>
      <c r="J17" s="794">
        <v>43542</v>
      </c>
      <c r="K17" s="797">
        <f t="shared" si="1"/>
        <v>761</v>
      </c>
      <c r="L17" s="791" t="str">
        <f t="shared" si="0"/>
        <v/>
      </c>
      <c r="M17" s="799">
        <f t="shared" si="3"/>
        <v>0</v>
      </c>
      <c r="N17" s="845"/>
      <c r="O17" s="507"/>
    </row>
    <row r="18" spans="1:16" s="227" customFormat="1" x14ac:dyDescent="0.2">
      <c r="A18" s="789" t="s">
        <v>49</v>
      </c>
      <c r="B18" s="793" t="s">
        <v>245</v>
      </c>
      <c r="C18" s="794"/>
      <c r="D18" s="795"/>
      <c r="E18" s="486">
        <v>120804.55</v>
      </c>
      <c r="F18" s="796">
        <v>120804.55</v>
      </c>
      <c r="G18" s="797"/>
      <c r="H18" s="790">
        <v>43060</v>
      </c>
      <c r="I18" s="798">
        <v>120804.55</v>
      </c>
      <c r="J18" s="794">
        <v>43406</v>
      </c>
      <c r="K18" s="797">
        <f t="shared" si="1"/>
        <v>346</v>
      </c>
      <c r="L18" s="791" t="str">
        <f t="shared" si="0"/>
        <v/>
      </c>
      <c r="M18" s="799">
        <f t="shared" si="3"/>
        <v>0</v>
      </c>
      <c r="N18" s="845"/>
    </row>
    <row r="19" spans="1:16" s="227" customFormat="1" x14ac:dyDescent="0.2">
      <c r="A19" s="789" t="s">
        <v>50</v>
      </c>
      <c r="B19" s="793" t="s">
        <v>245</v>
      </c>
      <c r="C19" s="794"/>
      <c r="D19" s="795"/>
      <c r="E19" s="486">
        <v>34402.42</v>
      </c>
      <c r="F19" s="796">
        <v>34402.42</v>
      </c>
      <c r="G19" s="797"/>
      <c r="H19" s="790">
        <v>42761</v>
      </c>
      <c r="I19" s="798">
        <v>34402.410000000003</v>
      </c>
      <c r="J19" s="794">
        <v>42838</v>
      </c>
      <c r="K19" s="797">
        <f t="shared" si="1"/>
        <v>77</v>
      </c>
      <c r="L19" s="791" t="str">
        <f t="shared" si="0"/>
        <v/>
      </c>
      <c r="M19" s="799">
        <f t="shared" si="3"/>
        <v>0</v>
      </c>
      <c r="N19" s="845"/>
    </row>
    <row r="20" spans="1:16" s="227" customFormat="1" x14ac:dyDescent="0.2">
      <c r="A20" s="789" t="s">
        <v>52</v>
      </c>
      <c r="B20" s="793" t="s">
        <v>245</v>
      </c>
      <c r="C20" s="794"/>
      <c r="D20" s="795"/>
      <c r="E20" s="486">
        <f>26523.95*1.085</f>
        <v>28778.48575</v>
      </c>
      <c r="F20" s="796">
        <v>28778.49</v>
      </c>
      <c r="G20" s="797"/>
      <c r="H20" s="790">
        <v>42765</v>
      </c>
      <c r="I20" s="798">
        <v>28778.48</v>
      </c>
      <c r="J20" s="794">
        <v>42983</v>
      </c>
      <c r="K20" s="797">
        <f t="shared" si="1"/>
        <v>218</v>
      </c>
      <c r="L20" s="791" t="str">
        <f t="shared" si="0"/>
        <v/>
      </c>
      <c r="M20" s="799">
        <f t="shared" si="3"/>
        <v>0</v>
      </c>
      <c r="N20" s="845"/>
    </row>
    <row r="21" spans="1:16" s="227" customFormat="1" x14ac:dyDescent="0.2">
      <c r="A21" s="789" t="s">
        <v>30</v>
      </c>
      <c r="B21" s="793" t="s">
        <v>245</v>
      </c>
      <c r="C21" s="794"/>
      <c r="D21" s="795"/>
      <c r="E21" s="486">
        <f>99805.82*1.085</f>
        <v>108289.3147</v>
      </c>
      <c r="F21" s="796">
        <v>108289.31</v>
      </c>
      <c r="G21" s="797"/>
      <c r="H21" s="790">
        <v>43171</v>
      </c>
      <c r="I21" s="798">
        <v>108289.31</v>
      </c>
      <c r="J21" s="794">
        <v>43475</v>
      </c>
      <c r="K21" s="797">
        <f t="shared" si="1"/>
        <v>304</v>
      </c>
      <c r="L21" s="791" t="str">
        <f t="shared" si="0"/>
        <v/>
      </c>
      <c r="M21" s="799">
        <f t="shared" si="3"/>
        <v>0</v>
      </c>
      <c r="N21" s="845"/>
    </row>
    <row r="22" spans="1:16" s="227" customFormat="1" x14ac:dyDescent="0.2">
      <c r="A22" s="789" t="s">
        <v>53</v>
      </c>
      <c r="B22" s="793" t="s">
        <v>245</v>
      </c>
      <c r="C22" s="794"/>
      <c r="D22" s="795"/>
      <c r="E22" s="486">
        <f>37161.21*1.085</f>
        <v>40319.912850000001</v>
      </c>
      <c r="F22" s="796">
        <v>40319.910000000003</v>
      </c>
      <c r="G22" s="797"/>
      <c r="H22" s="790">
        <v>43076</v>
      </c>
      <c r="I22" s="798">
        <v>40319.910000000003</v>
      </c>
      <c r="J22" s="794">
        <v>43258</v>
      </c>
      <c r="K22" s="797">
        <f t="shared" si="1"/>
        <v>182</v>
      </c>
      <c r="L22" s="791" t="str">
        <f t="shared" si="0"/>
        <v/>
      </c>
      <c r="M22" s="799">
        <f t="shared" si="3"/>
        <v>0</v>
      </c>
      <c r="N22" s="845"/>
    </row>
    <row r="23" spans="1:16" s="227" customFormat="1" x14ac:dyDescent="0.2">
      <c r="A23" s="789" t="s">
        <v>54</v>
      </c>
      <c r="B23" s="793" t="s">
        <v>245</v>
      </c>
      <c r="C23" s="794"/>
      <c r="D23" s="795"/>
      <c r="E23" s="486">
        <f>17785.2*1.085</f>
        <v>19296.941999999999</v>
      </c>
      <c r="F23" s="796">
        <v>19296.939999999999</v>
      </c>
      <c r="G23" s="797"/>
      <c r="H23" s="790">
        <v>43062</v>
      </c>
      <c r="I23" s="798">
        <v>19296.939999999999</v>
      </c>
      <c r="J23" s="794">
        <v>43326</v>
      </c>
      <c r="K23" s="797">
        <f t="shared" si="1"/>
        <v>264</v>
      </c>
      <c r="L23" s="791" t="str">
        <f t="shared" si="0"/>
        <v/>
      </c>
      <c r="M23" s="799">
        <f t="shared" si="3"/>
        <v>0</v>
      </c>
      <c r="N23" s="845"/>
    </row>
    <row r="24" spans="1:16" s="227" customFormat="1" x14ac:dyDescent="0.2">
      <c r="A24" s="789" t="s">
        <v>55</v>
      </c>
      <c r="B24" s="793" t="s">
        <v>245</v>
      </c>
      <c r="C24" s="794"/>
      <c r="D24" s="795"/>
      <c r="E24" s="486">
        <f>29590.37</f>
        <v>29590.37</v>
      </c>
      <c r="F24" s="796">
        <v>29590.37</v>
      </c>
      <c r="G24" s="797"/>
      <c r="H24" s="790">
        <v>42717</v>
      </c>
      <c r="I24" s="798">
        <v>29590.37</v>
      </c>
      <c r="J24" s="794">
        <v>43266</v>
      </c>
      <c r="K24" s="797">
        <f t="shared" si="1"/>
        <v>549</v>
      </c>
      <c r="L24" s="791" t="str">
        <f t="shared" si="0"/>
        <v/>
      </c>
      <c r="M24" s="799">
        <f t="shared" si="3"/>
        <v>0</v>
      </c>
      <c r="N24" s="845"/>
      <c r="O24" s="507"/>
    </row>
    <row r="25" spans="1:16" s="227" customFormat="1" x14ac:dyDescent="0.2">
      <c r="A25" s="786" t="s">
        <v>284</v>
      </c>
      <c r="B25" s="801" t="s">
        <v>245</v>
      </c>
      <c r="C25" s="802"/>
      <c r="D25" s="803"/>
      <c r="E25" s="787">
        <v>18729.66</v>
      </c>
      <c r="F25" s="805">
        <v>18729.66</v>
      </c>
      <c r="G25" s="806"/>
      <c r="H25" s="807">
        <v>42949</v>
      </c>
      <c r="I25" s="808" t="s">
        <v>81</v>
      </c>
      <c r="J25" s="802"/>
      <c r="K25" s="806">
        <f t="shared" ca="1" si="1"/>
        <v>747</v>
      </c>
      <c r="L25" s="809">
        <f t="shared" si="0"/>
        <v>18729.66</v>
      </c>
      <c r="M25" s="810">
        <f t="shared" si="3"/>
        <v>0</v>
      </c>
      <c r="N25" s="845"/>
      <c r="O25" s="507"/>
    </row>
    <row r="26" spans="1:16" s="26" customFormat="1" x14ac:dyDescent="0.2">
      <c r="A26" s="786" t="s">
        <v>220</v>
      </c>
      <c r="B26" s="801" t="s">
        <v>245</v>
      </c>
      <c r="C26" s="811"/>
      <c r="D26" s="811"/>
      <c r="E26" s="787">
        <v>15338</v>
      </c>
      <c r="F26" s="812">
        <v>15338</v>
      </c>
      <c r="G26" s="813"/>
      <c r="H26" s="814"/>
      <c r="I26" s="812"/>
      <c r="J26" s="815"/>
      <c r="K26" s="806">
        <f t="shared" ca="1" si="1"/>
        <v>43696</v>
      </c>
      <c r="L26" s="809" t="str">
        <f t="shared" si="0"/>
        <v/>
      </c>
      <c r="M26" s="809">
        <f t="shared" si="3"/>
        <v>15338</v>
      </c>
      <c r="N26" s="845"/>
      <c r="O26" s="13"/>
      <c r="P26" s="13"/>
    </row>
    <row r="27" spans="1:16" s="26" customFormat="1" x14ac:dyDescent="0.2">
      <c r="A27" s="789" t="s">
        <v>253</v>
      </c>
      <c r="B27" s="793" t="s">
        <v>245</v>
      </c>
      <c r="C27" s="816"/>
      <c r="D27" s="816"/>
      <c r="E27" s="486">
        <v>18573.52</v>
      </c>
      <c r="F27" s="817">
        <v>18573.52</v>
      </c>
      <c r="G27" s="818"/>
      <c r="H27" s="819">
        <v>42969</v>
      </c>
      <c r="I27" s="817">
        <v>18573.52</v>
      </c>
      <c r="J27" s="820">
        <v>43224</v>
      </c>
      <c r="K27" s="797">
        <f t="shared" si="1"/>
        <v>255</v>
      </c>
      <c r="L27" s="791" t="str">
        <f t="shared" si="0"/>
        <v/>
      </c>
      <c r="M27" s="791">
        <f t="shared" si="3"/>
        <v>0</v>
      </c>
      <c r="N27" s="845"/>
      <c r="O27" s="13"/>
      <c r="P27" s="13"/>
    </row>
    <row r="28" spans="1:16" s="26" customFormat="1" x14ac:dyDescent="0.2">
      <c r="A28" s="789" t="s">
        <v>316</v>
      </c>
      <c r="B28" s="793" t="s">
        <v>245</v>
      </c>
      <c r="C28" s="821"/>
      <c r="D28" s="816"/>
      <c r="E28" s="486">
        <f>25031.85*1.085</f>
        <v>27159.557249999998</v>
      </c>
      <c r="F28" s="817">
        <v>27159.56</v>
      </c>
      <c r="G28" s="818"/>
      <c r="H28" s="819">
        <v>43179</v>
      </c>
      <c r="I28" s="817">
        <v>27159.56</v>
      </c>
      <c r="J28" s="820">
        <v>43448</v>
      </c>
      <c r="K28" s="797">
        <f t="shared" si="1"/>
        <v>269</v>
      </c>
      <c r="L28" s="791" t="str">
        <f t="shared" si="0"/>
        <v/>
      </c>
      <c r="M28" s="791">
        <f t="shared" si="3"/>
        <v>0</v>
      </c>
      <c r="N28" s="845"/>
      <c r="O28" s="13"/>
      <c r="P28" s="13"/>
    </row>
    <row r="29" spans="1:16" s="26" customFormat="1" x14ac:dyDescent="0.2">
      <c r="A29" s="786" t="s">
        <v>251</v>
      </c>
      <c r="B29" s="801" t="s">
        <v>245</v>
      </c>
      <c r="C29" s="822"/>
      <c r="D29" s="811"/>
      <c r="E29" s="787">
        <v>29077.75</v>
      </c>
      <c r="F29" s="812">
        <v>29077.75</v>
      </c>
      <c r="G29" s="813"/>
      <c r="H29" s="814">
        <v>43272</v>
      </c>
      <c r="I29" s="823" t="s">
        <v>81</v>
      </c>
      <c r="J29" s="815"/>
      <c r="K29" s="806">
        <f t="shared" ca="1" si="1"/>
        <v>424</v>
      </c>
      <c r="L29" s="809">
        <f t="shared" si="0"/>
        <v>29077.75</v>
      </c>
      <c r="M29" s="809"/>
      <c r="N29" s="845"/>
      <c r="O29" s="13"/>
      <c r="P29" s="13"/>
    </row>
    <row r="30" spans="1:16" s="26" customFormat="1" x14ac:dyDescent="0.2">
      <c r="A30" s="786" t="s">
        <v>381</v>
      </c>
      <c r="B30" s="801" t="s">
        <v>245</v>
      </c>
      <c r="C30" s="822"/>
      <c r="D30" s="811"/>
      <c r="E30" s="787">
        <f>81795.02*1.085</f>
        <v>88747.596699999995</v>
      </c>
      <c r="F30" s="812">
        <v>88747.596699999995</v>
      </c>
      <c r="G30" s="813"/>
      <c r="H30" s="814"/>
      <c r="I30" s="812"/>
      <c r="J30" s="815"/>
      <c r="K30" s="806">
        <f t="shared" ca="1" si="1"/>
        <v>43696</v>
      </c>
      <c r="L30" s="809" t="str">
        <f t="shared" si="0"/>
        <v/>
      </c>
      <c r="M30" s="809">
        <f t="shared" ref="M30:M38" si="4">IF(H30="",F30-I30,0)</f>
        <v>88747.596699999995</v>
      </c>
      <c r="N30" s="845"/>
      <c r="O30" s="13"/>
      <c r="P30" s="13"/>
    </row>
    <row r="31" spans="1:16" s="26" customFormat="1" x14ac:dyDescent="0.2">
      <c r="A31" s="789" t="s">
        <v>117</v>
      </c>
      <c r="B31" s="793" t="s">
        <v>245</v>
      </c>
      <c r="C31" s="821"/>
      <c r="D31" s="816"/>
      <c r="E31" s="486">
        <v>18371</v>
      </c>
      <c r="F31" s="817">
        <v>18371</v>
      </c>
      <c r="G31" s="818"/>
      <c r="H31" s="819">
        <v>43336</v>
      </c>
      <c r="I31" s="817">
        <v>18371</v>
      </c>
      <c r="J31" s="820">
        <v>43395</v>
      </c>
      <c r="K31" s="797">
        <f t="shared" si="1"/>
        <v>59</v>
      </c>
      <c r="L31" s="791" t="str">
        <f t="shared" si="0"/>
        <v/>
      </c>
      <c r="M31" s="791">
        <f t="shared" si="4"/>
        <v>0</v>
      </c>
      <c r="N31" s="845"/>
      <c r="O31" s="13"/>
      <c r="P31" s="13"/>
    </row>
    <row r="32" spans="1:16" s="26" customFormat="1" x14ac:dyDescent="0.2">
      <c r="A32" s="789" t="s">
        <v>250</v>
      </c>
      <c r="B32" s="793" t="s">
        <v>245</v>
      </c>
      <c r="C32" s="821"/>
      <c r="D32" s="816"/>
      <c r="E32" s="824">
        <v>36226.06</v>
      </c>
      <c r="F32" s="817">
        <v>36226.06</v>
      </c>
      <c r="G32" s="818"/>
      <c r="H32" s="819">
        <v>43354</v>
      </c>
      <c r="I32" s="817">
        <v>36226.06</v>
      </c>
      <c r="J32" s="820">
        <v>43409</v>
      </c>
      <c r="K32" s="797">
        <f t="shared" si="1"/>
        <v>55</v>
      </c>
      <c r="L32" s="791" t="str">
        <f t="shared" si="0"/>
        <v/>
      </c>
      <c r="M32" s="791">
        <f t="shared" si="4"/>
        <v>0</v>
      </c>
      <c r="N32" s="845"/>
      <c r="O32" s="13"/>
      <c r="P32" s="13"/>
    </row>
    <row r="33" spans="1:16" s="26" customFormat="1" x14ac:dyDescent="0.2">
      <c r="A33" s="789" t="s">
        <v>128</v>
      </c>
      <c r="B33" s="793" t="s">
        <v>245</v>
      </c>
      <c r="C33" s="821"/>
      <c r="D33" s="816"/>
      <c r="E33" s="824">
        <f>14221.78*1.085</f>
        <v>15430.631300000001</v>
      </c>
      <c r="F33" s="817">
        <v>15430.63</v>
      </c>
      <c r="G33" s="818"/>
      <c r="H33" s="819">
        <v>43397</v>
      </c>
      <c r="I33" s="817">
        <v>15430.63</v>
      </c>
      <c r="J33" s="820">
        <v>43658</v>
      </c>
      <c r="K33" s="797">
        <f t="shared" si="1"/>
        <v>261</v>
      </c>
      <c r="L33" s="791" t="str">
        <f t="shared" si="0"/>
        <v/>
      </c>
      <c r="M33" s="791">
        <f t="shared" si="4"/>
        <v>0</v>
      </c>
      <c r="N33" s="845"/>
      <c r="O33" s="13"/>
      <c r="P33" s="13"/>
    </row>
    <row r="34" spans="1:16" s="26" customFormat="1" x14ac:dyDescent="0.2">
      <c r="A34" s="789" t="s">
        <v>241</v>
      </c>
      <c r="B34" s="793" t="s">
        <v>245</v>
      </c>
      <c r="C34" s="821"/>
      <c r="D34" s="816"/>
      <c r="E34" s="824">
        <v>92098.45</v>
      </c>
      <c r="F34" s="817">
        <v>92098.45</v>
      </c>
      <c r="G34" s="818"/>
      <c r="H34" s="819">
        <v>43514</v>
      </c>
      <c r="I34" s="817">
        <v>92098.45</v>
      </c>
      <c r="J34" s="820">
        <v>43570</v>
      </c>
      <c r="K34" s="797">
        <f t="shared" si="1"/>
        <v>56</v>
      </c>
      <c r="L34" s="791" t="str">
        <f t="shared" si="0"/>
        <v/>
      </c>
      <c r="M34" s="791">
        <f t="shared" si="4"/>
        <v>0</v>
      </c>
      <c r="N34" s="845"/>
      <c r="O34" s="13"/>
      <c r="P34" s="13"/>
    </row>
    <row r="35" spans="1:16" s="26" customFormat="1" x14ac:dyDescent="0.2">
      <c r="A35" s="789" t="s">
        <v>118</v>
      </c>
      <c r="B35" s="793" t="s">
        <v>245</v>
      </c>
      <c r="C35" s="821"/>
      <c r="D35" s="816"/>
      <c r="E35" s="824">
        <f>45234.05*1.085</f>
        <v>49078.94425</v>
      </c>
      <c r="F35" s="817">
        <v>49078.94425</v>
      </c>
      <c r="G35" s="818"/>
      <c r="H35" s="819">
        <v>43425</v>
      </c>
      <c r="I35" s="817">
        <v>49078.94</v>
      </c>
      <c r="J35" s="820">
        <v>43649</v>
      </c>
      <c r="K35" s="797">
        <f t="shared" si="1"/>
        <v>224</v>
      </c>
      <c r="L35" s="791" t="str">
        <f t="shared" si="0"/>
        <v/>
      </c>
      <c r="M35" s="791">
        <f t="shared" si="4"/>
        <v>0</v>
      </c>
      <c r="N35" s="845"/>
      <c r="O35" s="13"/>
      <c r="P35" s="13"/>
    </row>
    <row r="36" spans="1:16" s="26" customFormat="1" x14ac:dyDescent="0.2">
      <c r="A36" s="786" t="s">
        <v>132</v>
      </c>
      <c r="B36" s="801" t="s">
        <v>245</v>
      </c>
      <c r="C36" s="822"/>
      <c r="D36" s="811"/>
      <c r="E36" s="879">
        <f>12035.96*1.085</f>
        <v>13059.016599999999</v>
      </c>
      <c r="F36" s="812">
        <f>E36</f>
        <v>13059.016599999999</v>
      </c>
      <c r="G36" s="813"/>
      <c r="H36" s="814">
        <v>43642</v>
      </c>
      <c r="I36" s="823" t="s">
        <v>81</v>
      </c>
      <c r="J36" s="815"/>
      <c r="K36" s="806">
        <f t="shared" ca="1" si="1"/>
        <v>54</v>
      </c>
      <c r="L36" s="809">
        <f t="shared" si="0"/>
        <v>13059.016599999999</v>
      </c>
      <c r="M36" s="809">
        <f t="shared" si="4"/>
        <v>0</v>
      </c>
      <c r="N36" s="1057" t="s">
        <v>428</v>
      </c>
      <c r="O36" s="1058"/>
      <c r="P36" s="1058"/>
    </row>
    <row r="37" spans="1:16" s="26" customFormat="1" x14ac:dyDescent="0.2">
      <c r="A37" s="789" t="s">
        <v>31</v>
      </c>
      <c r="B37" s="793" t="s">
        <v>245</v>
      </c>
      <c r="C37" s="821"/>
      <c r="D37" s="816"/>
      <c r="E37" s="824">
        <f>72447.32*1.085</f>
        <v>78605.342199999999</v>
      </c>
      <c r="F37" s="817">
        <v>78605.342199999999</v>
      </c>
      <c r="G37" s="818"/>
      <c r="H37" s="819">
        <v>43425</v>
      </c>
      <c r="I37" s="817">
        <v>78605.34</v>
      </c>
      <c r="J37" s="820">
        <v>43655</v>
      </c>
      <c r="K37" s="797">
        <f t="shared" si="1"/>
        <v>230</v>
      </c>
      <c r="L37" s="791" t="str">
        <f t="shared" si="0"/>
        <v/>
      </c>
      <c r="M37" s="791">
        <f t="shared" si="4"/>
        <v>0</v>
      </c>
      <c r="N37" s="845"/>
      <c r="O37" s="13"/>
      <c r="P37" s="13"/>
    </row>
    <row r="38" spans="1:16" s="26" customFormat="1" x14ac:dyDescent="0.2">
      <c r="A38" s="789" t="s">
        <v>31</v>
      </c>
      <c r="B38" s="793" t="s">
        <v>245</v>
      </c>
      <c r="C38" s="321"/>
      <c r="D38" s="473"/>
      <c r="E38" s="859">
        <v>21718.06</v>
      </c>
      <c r="F38" s="860">
        <v>21718.06</v>
      </c>
      <c r="G38" s="696"/>
      <c r="H38" s="861">
        <v>43425</v>
      </c>
      <c r="I38" s="817">
        <v>21718.06</v>
      </c>
      <c r="J38" s="698">
        <v>43479</v>
      </c>
      <c r="K38" s="862">
        <f t="shared" si="1"/>
        <v>54</v>
      </c>
      <c r="L38" s="791" t="str">
        <f t="shared" si="0"/>
        <v/>
      </c>
      <c r="M38" s="791">
        <f t="shared" si="4"/>
        <v>0</v>
      </c>
      <c r="N38" s="845"/>
      <c r="O38" s="13"/>
      <c r="P38" s="13"/>
    </row>
    <row r="39" spans="1:16" s="26" customFormat="1" x14ac:dyDescent="0.2">
      <c r="A39" s="259" t="s">
        <v>258</v>
      </c>
      <c r="B39" s="873" t="s">
        <v>245</v>
      </c>
      <c r="C39" s="505"/>
      <c r="D39" s="258"/>
      <c r="E39" s="506">
        <f>61533.1*1.085</f>
        <v>66763.413499999995</v>
      </c>
      <c r="F39" s="56">
        <v>66763.41</v>
      </c>
      <c r="G39" s="262"/>
      <c r="H39" s="874">
        <v>43690</v>
      </c>
      <c r="I39" s="669" t="s">
        <v>81</v>
      </c>
      <c r="J39" s="264"/>
      <c r="K39" s="875"/>
      <c r="L39" s="876"/>
      <c r="M39" s="265"/>
      <c r="N39" s="872" t="s">
        <v>372</v>
      </c>
      <c r="O39" s="13"/>
      <c r="P39" s="13"/>
    </row>
    <row r="40" spans="1:16" s="26" customFormat="1" x14ac:dyDescent="0.2">
      <c r="A40" s="259" t="s">
        <v>237</v>
      </c>
      <c r="B40" s="873" t="s">
        <v>245</v>
      </c>
      <c r="C40" s="505"/>
      <c r="D40" s="258"/>
      <c r="E40" s="506">
        <f>16717.31*1.085</f>
        <v>18138.281350000001</v>
      </c>
      <c r="F40" s="56">
        <f>E40</f>
        <v>18138.281350000001</v>
      </c>
      <c r="G40" s="262"/>
      <c r="H40" s="874"/>
      <c r="I40" s="263"/>
      <c r="J40" s="264"/>
      <c r="K40" s="875"/>
      <c r="L40" s="876"/>
      <c r="M40" s="265"/>
      <c r="N40" s="872"/>
      <c r="O40" s="13"/>
      <c r="P40" s="13"/>
    </row>
    <row r="41" spans="1:16" s="26" customFormat="1" x14ac:dyDescent="0.2">
      <c r="A41" s="259" t="s">
        <v>239</v>
      </c>
      <c r="B41" s="873" t="s">
        <v>245</v>
      </c>
      <c r="C41" s="505"/>
      <c r="D41" s="258"/>
      <c r="E41" s="506">
        <f>23733.45*1.085</f>
        <v>25750.793249999999</v>
      </c>
      <c r="F41" s="56">
        <f>+E41</f>
        <v>25750.793249999999</v>
      </c>
      <c r="G41" s="262"/>
      <c r="H41" s="874"/>
      <c r="I41" s="263"/>
      <c r="J41" s="264"/>
      <c r="K41" s="875"/>
      <c r="L41" s="876"/>
      <c r="M41" s="265"/>
      <c r="N41" s="872"/>
      <c r="O41" s="13"/>
      <c r="P41" s="13"/>
    </row>
    <row r="42" spans="1:16" s="26" customFormat="1" x14ac:dyDescent="0.2">
      <c r="A42" s="259" t="s">
        <v>292</v>
      </c>
      <c r="B42" s="873" t="s">
        <v>245</v>
      </c>
      <c r="C42" s="505"/>
      <c r="D42" s="258"/>
      <c r="E42" s="506">
        <f>44959.45*1.085</f>
        <v>48781.003249999994</v>
      </c>
      <c r="F42" s="56">
        <f>E42</f>
        <v>48781.003249999994</v>
      </c>
      <c r="G42" s="262"/>
      <c r="H42" s="874"/>
      <c r="I42" s="263"/>
      <c r="J42" s="264"/>
      <c r="K42" s="875"/>
      <c r="L42" s="876"/>
      <c r="M42" s="265"/>
      <c r="N42" s="872" t="s">
        <v>372</v>
      </c>
      <c r="O42" s="13"/>
      <c r="P42" s="13"/>
    </row>
    <row r="43" spans="1:16" s="26" customFormat="1" x14ac:dyDescent="0.2">
      <c r="A43" s="259" t="s">
        <v>429</v>
      </c>
      <c r="B43" s="873" t="s">
        <v>245</v>
      </c>
      <c r="C43" s="505"/>
      <c r="D43" s="258"/>
      <c r="E43" s="506">
        <f>18857.48*1.085-0.01</f>
        <v>20460.355800000001</v>
      </c>
      <c r="F43" s="56">
        <f>+E43</f>
        <v>20460.355800000001</v>
      </c>
      <c r="G43" s="262"/>
      <c r="H43" s="874">
        <v>43690</v>
      </c>
      <c r="I43" s="669" t="s">
        <v>81</v>
      </c>
      <c r="J43" s="264"/>
      <c r="K43" s="875"/>
      <c r="L43" s="876"/>
      <c r="M43" s="265"/>
      <c r="N43" s="872" t="s">
        <v>430</v>
      </c>
      <c r="O43" s="13"/>
      <c r="P43" s="13"/>
    </row>
    <row r="44" spans="1:16" s="26" customFormat="1" x14ac:dyDescent="0.2">
      <c r="A44" s="118" t="s">
        <v>388</v>
      </c>
      <c r="B44" s="710"/>
      <c r="C44" s="157"/>
      <c r="D44" s="711"/>
      <c r="E44" s="440"/>
      <c r="F44" s="121"/>
      <c r="G44" s="250"/>
      <c r="H44" s="781"/>
      <c r="I44" s="447">
        <f>SUM(I45)</f>
        <v>0</v>
      </c>
      <c r="J44" s="213"/>
      <c r="K44" s="712">
        <f t="shared" ca="1" si="1"/>
        <v>43696</v>
      </c>
      <c r="L44" s="122"/>
      <c r="M44" s="252">
        <f>SUM(M45)</f>
        <v>0</v>
      </c>
      <c r="N44" s="845"/>
      <c r="O44" s="13"/>
      <c r="P44" s="13"/>
    </row>
    <row r="45" spans="1:16" s="26" customFormat="1" x14ac:dyDescent="0.2">
      <c r="A45" s="45" t="s">
        <v>388</v>
      </c>
      <c r="B45" s="450"/>
      <c r="C45" s="104"/>
      <c r="D45" s="29"/>
      <c r="E45" s="445"/>
      <c r="F45" s="16"/>
      <c r="G45" s="42"/>
      <c r="H45" s="780"/>
      <c r="I45" s="24"/>
      <c r="J45" s="30"/>
      <c r="K45" s="561">
        <f t="shared" ca="1" si="1"/>
        <v>43696</v>
      </c>
      <c r="L45" s="362"/>
      <c r="M45" s="156"/>
      <c r="N45" s="845"/>
      <c r="O45" s="13"/>
      <c r="P45" s="13"/>
    </row>
    <row r="46" spans="1:16" s="26" customFormat="1" x14ac:dyDescent="0.2">
      <c r="A46" s="610" t="s">
        <v>388</v>
      </c>
      <c r="B46" s="611"/>
      <c r="C46" s="612"/>
      <c r="D46" s="612"/>
      <c r="E46" s="613"/>
      <c r="F46" s="614"/>
      <c r="G46" s="615"/>
      <c r="H46" s="782"/>
      <c r="I46" s="616"/>
      <c r="J46" s="617"/>
      <c r="K46" s="826">
        <f t="shared" ca="1" si="1"/>
        <v>43696</v>
      </c>
      <c r="L46" s="827"/>
      <c r="M46" s="828"/>
      <c r="N46" s="845"/>
      <c r="O46" s="13"/>
      <c r="P46" s="13"/>
    </row>
    <row r="47" spans="1:16" s="26" customFormat="1" x14ac:dyDescent="0.2">
      <c r="A47" s="870" t="s">
        <v>52</v>
      </c>
      <c r="B47" s="801" t="s">
        <v>246</v>
      </c>
      <c r="C47" s="811"/>
      <c r="D47" s="811"/>
      <c r="E47" s="804">
        <v>15485</v>
      </c>
      <c r="F47" s="812">
        <v>15485</v>
      </c>
      <c r="G47" s="813"/>
      <c r="H47" s="814">
        <v>42761</v>
      </c>
      <c r="I47" s="823" t="s">
        <v>81</v>
      </c>
      <c r="J47" s="815"/>
      <c r="K47" s="806">
        <f t="shared" ca="1" si="1"/>
        <v>935</v>
      </c>
      <c r="L47" s="809">
        <f>IF(I47="en attente",F47,"")</f>
        <v>15485</v>
      </c>
      <c r="M47" s="809">
        <f t="shared" ref="M47:M65" si="5">IF(H47="",F47-I47,0)</f>
        <v>0</v>
      </c>
      <c r="N47" s="845"/>
      <c r="O47" s="13"/>
      <c r="P47" s="13"/>
    </row>
    <row r="48" spans="1:16" s="26" customFormat="1" x14ac:dyDescent="0.2">
      <c r="A48" s="870" t="s">
        <v>55</v>
      </c>
      <c r="B48" s="801" t="s">
        <v>246</v>
      </c>
      <c r="C48" s="811"/>
      <c r="D48" s="811"/>
      <c r="E48" s="804">
        <v>24894</v>
      </c>
      <c r="F48" s="812">
        <v>24894</v>
      </c>
      <c r="G48" s="813"/>
      <c r="H48" s="814">
        <v>42830</v>
      </c>
      <c r="I48" s="823" t="s">
        <v>81</v>
      </c>
      <c r="J48" s="815"/>
      <c r="K48" s="806">
        <f t="shared" ca="1" si="1"/>
        <v>866</v>
      </c>
      <c r="L48" s="809">
        <f>IF(I48="en attente",F48,"")</f>
        <v>24894</v>
      </c>
      <c r="M48" s="809">
        <f t="shared" si="5"/>
        <v>0</v>
      </c>
      <c r="N48" s="845"/>
      <c r="O48" s="13"/>
      <c r="P48" s="13"/>
    </row>
    <row r="49" spans="1:17" s="26" customFormat="1" x14ac:dyDescent="0.2">
      <c r="A49" s="870" t="s">
        <v>53</v>
      </c>
      <c r="B49" s="801" t="s">
        <v>246</v>
      </c>
      <c r="C49" s="811"/>
      <c r="D49" s="811"/>
      <c r="E49" s="804">
        <v>17350</v>
      </c>
      <c r="F49" s="812">
        <v>17350</v>
      </c>
      <c r="G49" s="813"/>
      <c r="H49" s="814">
        <v>43188</v>
      </c>
      <c r="I49" s="823" t="s">
        <v>81</v>
      </c>
      <c r="J49" s="815"/>
      <c r="K49" s="806">
        <f t="shared" ca="1" si="1"/>
        <v>508</v>
      </c>
      <c r="L49" s="809">
        <f>IF(I49="en attente",F49,"")</f>
        <v>17350</v>
      </c>
      <c r="M49" s="809">
        <f t="shared" si="5"/>
        <v>0</v>
      </c>
      <c r="N49" s="845"/>
      <c r="O49" s="13"/>
      <c r="P49" s="13"/>
    </row>
    <row r="50" spans="1:17" s="26" customFormat="1" x14ac:dyDescent="0.2">
      <c r="A50" s="870" t="s">
        <v>250</v>
      </c>
      <c r="B50" s="801" t="s">
        <v>246</v>
      </c>
      <c r="C50" s="811"/>
      <c r="D50" s="811"/>
      <c r="E50" s="804">
        <f>12414</f>
        <v>12414</v>
      </c>
      <c r="F50" s="829">
        <f>+E50</f>
        <v>12414</v>
      </c>
      <c r="G50" s="813"/>
      <c r="H50" s="814">
        <v>43453</v>
      </c>
      <c r="I50" s="823" t="s">
        <v>81</v>
      </c>
      <c r="J50" s="815"/>
      <c r="K50" s="806">
        <f t="shared" ca="1" si="1"/>
        <v>243</v>
      </c>
      <c r="L50" s="809">
        <f t="shared" ref="L50:L65" si="6">IF(I50="en attente",F50,"")</f>
        <v>12414</v>
      </c>
      <c r="M50" s="809">
        <f t="shared" si="5"/>
        <v>0</v>
      </c>
      <c r="N50" s="845"/>
      <c r="O50" s="13"/>
      <c r="P50" s="13"/>
    </row>
    <row r="51" spans="1:17" s="26" customFormat="1" ht="27.75" customHeight="1" x14ac:dyDescent="0.2">
      <c r="A51" s="870" t="s">
        <v>251</v>
      </c>
      <c r="B51" s="801" t="s">
        <v>246</v>
      </c>
      <c r="C51" s="811"/>
      <c r="D51" s="811"/>
      <c r="E51" s="804">
        <v>9265</v>
      </c>
      <c r="F51" s="829">
        <f>+E51</f>
        <v>9265</v>
      </c>
      <c r="G51" s="813"/>
      <c r="H51" s="814">
        <v>43451</v>
      </c>
      <c r="I51" s="823" t="s">
        <v>81</v>
      </c>
      <c r="J51" s="815"/>
      <c r="K51" s="806">
        <f t="shared" ca="1" si="1"/>
        <v>245</v>
      </c>
      <c r="L51" s="809">
        <f t="shared" si="6"/>
        <v>9265</v>
      </c>
      <c r="M51" s="809">
        <f t="shared" si="5"/>
        <v>0</v>
      </c>
      <c r="N51" s="1098" t="s">
        <v>368</v>
      </c>
      <c r="O51" s="1099"/>
      <c r="P51" s="13"/>
    </row>
    <row r="52" spans="1:17" s="26" customFormat="1" x14ac:dyDescent="0.2">
      <c r="A52" s="789" t="s">
        <v>253</v>
      </c>
      <c r="B52" s="793" t="s">
        <v>246</v>
      </c>
      <c r="C52" s="816"/>
      <c r="D52" s="816"/>
      <c r="E52" s="486">
        <f>5055*1.085</f>
        <v>5484.6750000000002</v>
      </c>
      <c r="F52" s="817">
        <v>5484.6750000000002</v>
      </c>
      <c r="G52" s="818"/>
      <c r="H52" s="819">
        <v>43060</v>
      </c>
      <c r="I52" s="817">
        <v>4438</v>
      </c>
      <c r="J52" s="820">
        <v>43474</v>
      </c>
      <c r="K52" s="797">
        <f t="shared" si="1"/>
        <v>414</v>
      </c>
      <c r="L52" s="791" t="str">
        <f t="shared" si="6"/>
        <v/>
      </c>
      <c r="M52" s="791">
        <f t="shared" si="5"/>
        <v>0</v>
      </c>
      <c r="N52" s="845" t="s">
        <v>360</v>
      </c>
      <c r="O52" s="13"/>
      <c r="P52" s="446">
        <f>F52-I52</f>
        <v>1046.6750000000002</v>
      </c>
    </row>
    <row r="53" spans="1:17" s="26" customFormat="1" x14ac:dyDescent="0.2">
      <c r="A53" s="870" t="s">
        <v>132</v>
      </c>
      <c r="B53" s="801" t="s">
        <v>246</v>
      </c>
      <c r="C53" s="811"/>
      <c r="D53" s="811"/>
      <c r="E53" s="804">
        <f>8336*1.085</f>
        <v>9044.56</v>
      </c>
      <c r="F53" s="829">
        <v>9044.56</v>
      </c>
      <c r="G53" s="813"/>
      <c r="H53" s="814"/>
      <c r="I53" s="812"/>
      <c r="J53" s="815"/>
      <c r="K53" s="806">
        <f t="shared" ca="1" si="1"/>
        <v>43696</v>
      </c>
      <c r="L53" s="809" t="str">
        <f t="shared" si="6"/>
        <v/>
      </c>
      <c r="M53" s="809">
        <f>IF(H53="",F53-I53,0)</f>
        <v>9044.56</v>
      </c>
      <c r="N53" s="845"/>
      <c r="O53" s="13"/>
      <c r="P53" s="13"/>
    </row>
    <row r="54" spans="1:17" s="26" customFormat="1" x14ac:dyDescent="0.2">
      <c r="A54" s="870" t="s">
        <v>128</v>
      </c>
      <c r="B54" s="801" t="s">
        <v>246</v>
      </c>
      <c r="C54" s="811"/>
      <c r="D54" s="811"/>
      <c r="E54" s="804">
        <f>11840*1.085</f>
        <v>12846.4</v>
      </c>
      <c r="F54" s="829">
        <v>12846.4</v>
      </c>
      <c r="G54" s="813"/>
      <c r="H54" s="814">
        <v>43411</v>
      </c>
      <c r="I54" s="823" t="s">
        <v>81</v>
      </c>
      <c r="J54" s="815"/>
      <c r="K54" s="806">
        <f t="shared" ca="1" si="1"/>
        <v>285</v>
      </c>
      <c r="L54" s="809">
        <f t="shared" si="6"/>
        <v>12846.4</v>
      </c>
      <c r="M54" s="809">
        <f t="shared" si="5"/>
        <v>0</v>
      </c>
      <c r="N54" s="845" t="s">
        <v>375</v>
      </c>
      <c r="O54" s="13"/>
      <c r="P54" s="13"/>
    </row>
    <row r="55" spans="1:17" s="26" customFormat="1" x14ac:dyDescent="0.2">
      <c r="A55" s="870" t="s">
        <v>31</v>
      </c>
      <c r="B55" s="801" t="s">
        <v>246</v>
      </c>
      <c r="C55" s="815"/>
      <c r="D55" s="811"/>
      <c r="E55" s="825">
        <f>20936*1.085</f>
        <v>22715.559999999998</v>
      </c>
      <c r="F55" s="812">
        <v>22715.559999999998</v>
      </c>
      <c r="G55" s="813"/>
      <c r="H55" s="814"/>
      <c r="I55" s="814"/>
      <c r="J55" s="815"/>
      <c r="K55" s="806">
        <f t="shared" ca="1" si="1"/>
        <v>43696</v>
      </c>
      <c r="L55" s="809" t="str">
        <f t="shared" si="6"/>
        <v/>
      </c>
      <c r="M55" s="809">
        <f t="shared" si="5"/>
        <v>22715.559999999998</v>
      </c>
      <c r="N55" s="845"/>
      <c r="O55" s="13"/>
      <c r="P55" s="13"/>
      <c r="Q55" s="165"/>
    </row>
    <row r="56" spans="1:17" s="26" customFormat="1" x14ac:dyDescent="0.2">
      <c r="A56" s="870" t="s">
        <v>241</v>
      </c>
      <c r="B56" s="801" t="s">
        <v>246</v>
      </c>
      <c r="C56" s="815"/>
      <c r="D56" s="811"/>
      <c r="E56" s="825">
        <f>66468*1.085</f>
        <v>72117.78</v>
      </c>
      <c r="F56" s="812">
        <v>72117.78</v>
      </c>
      <c r="G56" s="813"/>
      <c r="H56" s="814"/>
      <c r="I56" s="814"/>
      <c r="J56" s="815"/>
      <c r="K56" s="806">
        <f t="shared" ca="1" si="1"/>
        <v>43696</v>
      </c>
      <c r="L56" s="809" t="str">
        <f t="shared" si="6"/>
        <v/>
      </c>
      <c r="M56" s="809">
        <f t="shared" si="5"/>
        <v>72117.78</v>
      </c>
      <c r="N56" s="845"/>
      <c r="O56" s="13"/>
      <c r="P56" s="13"/>
      <c r="Q56" s="165"/>
    </row>
    <row r="57" spans="1:17" s="26" customFormat="1" x14ac:dyDescent="0.2">
      <c r="A57" s="870" t="s">
        <v>117</v>
      </c>
      <c r="B57" s="801" t="s">
        <v>246</v>
      </c>
      <c r="C57" s="815"/>
      <c r="D57" s="811"/>
      <c r="E57" s="825">
        <f>10836*1.085</f>
        <v>11757.06</v>
      </c>
      <c r="F57" s="829">
        <v>11757.06</v>
      </c>
      <c r="G57" s="813"/>
      <c r="H57" s="814">
        <v>43516</v>
      </c>
      <c r="I57" s="878" t="s">
        <v>81</v>
      </c>
      <c r="J57" s="815"/>
      <c r="K57" s="806">
        <f t="shared" ca="1" si="1"/>
        <v>180</v>
      </c>
      <c r="L57" s="809">
        <f t="shared" si="6"/>
        <v>11757.06</v>
      </c>
      <c r="M57" s="809">
        <f t="shared" si="5"/>
        <v>0</v>
      </c>
      <c r="N57" s="845" t="s">
        <v>370</v>
      </c>
      <c r="O57" s="13"/>
      <c r="P57" s="13"/>
    </row>
    <row r="58" spans="1:17" s="26" customFormat="1" x14ac:dyDescent="0.2">
      <c r="A58" s="870" t="s">
        <v>381</v>
      </c>
      <c r="B58" s="801" t="s">
        <v>246</v>
      </c>
      <c r="C58" s="815"/>
      <c r="D58" s="811"/>
      <c r="E58" s="825">
        <f>60104*1.085</f>
        <v>65212.84</v>
      </c>
      <c r="F58" s="812">
        <v>65212.84</v>
      </c>
      <c r="G58" s="813"/>
      <c r="H58" s="814"/>
      <c r="I58" s="812"/>
      <c r="J58" s="815"/>
      <c r="K58" s="806">
        <f t="shared" ca="1" si="1"/>
        <v>43696</v>
      </c>
      <c r="L58" s="809" t="str">
        <f t="shared" si="6"/>
        <v/>
      </c>
      <c r="M58" s="809">
        <f t="shared" si="5"/>
        <v>65212.84</v>
      </c>
      <c r="N58" s="845"/>
      <c r="O58" s="13"/>
      <c r="P58" s="13"/>
    </row>
    <row r="59" spans="1:17" s="26" customFormat="1" x14ac:dyDescent="0.2">
      <c r="A59" s="870" t="s">
        <v>118</v>
      </c>
      <c r="B59" s="801" t="s">
        <v>246</v>
      </c>
      <c r="C59" s="815"/>
      <c r="D59" s="811"/>
      <c r="E59" s="825">
        <f>21616*1.085</f>
        <v>23453.360000000001</v>
      </c>
      <c r="F59" s="829">
        <v>23453.360000000001</v>
      </c>
      <c r="G59" s="813"/>
      <c r="H59" s="814"/>
      <c r="I59" s="814"/>
      <c r="J59" s="815"/>
      <c r="K59" s="806">
        <f t="shared" ca="1" si="1"/>
        <v>43696</v>
      </c>
      <c r="L59" s="809" t="str">
        <f t="shared" si="6"/>
        <v/>
      </c>
      <c r="M59" s="809">
        <f t="shared" si="5"/>
        <v>23453.360000000001</v>
      </c>
      <c r="N59" s="845"/>
      <c r="O59" s="13"/>
      <c r="P59" s="13"/>
    </row>
    <row r="60" spans="1:17" s="26" customFormat="1" x14ac:dyDescent="0.2">
      <c r="A60" s="870" t="s">
        <v>242</v>
      </c>
      <c r="B60" s="801" t="s">
        <v>246</v>
      </c>
      <c r="C60" s="815"/>
      <c r="D60" s="811"/>
      <c r="E60" s="825">
        <f>68840*1.085</f>
        <v>74691.399999999994</v>
      </c>
      <c r="F60" s="812">
        <f t="shared" ref="F60:F65" si="7">E60</f>
        <v>74691.399999999994</v>
      </c>
      <c r="G60" s="813"/>
      <c r="H60" s="814"/>
      <c r="I60" s="812"/>
      <c r="J60" s="815"/>
      <c r="K60" s="806">
        <f t="shared" ca="1" si="1"/>
        <v>43696</v>
      </c>
      <c r="L60" s="809" t="str">
        <f t="shared" si="6"/>
        <v/>
      </c>
      <c r="M60" s="809">
        <f t="shared" si="5"/>
        <v>74691.399999999994</v>
      </c>
      <c r="N60" s="845"/>
      <c r="O60" s="13"/>
      <c r="P60" s="13"/>
    </row>
    <row r="61" spans="1:17" s="26" customFormat="1" x14ac:dyDescent="0.2">
      <c r="A61" s="870" t="s">
        <v>233</v>
      </c>
      <c r="B61" s="801" t="s">
        <v>246</v>
      </c>
      <c r="C61" s="815"/>
      <c r="D61" s="811"/>
      <c r="E61" s="825">
        <f>14823*1.085</f>
        <v>16082.955</v>
      </c>
      <c r="F61" s="812">
        <f t="shared" si="7"/>
        <v>16082.955</v>
      </c>
      <c r="G61" s="813"/>
      <c r="H61" s="814"/>
      <c r="I61" s="812"/>
      <c r="J61" s="815"/>
      <c r="K61" s="806">
        <f t="shared" ca="1" si="1"/>
        <v>43696</v>
      </c>
      <c r="L61" s="809" t="str">
        <f t="shared" si="6"/>
        <v/>
      </c>
      <c r="M61" s="809">
        <f t="shared" si="5"/>
        <v>16082.955</v>
      </c>
      <c r="N61" s="845" t="s">
        <v>83</v>
      </c>
      <c r="O61" s="13"/>
      <c r="P61" s="13"/>
    </row>
    <row r="62" spans="1:17" s="26" customFormat="1" x14ac:dyDescent="0.2">
      <c r="A62" s="870" t="s">
        <v>237</v>
      </c>
      <c r="B62" s="801" t="s">
        <v>246</v>
      </c>
      <c r="C62" s="815"/>
      <c r="D62" s="811"/>
      <c r="E62" s="825">
        <f>47790*1.085</f>
        <v>51852.15</v>
      </c>
      <c r="F62" s="812">
        <f t="shared" si="7"/>
        <v>51852.15</v>
      </c>
      <c r="G62" s="813"/>
      <c r="H62" s="814"/>
      <c r="I62" s="812"/>
      <c r="J62" s="815"/>
      <c r="K62" s="806"/>
      <c r="L62" s="809" t="str">
        <f t="shared" si="6"/>
        <v/>
      </c>
      <c r="M62" s="809">
        <f t="shared" si="5"/>
        <v>51852.15</v>
      </c>
      <c r="N62" s="845"/>
      <c r="O62" s="13"/>
      <c r="P62" s="13"/>
    </row>
    <row r="63" spans="1:17" s="26" customFormat="1" x14ac:dyDescent="0.2">
      <c r="A63" s="870" t="s">
        <v>292</v>
      </c>
      <c r="B63" s="801" t="s">
        <v>362</v>
      </c>
      <c r="C63" s="815">
        <v>42926</v>
      </c>
      <c r="D63" s="811"/>
      <c r="E63" s="825">
        <f>49964*1.085</f>
        <v>54210.939999999995</v>
      </c>
      <c r="F63" s="812">
        <f t="shared" si="7"/>
        <v>54210.939999999995</v>
      </c>
      <c r="G63" s="813"/>
      <c r="H63" s="814"/>
      <c r="I63" s="812"/>
      <c r="J63" s="815"/>
      <c r="K63" s="806"/>
      <c r="L63" s="809" t="str">
        <f t="shared" si="6"/>
        <v/>
      </c>
      <c r="M63" s="809">
        <f t="shared" si="5"/>
        <v>54210.939999999995</v>
      </c>
      <c r="N63" s="845"/>
      <c r="O63" s="13"/>
      <c r="P63" s="13"/>
    </row>
    <row r="64" spans="1:17" s="26" customFormat="1" x14ac:dyDescent="0.2">
      <c r="A64" s="870" t="s">
        <v>258</v>
      </c>
      <c r="B64" s="801" t="s">
        <v>369</v>
      </c>
      <c r="C64" s="815">
        <v>43136</v>
      </c>
      <c r="D64" s="811"/>
      <c r="E64" s="825">
        <f>98780*1.085</f>
        <v>107176.3</v>
      </c>
      <c r="F64" s="812">
        <f t="shared" si="7"/>
        <v>107176.3</v>
      </c>
      <c r="G64" s="813"/>
      <c r="H64" s="814"/>
      <c r="I64" s="814"/>
      <c r="J64" s="815"/>
      <c r="K64" s="806"/>
      <c r="L64" s="809" t="str">
        <f t="shared" si="6"/>
        <v/>
      </c>
      <c r="M64" s="809">
        <f t="shared" si="5"/>
        <v>107176.3</v>
      </c>
      <c r="N64" s="845"/>
      <c r="O64" s="13"/>
      <c r="P64" s="13"/>
    </row>
    <row r="65" spans="1:16" s="26" customFormat="1" x14ac:dyDescent="0.2">
      <c r="A65" s="870" t="s">
        <v>280</v>
      </c>
      <c r="B65" s="801" t="s">
        <v>369</v>
      </c>
      <c r="C65" s="815"/>
      <c r="D65" s="811"/>
      <c r="E65" s="825">
        <f>43630*1.085</f>
        <v>47338.549999999996</v>
      </c>
      <c r="F65" s="812">
        <f t="shared" si="7"/>
        <v>47338.549999999996</v>
      </c>
      <c r="G65" s="813"/>
      <c r="H65" s="814"/>
      <c r="I65" s="812"/>
      <c r="J65" s="815"/>
      <c r="K65" s="806"/>
      <c r="L65" s="809" t="str">
        <f t="shared" si="6"/>
        <v/>
      </c>
      <c r="M65" s="809">
        <f t="shared" si="5"/>
        <v>47338.549999999996</v>
      </c>
      <c r="N65" s="845"/>
      <c r="O65" s="13"/>
      <c r="P65" s="13"/>
    </row>
    <row r="66" spans="1:16" s="26" customFormat="1" x14ac:dyDescent="0.2">
      <c r="A66" s="870" t="s">
        <v>333</v>
      </c>
      <c r="B66" s="801"/>
      <c r="C66" s="815">
        <v>43027</v>
      </c>
      <c r="D66" s="811"/>
      <c r="E66" s="825">
        <v>0</v>
      </c>
      <c r="F66" s="812"/>
      <c r="G66" s="813"/>
      <c r="H66" s="814"/>
      <c r="I66" s="812"/>
      <c r="J66" s="815"/>
      <c r="K66" s="806"/>
      <c r="L66" s="809"/>
      <c r="M66" s="809"/>
      <c r="N66" s="845"/>
      <c r="O66" s="13"/>
      <c r="P66" s="13"/>
    </row>
    <row r="67" spans="1:16" s="26" customFormat="1" x14ac:dyDescent="0.2">
      <c r="A67" s="870" t="s">
        <v>349</v>
      </c>
      <c r="B67" s="801" t="s">
        <v>371</v>
      </c>
      <c r="C67" s="815"/>
      <c r="D67" s="811"/>
      <c r="E67" s="825">
        <v>0</v>
      </c>
      <c r="F67" s="812"/>
      <c r="G67" s="813"/>
      <c r="H67" s="814"/>
      <c r="I67" s="812"/>
      <c r="J67" s="815"/>
      <c r="K67" s="806"/>
      <c r="L67" s="809"/>
      <c r="M67" s="809"/>
      <c r="N67" s="845"/>
      <c r="O67" s="13"/>
      <c r="P67" s="13"/>
    </row>
    <row r="68" spans="1:16" s="26" customFormat="1" x14ac:dyDescent="0.2">
      <c r="A68" s="870" t="s">
        <v>283</v>
      </c>
      <c r="B68" s="801"/>
      <c r="C68" s="815"/>
      <c r="D68" s="811"/>
      <c r="E68" s="825">
        <v>0</v>
      </c>
      <c r="F68" s="812"/>
      <c r="G68" s="813"/>
      <c r="H68" s="814"/>
      <c r="I68" s="812"/>
      <c r="J68" s="815"/>
      <c r="K68" s="806"/>
      <c r="L68" s="809"/>
      <c r="M68" s="809"/>
      <c r="N68" s="845"/>
      <c r="O68" s="13"/>
      <c r="P68" s="13"/>
    </row>
    <row r="69" spans="1:16" s="26" customFormat="1" x14ac:dyDescent="0.2">
      <c r="A69" s="870" t="s">
        <v>331</v>
      </c>
      <c r="B69" s="801"/>
      <c r="C69" s="815"/>
      <c r="D69" s="811"/>
      <c r="E69" s="825">
        <v>0</v>
      </c>
      <c r="F69" s="812"/>
      <c r="G69" s="813"/>
      <c r="H69" s="814"/>
      <c r="I69" s="812"/>
      <c r="J69" s="815"/>
      <c r="K69" s="806"/>
      <c r="L69" s="809"/>
      <c r="M69" s="809"/>
      <c r="N69" s="845"/>
      <c r="O69" s="13"/>
      <c r="P69" s="13"/>
    </row>
    <row r="70" spans="1:16" s="26" customFormat="1" x14ac:dyDescent="0.2">
      <c r="A70" s="870" t="s">
        <v>285</v>
      </c>
      <c r="B70" s="801"/>
      <c r="C70" s="815"/>
      <c r="D70" s="811"/>
      <c r="E70" s="825">
        <v>0</v>
      </c>
      <c r="F70" s="812"/>
      <c r="G70" s="813"/>
      <c r="H70" s="814"/>
      <c r="I70" s="812"/>
      <c r="J70" s="815"/>
      <c r="K70" s="806"/>
      <c r="L70" s="809"/>
      <c r="M70" s="809"/>
      <c r="N70" s="845"/>
      <c r="O70" s="13"/>
      <c r="P70" s="13"/>
    </row>
    <row r="71" spans="1:16" s="26" customFormat="1" x14ac:dyDescent="0.2">
      <c r="A71" s="870" t="s">
        <v>239</v>
      </c>
      <c r="B71" s="801"/>
      <c r="C71" s="815"/>
      <c r="D71" s="811"/>
      <c r="E71" s="825">
        <v>0</v>
      </c>
      <c r="F71" s="812"/>
      <c r="G71" s="813"/>
      <c r="H71" s="814"/>
      <c r="I71" s="812"/>
      <c r="J71" s="815"/>
      <c r="K71" s="806"/>
      <c r="L71" s="809"/>
      <c r="M71" s="809"/>
      <c r="N71" s="845"/>
      <c r="O71" s="13"/>
      <c r="P71" s="13"/>
    </row>
    <row r="72" spans="1:16" s="26" customFormat="1" x14ac:dyDescent="0.2">
      <c r="A72" s="870" t="s">
        <v>234</v>
      </c>
      <c r="B72" s="801"/>
      <c r="C72" s="815"/>
      <c r="D72" s="811"/>
      <c r="E72" s="825">
        <v>0</v>
      </c>
      <c r="F72" s="812"/>
      <c r="G72" s="813"/>
      <c r="H72" s="814"/>
      <c r="I72" s="812"/>
      <c r="J72" s="815"/>
      <c r="K72" s="806"/>
      <c r="L72" s="809"/>
      <c r="M72" s="809"/>
      <c r="N72" s="845"/>
      <c r="O72" s="13"/>
      <c r="P72" s="13"/>
    </row>
    <row r="73" spans="1:16" s="26" customFormat="1" x14ac:dyDescent="0.2">
      <c r="A73" s="800" t="s">
        <v>388</v>
      </c>
      <c r="B73" s="801"/>
      <c r="C73" s="815"/>
      <c r="D73" s="811"/>
      <c r="E73" s="825">
        <v>0</v>
      </c>
      <c r="F73" s="812"/>
      <c r="G73" s="813"/>
      <c r="H73" s="814"/>
      <c r="I73" s="812"/>
      <c r="J73" s="815"/>
      <c r="K73" s="806"/>
      <c r="L73" s="809"/>
      <c r="M73" s="809"/>
      <c r="N73" s="845"/>
      <c r="O73" s="13"/>
      <c r="P73" s="13"/>
    </row>
    <row r="74" spans="1:16" s="26" customFormat="1" x14ac:dyDescent="0.2">
      <c r="A74" s="855" t="s">
        <v>361</v>
      </c>
      <c r="B74" s="846"/>
      <c r="C74" s="847"/>
      <c r="D74" s="848"/>
      <c r="E74" s="849">
        <v>0</v>
      </c>
      <c r="F74" s="850"/>
      <c r="G74" s="851"/>
      <c r="H74" s="852"/>
      <c r="I74" s="850"/>
      <c r="J74" s="847"/>
      <c r="K74" s="853"/>
      <c r="L74" s="854"/>
      <c r="M74" s="854"/>
      <c r="N74" s="845"/>
      <c r="O74" s="13"/>
      <c r="P74" s="13"/>
    </row>
    <row r="75" spans="1:16" s="26" customFormat="1" x14ac:dyDescent="0.2">
      <c r="A75" s="877" t="s">
        <v>306</v>
      </c>
      <c r="B75" s="801" t="s">
        <v>246</v>
      </c>
      <c r="C75" s="815"/>
      <c r="D75" s="811"/>
      <c r="E75" s="825">
        <f>50436*1.085</f>
        <v>54723.06</v>
      </c>
      <c r="F75" s="812">
        <f>E75</f>
        <v>54723.06</v>
      </c>
      <c r="G75" s="813"/>
      <c r="H75" s="814"/>
      <c r="I75" s="812"/>
      <c r="J75" s="815"/>
      <c r="K75" s="806"/>
      <c r="L75" s="809" t="str">
        <f t="shared" ref="L75" si="8">IF(I75="en attente",F75,"")</f>
        <v/>
      </c>
      <c r="M75" s="809">
        <f t="shared" ref="M75" si="9">IF(H75="",F75-I75,0)</f>
        <v>54723.06</v>
      </c>
      <c r="N75" s="845"/>
      <c r="O75" s="13"/>
      <c r="P75" s="13"/>
    </row>
    <row r="76" spans="1:16" s="26" customFormat="1" x14ac:dyDescent="0.2">
      <c r="A76" s="877" t="s">
        <v>299</v>
      </c>
      <c r="B76" s="801"/>
      <c r="C76" s="815"/>
      <c r="D76" s="811"/>
      <c r="E76" s="825">
        <v>0</v>
      </c>
      <c r="F76" s="812"/>
      <c r="G76" s="813"/>
      <c r="H76" s="814"/>
      <c r="I76" s="812"/>
      <c r="J76" s="815"/>
      <c r="K76" s="806"/>
      <c r="L76" s="809"/>
      <c r="M76" s="809"/>
      <c r="N76" s="872"/>
      <c r="O76" s="13"/>
      <c r="P76" s="13"/>
    </row>
    <row r="77" spans="1:16" s="26" customFormat="1" x14ac:dyDescent="0.2">
      <c r="A77" s="877" t="s">
        <v>307</v>
      </c>
      <c r="B77" s="801"/>
      <c r="C77" s="815"/>
      <c r="D77" s="811"/>
      <c r="E77" s="825">
        <v>0</v>
      </c>
      <c r="F77" s="812"/>
      <c r="G77" s="813"/>
      <c r="H77" s="814"/>
      <c r="I77" s="812"/>
      <c r="J77" s="815"/>
      <c r="K77" s="806"/>
      <c r="L77" s="809"/>
      <c r="M77" s="809"/>
      <c r="N77" s="872"/>
      <c r="O77" s="13"/>
      <c r="P77" s="13"/>
    </row>
    <row r="78" spans="1:16" s="26" customFormat="1" x14ac:dyDescent="0.2">
      <c r="A78" s="877" t="s">
        <v>297</v>
      </c>
      <c r="B78" s="801"/>
      <c r="C78" s="815"/>
      <c r="D78" s="811"/>
      <c r="E78" s="825">
        <v>0</v>
      </c>
      <c r="F78" s="812"/>
      <c r="G78" s="813"/>
      <c r="H78" s="814"/>
      <c r="I78" s="812"/>
      <c r="J78" s="815"/>
      <c r="K78" s="806"/>
      <c r="L78" s="809"/>
      <c r="M78" s="809"/>
      <c r="N78" s="872"/>
      <c r="O78" s="13"/>
      <c r="P78" s="13"/>
    </row>
    <row r="79" spans="1:16" s="26" customFormat="1" x14ac:dyDescent="0.2">
      <c r="A79" s="877" t="s">
        <v>303</v>
      </c>
      <c r="B79" s="801"/>
      <c r="C79" s="815"/>
      <c r="D79" s="811"/>
      <c r="E79" s="825">
        <v>0</v>
      </c>
      <c r="F79" s="812"/>
      <c r="G79" s="813"/>
      <c r="H79" s="814"/>
      <c r="I79" s="812"/>
      <c r="J79" s="815"/>
      <c r="K79" s="806"/>
      <c r="L79" s="809"/>
      <c r="M79" s="809"/>
      <c r="N79" s="872"/>
      <c r="O79" s="13"/>
      <c r="P79" s="13"/>
    </row>
    <row r="80" spans="1:16" s="26" customFormat="1" x14ac:dyDescent="0.2">
      <c r="A80" s="877" t="s">
        <v>354</v>
      </c>
      <c r="B80" s="801"/>
      <c r="C80" s="815"/>
      <c r="D80" s="811"/>
      <c r="E80" s="825">
        <v>0</v>
      </c>
      <c r="F80" s="812"/>
      <c r="G80" s="813"/>
      <c r="H80" s="814"/>
      <c r="I80" s="812"/>
      <c r="J80" s="815"/>
      <c r="K80" s="806"/>
      <c r="L80" s="809"/>
      <c r="M80" s="809"/>
      <c r="N80" s="872"/>
      <c r="O80" s="13"/>
      <c r="P80" s="13"/>
    </row>
    <row r="81" spans="1:16" s="26" customFormat="1" x14ac:dyDescent="0.2">
      <c r="A81" s="877" t="s">
        <v>339</v>
      </c>
      <c r="B81" s="801"/>
      <c r="C81" s="815"/>
      <c r="D81" s="811"/>
      <c r="E81" s="825">
        <v>0</v>
      </c>
      <c r="F81" s="812"/>
      <c r="G81" s="813"/>
      <c r="H81" s="814"/>
      <c r="I81" s="812"/>
      <c r="J81" s="815"/>
      <c r="K81" s="806"/>
      <c r="L81" s="809"/>
      <c r="M81" s="809"/>
      <c r="N81" s="872"/>
      <c r="O81" s="13"/>
      <c r="P81" s="13"/>
    </row>
    <row r="82" spans="1:16" s="26" customFormat="1" x14ac:dyDescent="0.2">
      <c r="A82" s="877" t="s">
        <v>357</v>
      </c>
      <c r="B82" s="801"/>
      <c r="C82" s="815"/>
      <c r="D82" s="811"/>
      <c r="E82" s="825">
        <v>0</v>
      </c>
      <c r="F82" s="812"/>
      <c r="G82" s="813"/>
      <c r="H82" s="814"/>
      <c r="I82" s="812"/>
      <c r="J82" s="815"/>
      <c r="K82" s="806"/>
      <c r="L82" s="809"/>
      <c r="M82" s="809"/>
      <c r="N82" s="872"/>
      <c r="O82" s="13"/>
      <c r="P82" s="13"/>
    </row>
    <row r="83" spans="1:16" s="26" customFormat="1" x14ac:dyDescent="0.2">
      <c r="A83" s="877" t="s">
        <v>373</v>
      </c>
      <c r="B83" s="801"/>
      <c r="C83" s="815"/>
      <c r="D83" s="811"/>
      <c r="E83" s="825">
        <v>0</v>
      </c>
      <c r="F83" s="812"/>
      <c r="G83" s="813"/>
      <c r="H83" s="814"/>
      <c r="I83" s="812"/>
      <c r="J83" s="815"/>
      <c r="K83" s="806"/>
      <c r="L83" s="809"/>
      <c r="M83" s="809"/>
      <c r="N83" s="845"/>
      <c r="O83" s="13"/>
      <c r="P83" s="13"/>
    </row>
    <row r="84" spans="1:16" s="26" customFormat="1" x14ac:dyDescent="0.2">
      <c r="A84" s="877" t="s">
        <v>374</v>
      </c>
      <c r="B84" s="801"/>
      <c r="C84" s="815"/>
      <c r="D84" s="811"/>
      <c r="E84" s="825">
        <v>0</v>
      </c>
      <c r="F84" s="812"/>
      <c r="G84" s="813"/>
      <c r="H84" s="814"/>
      <c r="I84" s="812"/>
      <c r="J84" s="815"/>
      <c r="K84" s="806"/>
      <c r="L84" s="809"/>
      <c r="M84" s="809"/>
      <c r="N84" s="845"/>
      <c r="O84" s="13"/>
      <c r="P84" s="13"/>
    </row>
    <row r="85" spans="1:16" s="26" customFormat="1" x14ac:dyDescent="0.2">
      <c r="A85" s="877" t="s">
        <v>388</v>
      </c>
      <c r="B85" s="801"/>
      <c r="C85" s="815"/>
      <c r="D85" s="811"/>
      <c r="E85" s="825">
        <v>0</v>
      </c>
      <c r="F85" s="812"/>
      <c r="G85" s="813"/>
      <c r="H85" s="814"/>
      <c r="I85" s="812"/>
      <c r="J85" s="815"/>
      <c r="K85" s="806"/>
      <c r="L85" s="809"/>
      <c r="M85" s="809"/>
      <c r="N85" s="845"/>
      <c r="O85" s="13"/>
      <c r="P85" s="13"/>
    </row>
    <row r="86" spans="1:16" s="8" customFormat="1" x14ac:dyDescent="0.2">
      <c r="A86" s="74"/>
      <c r="B86" s="74"/>
      <c r="C86" s="1"/>
      <c r="D86" s="1"/>
      <c r="E86" s="804">
        <f>SUM(E6:E85)</f>
        <v>2240868.7307500001</v>
      </c>
      <c r="F86" s="41">
        <f>SUMPRODUCT((DateAF_EDF&lt;&gt;"")*MontantAF_EDF)</f>
        <v>1445493.5938500001</v>
      </c>
      <c r="G86" s="49"/>
      <c r="H86" s="783"/>
      <c r="I86" s="628">
        <f>SUM(MtntPaye_EDF)</f>
        <v>1169395.7500000002</v>
      </c>
      <c r="J86" s="50"/>
      <c r="K86" s="49"/>
      <c r="L86" s="41">
        <f>SUM(L7:L83)</f>
        <v>164877.8866</v>
      </c>
      <c r="M86" s="41">
        <f>SUM(M7:M83)</f>
        <v>702705.05170000019</v>
      </c>
      <c r="N86" s="845"/>
      <c r="O86" s="13"/>
      <c r="P86" s="13"/>
    </row>
    <row r="87" spans="1:16" x14ac:dyDescent="0.2">
      <c r="A87" s="519"/>
      <c r="B87" s="519"/>
      <c r="E87" s="75"/>
      <c r="F87" s="470"/>
      <c r="G87" s="74"/>
      <c r="H87" s="784"/>
      <c r="I87" s="75"/>
      <c r="J87" s="75"/>
      <c r="K87" s="788"/>
      <c r="L87" s="1064">
        <f>SUM(L86:M86)</f>
        <v>867582.93830000015</v>
      </c>
      <c r="M87" s="1065"/>
      <c r="N87" s="845"/>
      <c r="O87" s="13"/>
      <c r="P87" s="13"/>
    </row>
    <row r="88" spans="1:16" x14ac:dyDescent="0.2">
      <c r="N88" s="845"/>
      <c r="O88" s="13"/>
      <c r="P88" s="13"/>
    </row>
    <row r="89" spans="1:16" x14ac:dyDescent="0.2">
      <c r="F89" s="777" t="s">
        <v>192</v>
      </c>
      <c r="I89" s="367" t="s">
        <v>194</v>
      </c>
      <c r="L89" s="366" t="s">
        <v>192</v>
      </c>
      <c r="M89" s="367" t="s">
        <v>194</v>
      </c>
      <c r="N89" s="872"/>
      <c r="O89" s="13"/>
      <c r="P89" s="13"/>
    </row>
    <row r="90" spans="1:16" x14ac:dyDescent="0.2">
      <c r="E90" s="375">
        <v>42430</v>
      </c>
      <c r="F90" s="90">
        <f>SUMPRODUCT((DateAF_EDF&lt;&gt;"")*(MONTH(DateAF_EDF)=MONTH(E90))*(YEAR(DateAF_EDF)=YEAR(E90))*MontantAF_EDF)</f>
        <v>51875.6</v>
      </c>
      <c r="H90" s="375">
        <v>42430</v>
      </c>
      <c r="I90" s="90">
        <f t="shared" ref="I90:I105" si="10">SUMPRODUCT((DatePmt_EDF&lt;&gt;"")*(DatePmt_EDF&lt;&gt;"en attente")*(MONTH(DatePmt_EDF)=MONTH(H90))*(YEAR(DatePmt_EDF)=YEAR(H90))*(ISNUMBER(MtntPaye_EDF)),MtntPaye_EDF)</f>
        <v>0</v>
      </c>
      <c r="K90" s="6">
        <v>2016</v>
      </c>
      <c r="L90" s="90">
        <f>SUMPRODUCT((YEAR($E$90:$E$105)=K90)*($F$90:$F$105))</f>
        <v>236124.36</v>
      </c>
      <c r="M90" s="90">
        <f>SUMPRODUCT((YEAR($H$90:$H$105)=K90)*($I$90:$I$105))</f>
        <v>51875.6</v>
      </c>
      <c r="O90" s="90"/>
    </row>
    <row r="91" spans="1:16" x14ac:dyDescent="0.2">
      <c r="E91" s="375">
        <v>42491</v>
      </c>
      <c r="F91" s="90">
        <f t="shared" ref="F90:F117" si="11">SUMPRODUCT((DateAF_EDF&lt;&gt;"")*(MONTH(DateAF_EDF)=MONTH(E91))*(YEAR(DateAF_EDF)=YEAR(E91))*MontantAF_EDF)</f>
        <v>0</v>
      </c>
      <c r="H91" s="375">
        <v>42491</v>
      </c>
      <c r="I91" s="90">
        <f t="shared" si="10"/>
        <v>51875.6</v>
      </c>
      <c r="K91" s="6">
        <v>2017</v>
      </c>
      <c r="L91" s="90">
        <f>SUMPRODUCT((YEAR($E$90:$E$105)=K91)*($F$90:$F$105))</f>
        <v>495438.09499999997</v>
      </c>
      <c r="M91" s="90">
        <f>SUMPRODUCT((YEAR($H$90:$H$105)=K91)*($I$90:$I$105))</f>
        <v>281461.53000000003</v>
      </c>
    </row>
    <row r="92" spans="1:16" x14ac:dyDescent="0.2">
      <c r="E92" s="375">
        <v>42644</v>
      </c>
      <c r="F92" s="90">
        <f t="shared" si="11"/>
        <v>154658.38999999998</v>
      </c>
      <c r="H92" s="375">
        <v>42644</v>
      </c>
      <c r="I92" s="90">
        <f t="shared" si="10"/>
        <v>0</v>
      </c>
      <c r="K92" s="6">
        <v>2018</v>
      </c>
      <c r="L92" s="90">
        <f>SUMPRODUCT((YEAR($E$90:$E$129)=K92)*($F$90:$F$129))</f>
        <v>435832.05645000003</v>
      </c>
      <c r="M92" s="90">
        <f>SUMPRODUCT((YEAR($H$90:$H$129)=K92)*($I$90:$I$129))</f>
        <v>310341.90999999997</v>
      </c>
    </row>
    <row r="93" spans="1:16" x14ac:dyDescent="0.2">
      <c r="E93" s="375">
        <v>42705</v>
      </c>
      <c r="F93" s="90">
        <f t="shared" si="11"/>
        <v>29590.37</v>
      </c>
      <c r="H93" s="375">
        <v>42705</v>
      </c>
      <c r="I93" s="90">
        <f>SUMPRODUCT((DatePmt_EDF&lt;&gt;"")*(DatePmt_EDF&lt;&gt;"en attente")*(MONTH(DatePmt_EDF)=MONTH(H93))*(YEAR(DatePmt_EDF)=YEAR(H93))*(ISNUMBER(MtntPaye_EDF)),MtntPaye_EDF)</f>
        <v>0</v>
      </c>
      <c r="K93" s="6">
        <v>2019</v>
      </c>
      <c r="L93" s="90">
        <f>SUMPRODUCT((YEAR($E$90:$E$129)=K93)*($F$90:$F$129))</f>
        <v>278099.08240000001</v>
      </c>
      <c r="M93" s="90">
        <f>SUMPRODUCT((YEAR($H$90:$H$129)=K93)*($I$90:$I$129))</f>
        <v>525716.71</v>
      </c>
    </row>
    <row r="94" spans="1:16" x14ac:dyDescent="0.2">
      <c r="E94" s="375">
        <v>42736</v>
      </c>
      <c r="F94" s="90">
        <f t="shared" si="11"/>
        <v>78665.91</v>
      </c>
      <c r="H94" s="375">
        <v>42736</v>
      </c>
      <c r="I94" s="90">
        <f t="shared" si="10"/>
        <v>0</v>
      </c>
      <c r="L94" s="457">
        <f>SUM(L90:L93)</f>
        <v>1445493.5938500001</v>
      </c>
      <c r="M94" s="457">
        <f>SUM(M90:M93)</f>
        <v>1169395.75</v>
      </c>
      <c r="N94" s="871">
        <f>M94-L94</f>
        <v>-276097.84385000006</v>
      </c>
    </row>
    <row r="95" spans="1:16" x14ac:dyDescent="0.2">
      <c r="E95" s="375">
        <v>42767</v>
      </c>
      <c r="F95" s="90">
        <f t="shared" si="11"/>
        <v>58548.7</v>
      </c>
      <c r="H95" s="375">
        <v>42767</v>
      </c>
      <c r="I95" s="90">
        <f t="shared" si="10"/>
        <v>0</v>
      </c>
      <c r="L95" s="165">
        <f>+L94-F130</f>
        <v>0</v>
      </c>
      <c r="M95" s="165">
        <f>+M94-I130</f>
        <v>0</v>
      </c>
    </row>
    <row r="96" spans="1:16" x14ac:dyDescent="0.2">
      <c r="E96" s="375">
        <v>42795</v>
      </c>
      <c r="F96" s="90">
        <f t="shared" si="11"/>
        <v>17009.03</v>
      </c>
      <c r="H96" s="375">
        <v>42795</v>
      </c>
      <c r="I96" s="90">
        <f t="shared" si="10"/>
        <v>28319.18</v>
      </c>
    </row>
    <row r="97" spans="5:9" x14ac:dyDescent="0.2">
      <c r="E97" s="375">
        <v>42826</v>
      </c>
      <c r="F97" s="90">
        <f t="shared" si="11"/>
        <v>118005.2</v>
      </c>
      <c r="H97" s="375">
        <v>42826</v>
      </c>
      <c r="I97" s="90">
        <f t="shared" si="10"/>
        <v>76418.290000000008</v>
      </c>
    </row>
    <row r="98" spans="5:9" x14ac:dyDescent="0.2">
      <c r="E98" s="375">
        <v>42856</v>
      </c>
      <c r="F98" s="90">
        <f t="shared" si="11"/>
        <v>0</v>
      </c>
      <c r="H98" s="375">
        <v>42856</v>
      </c>
      <c r="I98" s="90">
        <f t="shared" si="10"/>
        <v>17009.03</v>
      </c>
    </row>
    <row r="99" spans="5:9" x14ac:dyDescent="0.2">
      <c r="E99" s="375">
        <v>42887</v>
      </c>
      <c r="F99" s="90">
        <f t="shared" si="11"/>
        <v>0</v>
      </c>
      <c r="H99" s="375">
        <v>42887</v>
      </c>
      <c r="I99" s="90">
        <f t="shared" si="10"/>
        <v>93111.2</v>
      </c>
    </row>
    <row r="100" spans="5:9" x14ac:dyDescent="0.2">
      <c r="E100" s="375">
        <v>42917</v>
      </c>
      <c r="F100" s="90">
        <f t="shared" si="11"/>
        <v>0</v>
      </c>
      <c r="H100" s="375">
        <v>42917</v>
      </c>
      <c r="I100" s="90">
        <f t="shared" si="10"/>
        <v>0</v>
      </c>
    </row>
    <row r="101" spans="5:9" x14ac:dyDescent="0.2">
      <c r="E101" s="375">
        <v>42948</v>
      </c>
      <c r="F101" s="90">
        <f t="shared" si="11"/>
        <v>37303.18</v>
      </c>
      <c r="H101" s="375">
        <v>42948</v>
      </c>
      <c r="I101" s="90">
        <f t="shared" si="10"/>
        <v>0</v>
      </c>
    </row>
    <row r="102" spans="5:9" x14ac:dyDescent="0.2">
      <c r="E102" s="375">
        <v>42979</v>
      </c>
      <c r="F102" s="90">
        <f t="shared" si="11"/>
        <v>0</v>
      </c>
      <c r="H102" s="375">
        <v>42979</v>
      </c>
      <c r="I102" s="90">
        <f t="shared" si="10"/>
        <v>66603.83</v>
      </c>
    </row>
    <row r="103" spans="5:9" x14ac:dyDescent="0.2">
      <c r="E103" s="375">
        <v>43009</v>
      </c>
      <c r="F103" s="90">
        <f t="shared" si="11"/>
        <v>0</v>
      </c>
      <c r="H103" s="375">
        <v>43009</v>
      </c>
      <c r="I103" s="90">
        <f t="shared" si="10"/>
        <v>0</v>
      </c>
    </row>
    <row r="104" spans="5:9" x14ac:dyDescent="0.2">
      <c r="E104" s="375">
        <v>43040</v>
      </c>
      <c r="F104" s="90">
        <f t="shared" si="11"/>
        <v>145586.16499999998</v>
      </c>
      <c r="H104" s="375">
        <v>43040</v>
      </c>
      <c r="I104" s="90">
        <f t="shared" si="10"/>
        <v>0</v>
      </c>
    </row>
    <row r="105" spans="5:9" x14ac:dyDescent="0.2">
      <c r="E105" s="375">
        <v>43070</v>
      </c>
      <c r="F105" s="90">
        <f t="shared" si="11"/>
        <v>40319.910000000003</v>
      </c>
      <c r="H105" s="375">
        <v>43070</v>
      </c>
      <c r="I105" s="90">
        <f t="shared" si="10"/>
        <v>0</v>
      </c>
    </row>
    <row r="106" spans="5:9" x14ac:dyDescent="0.2">
      <c r="E106" s="375">
        <v>43101</v>
      </c>
      <c r="F106" s="90">
        <f t="shared" si="11"/>
        <v>0</v>
      </c>
      <c r="H106" s="375">
        <v>43101</v>
      </c>
      <c r="I106" s="90">
        <f t="shared" ref="I106:I117" si="12">SUMPRODUCT((DatePmt_EDF&lt;&gt;"")*(DatePmt_EDF&lt;&gt;"en attente")*(MONTH(DatePmt_EDF)=MONTH(H106))*(YEAR(DatePmt_EDF)=YEAR(H106))*(ISNUMBER(MtntPaye_EDF)),MtntPaye_EDF)</f>
        <v>0</v>
      </c>
    </row>
    <row r="107" spans="5:9" x14ac:dyDescent="0.2">
      <c r="E107" s="375">
        <v>43132</v>
      </c>
      <c r="F107" s="90">
        <f t="shared" si="11"/>
        <v>0</v>
      </c>
      <c r="H107" s="375">
        <v>43132</v>
      </c>
      <c r="I107" s="90">
        <f t="shared" si="12"/>
        <v>0</v>
      </c>
    </row>
    <row r="108" spans="5:9" x14ac:dyDescent="0.2">
      <c r="E108" s="375">
        <v>43160</v>
      </c>
      <c r="F108" s="90">
        <f t="shared" si="11"/>
        <v>152798.87</v>
      </c>
      <c r="H108" s="375">
        <v>43160</v>
      </c>
      <c r="I108" s="90">
        <f t="shared" si="12"/>
        <v>0</v>
      </c>
    </row>
    <row r="109" spans="5:9" x14ac:dyDescent="0.2">
      <c r="E109" s="375">
        <v>43191</v>
      </c>
      <c r="F109" s="90">
        <f t="shared" si="11"/>
        <v>0</v>
      </c>
      <c r="H109" s="375">
        <v>43191</v>
      </c>
      <c r="I109" s="90">
        <f t="shared" si="12"/>
        <v>0</v>
      </c>
    </row>
    <row r="110" spans="5:9" x14ac:dyDescent="0.2">
      <c r="E110" s="375">
        <v>43221</v>
      </c>
      <c r="F110" s="90">
        <f t="shared" si="11"/>
        <v>0</v>
      </c>
      <c r="H110" s="375">
        <v>43221</v>
      </c>
      <c r="I110" s="90">
        <f t="shared" si="12"/>
        <v>18573.52</v>
      </c>
    </row>
    <row r="111" spans="5:9" x14ac:dyDescent="0.2">
      <c r="E111" s="375">
        <v>43252</v>
      </c>
      <c r="F111" s="90">
        <f t="shared" si="11"/>
        <v>29077.75</v>
      </c>
      <c r="H111" s="375">
        <v>43252</v>
      </c>
      <c r="I111" s="90">
        <f t="shared" si="12"/>
        <v>69910.28</v>
      </c>
    </row>
    <row r="112" spans="5:9" x14ac:dyDescent="0.2">
      <c r="E112" s="375">
        <v>43282</v>
      </c>
      <c r="F112" s="90">
        <f t="shared" si="11"/>
        <v>0</v>
      </c>
      <c r="H112" s="375">
        <v>43282</v>
      </c>
      <c r="I112" s="90">
        <f t="shared" si="12"/>
        <v>0</v>
      </c>
    </row>
    <row r="113" spans="5:9" x14ac:dyDescent="0.2">
      <c r="E113" s="375">
        <v>43313</v>
      </c>
      <c r="F113" s="90">
        <f t="shared" si="11"/>
        <v>18371</v>
      </c>
      <c r="H113" s="375">
        <v>43313</v>
      </c>
      <c r="I113" s="90">
        <f t="shared" si="12"/>
        <v>19296.939999999999</v>
      </c>
    </row>
    <row r="114" spans="5:9" x14ac:dyDescent="0.2">
      <c r="E114" s="375">
        <v>43344</v>
      </c>
      <c r="F114" s="90">
        <f t="shared" si="11"/>
        <v>36226.06</v>
      </c>
      <c r="H114" s="375">
        <v>43344</v>
      </c>
      <c r="I114" s="90">
        <f t="shared" si="12"/>
        <v>0</v>
      </c>
    </row>
    <row r="115" spans="5:9" x14ac:dyDescent="0.2">
      <c r="E115" s="375">
        <v>43374</v>
      </c>
      <c r="F115" s="90">
        <f t="shared" si="11"/>
        <v>15430.63</v>
      </c>
      <c r="H115" s="375">
        <v>43374</v>
      </c>
      <c r="I115" s="90">
        <f t="shared" si="12"/>
        <v>18371</v>
      </c>
    </row>
    <row r="116" spans="5:9" x14ac:dyDescent="0.2">
      <c r="E116" s="375">
        <v>43405</v>
      </c>
      <c r="F116" s="90">
        <f t="shared" si="11"/>
        <v>162248.74645000001</v>
      </c>
      <c r="H116" s="375">
        <v>43405</v>
      </c>
      <c r="I116" s="90">
        <f t="shared" si="12"/>
        <v>157030.60999999999</v>
      </c>
    </row>
    <row r="117" spans="5:9" x14ac:dyDescent="0.2">
      <c r="E117" s="375">
        <v>43435</v>
      </c>
      <c r="F117" s="90">
        <f t="shared" si="11"/>
        <v>21679</v>
      </c>
      <c r="H117" s="375">
        <v>43435</v>
      </c>
      <c r="I117" s="90">
        <f t="shared" si="12"/>
        <v>27159.56</v>
      </c>
    </row>
    <row r="118" spans="5:9" x14ac:dyDescent="0.2">
      <c r="E118" s="375">
        <v>43466</v>
      </c>
      <c r="F118" s="90">
        <f t="shared" ref="F118:F129" si="13">SUMPRODUCT((DateAF_EDF&lt;&gt;"")*(MONTH(DateAF_EDF)=MONTH(E118))*(YEAR(DateAF_EDF)=YEAR(E118))*MontantAF_EDF)</f>
        <v>33809.42</v>
      </c>
      <c r="H118" s="375">
        <v>43466</v>
      </c>
      <c r="I118" s="90">
        <f t="shared" ref="I118:I129" si="14">SUMPRODUCT((DatePmt_EDF&lt;&gt;"")*(DatePmt_EDF&lt;&gt;"en attente")*(MONTH(DatePmt_EDF)=MONTH(H118))*(YEAR(DatePmt_EDF)=YEAR(H118))*(ISNUMBER(MtntPaye_EDF)),MtntPaye_EDF)</f>
        <v>134445.37</v>
      </c>
    </row>
    <row r="119" spans="5:9" x14ac:dyDescent="0.2">
      <c r="E119" s="375">
        <v>43497</v>
      </c>
      <c r="F119" s="90">
        <f t="shared" si="13"/>
        <v>103855.51</v>
      </c>
      <c r="H119" s="375">
        <v>43497</v>
      </c>
      <c r="I119" s="90">
        <f t="shared" si="14"/>
        <v>0</v>
      </c>
    </row>
    <row r="120" spans="5:9" x14ac:dyDescent="0.2">
      <c r="E120" s="375">
        <v>43525</v>
      </c>
      <c r="F120" s="90">
        <f t="shared" si="13"/>
        <v>17204.37</v>
      </c>
      <c r="H120" s="375">
        <v>43525</v>
      </c>
      <c r="I120" s="90">
        <f t="shared" si="14"/>
        <v>138853.60999999999</v>
      </c>
    </row>
    <row r="121" spans="5:9" x14ac:dyDescent="0.2">
      <c r="E121" s="375">
        <v>43556</v>
      </c>
      <c r="F121" s="90">
        <f t="shared" si="13"/>
        <v>0</v>
      </c>
      <c r="H121" s="375">
        <v>43556</v>
      </c>
      <c r="I121" s="90">
        <f t="shared" si="14"/>
        <v>109302.81999999999</v>
      </c>
    </row>
    <row r="122" spans="5:9" x14ac:dyDescent="0.2">
      <c r="E122" s="375">
        <v>43586</v>
      </c>
      <c r="F122" s="90">
        <f t="shared" si="13"/>
        <v>0</v>
      </c>
      <c r="H122" s="375">
        <v>43586</v>
      </c>
      <c r="I122" s="90">
        <f t="shared" si="14"/>
        <v>0</v>
      </c>
    </row>
    <row r="123" spans="5:9" x14ac:dyDescent="0.2">
      <c r="E123" s="375">
        <v>43617</v>
      </c>
      <c r="F123" s="90">
        <f t="shared" si="13"/>
        <v>13059.016599999999</v>
      </c>
      <c r="H123" s="375">
        <v>43617</v>
      </c>
      <c r="I123" s="90">
        <f t="shared" si="14"/>
        <v>0</v>
      </c>
    </row>
    <row r="124" spans="5:9" x14ac:dyDescent="0.2">
      <c r="E124" s="375">
        <v>43647</v>
      </c>
      <c r="F124" s="90">
        <f t="shared" si="13"/>
        <v>22947</v>
      </c>
      <c r="H124" s="375">
        <v>43647</v>
      </c>
      <c r="I124" s="90">
        <f t="shared" si="14"/>
        <v>143114.91</v>
      </c>
    </row>
    <row r="125" spans="5:9" x14ac:dyDescent="0.2">
      <c r="E125" s="375">
        <v>43678</v>
      </c>
      <c r="F125" s="90">
        <f t="shared" si="13"/>
        <v>87223.765800000008</v>
      </c>
      <c r="H125" s="375">
        <v>43678</v>
      </c>
      <c r="I125" s="90">
        <f t="shared" si="14"/>
        <v>0</v>
      </c>
    </row>
    <row r="126" spans="5:9" x14ac:dyDescent="0.2">
      <c r="E126" s="375">
        <v>43709</v>
      </c>
      <c r="F126" s="90">
        <f t="shared" si="13"/>
        <v>0</v>
      </c>
      <c r="H126" s="375">
        <v>43709</v>
      </c>
      <c r="I126" s="90">
        <f t="shared" si="14"/>
        <v>0</v>
      </c>
    </row>
    <row r="127" spans="5:9" x14ac:dyDescent="0.2">
      <c r="E127" s="375">
        <v>43739</v>
      </c>
      <c r="F127" s="90">
        <f t="shared" si="13"/>
        <v>0</v>
      </c>
      <c r="H127" s="375">
        <v>43739</v>
      </c>
      <c r="I127" s="90">
        <f t="shared" si="14"/>
        <v>0</v>
      </c>
    </row>
    <row r="128" spans="5:9" x14ac:dyDescent="0.2">
      <c r="E128" s="375">
        <v>43770</v>
      </c>
      <c r="F128" s="90">
        <f t="shared" si="13"/>
        <v>0</v>
      </c>
      <c r="H128" s="375">
        <v>43770</v>
      </c>
      <c r="I128" s="90">
        <f t="shared" si="14"/>
        <v>0</v>
      </c>
    </row>
    <row r="129" spans="5:9" x14ac:dyDescent="0.2">
      <c r="E129" s="375">
        <v>43800</v>
      </c>
      <c r="F129" s="90">
        <f t="shared" si="13"/>
        <v>0</v>
      </c>
      <c r="H129" s="375">
        <v>43800</v>
      </c>
      <c r="I129" s="90">
        <f t="shared" si="14"/>
        <v>0</v>
      </c>
    </row>
    <row r="130" spans="5:9" x14ac:dyDescent="0.2">
      <c r="F130" s="457">
        <f>SUM(F90:F129)</f>
        <v>1445493.5938500001</v>
      </c>
      <c r="G130" s="456"/>
      <c r="I130" s="457">
        <f>SUM(I90:I129)</f>
        <v>1169395.75</v>
      </c>
    </row>
    <row r="131" spans="5:9" x14ac:dyDescent="0.2">
      <c r="F131" s="165">
        <f>+F130-F86</f>
        <v>0</v>
      </c>
      <c r="G131" s="462"/>
      <c r="H131" s="785"/>
      <c r="I131" s="165">
        <f>+I130-I86</f>
        <v>0</v>
      </c>
    </row>
  </sheetData>
  <mergeCells count="8">
    <mergeCell ref="N51:O51"/>
    <mergeCell ref="L87:M87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1CA847"/>
    <outlinePr summaryBelow="0"/>
  </sheetPr>
  <dimension ref="A1:U87"/>
  <sheetViews>
    <sheetView topLeftCell="I4" zoomScale="98" zoomScaleNormal="98" workbookViewId="0">
      <pane ySplit="1515" topLeftCell="A70" activePane="bottomLeft"/>
      <selection activeCell="E40" sqref="E40"/>
      <selection pane="bottomLeft" activeCell="K52" activeCellId="7" sqref="K14 K25 K31 K36 K40 K44 K48 K52"/>
    </sheetView>
  </sheetViews>
  <sheetFormatPr baseColWidth="10" defaultColWidth="11.42578125" defaultRowHeight="12" outlineLevelRow="1" outlineLevelCol="1" x14ac:dyDescent="0.2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0" customWidth="1"/>
    <col min="7" max="7" width="16.140625" style="1" customWidth="1"/>
    <col min="8" max="8" width="13" style="1" customWidth="1"/>
    <col min="9" max="10" width="17.5703125" style="1" customWidth="1"/>
    <col min="11" max="11" width="16" style="1" customWidth="1"/>
    <col min="12" max="12" width="4.140625" style="6" bestFit="1" customWidth="1"/>
    <col min="13" max="13" width="10.42578125" style="1" bestFit="1" customWidth="1"/>
    <col min="14" max="14" width="16" style="1" customWidth="1"/>
    <col min="15" max="15" width="10.42578125" style="82" bestFit="1" customWidth="1"/>
    <col min="16" max="16" width="18.5703125" style="76" bestFit="1" customWidth="1"/>
    <col min="17" max="17" width="17.5703125" style="1" customWidth="1"/>
    <col min="18" max="19" width="18.7109375" style="1" customWidth="1"/>
    <col min="20" max="20" width="11.42578125" style="165"/>
    <col min="21" max="16384" width="11.42578125" style="1"/>
  </cols>
  <sheetData>
    <row r="1" spans="1:21" x14ac:dyDescent="0.2">
      <c r="K1" s="90"/>
    </row>
    <row r="2" spans="1:21" x14ac:dyDescent="0.2">
      <c r="A2" s="1066" t="s">
        <v>296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1066"/>
      <c r="O2" s="1066"/>
      <c r="P2" s="1066"/>
      <c r="Q2" s="1066"/>
      <c r="R2" s="9">
        <f ca="1">TODAY()</f>
        <v>43696</v>
      </c>
      <c r="S2" s="9"/>
    </row>
    <row r="3" spans="1:21" x14ac:dyDescent="0.2">
      <c r="Q3" s="90"/>
    </row>
    <row r="4" spans="1:21" s="2" customFormat="1" ht="24" customHeight="1" x14ac:dyDescent="0.2">
      <c r="A4" s="1083" t="s">
        <v>2</v>
      </c>
      <c r="B4" s="1071" t="s">
        <v>0</v>
      </c>
      <c r="C4" s="1071" t="s">
        <v>19</v>
      </c>
      <c r="D4" s="1083" t="s">
        <v>302</v>
      </c>
      <c r="E4" s="565" t="s">
        <v>210</v>
      </c>
      <c r="F4" s="170" t="s">
        <v>87</v>
      </c>
      <c r="G4" s="1083" t="s">
        <v>345</v>
      </c>
      <c r="H4" s="565" t="s">
        <v>88</v>
      </c>
      <c r="I4" s="1071" t="s">
        <v>10</v>
      </c>
      <c r="J4" s="911" t="s">
        <v>386</v>
      </c>
      <c r="K4" s="1067" t="s">
        <v>4</v>
      </c>
      <c r="L4" s="1068"/>
      <c r="M4" s="1068"/>
      <c r="N4" s="1068"/>
      <c r="O4" s="1068"/>
      <c r="P4" s="1069"/>
      <c r="Q4" s="1070" t="s">
        <v>11</v>
      </c>
      <c r="R4" s="1071"/>
      <c r="S4" s="3" t="s">
        <v>84</v>
      </c>
      <c r="T4" s="166"/>
      <c r="U4" s="63"/>
    </row>
    <row r="5" spans="1:21" s="13" customFormat="1" ht="13.5" customHeight="1" x14ac:dyDescent="0.2">
      <c r="A5" s="1084"/>
      <c r="B5" s="1085"/>
      <c r="C5" s="1085"/>
      <c r="D5" s="1084"/>
      <c r="E5" s="566"/>
      <c r="F5" s="171"/>
      <c r="G5" s="1084"/>
      <c r="H5" s="566"/>
      <c r="I5" s="1085"/>
      <c r="J5" s="936"/>
      <c r="K5" s="10" t="s">
        <v>1</v>
      </c>
      <c r="L5" s="11" t="s">
        <v>3</v>
      </c>
      <c r="M5" s="11" t="s">
        <v>13</v>
      </c>
      <c r="N5" s="12" t="s">
        <v>12</v>
      </c>
      <c r="O5" s="83" t="s">
        <v>13</v>
      </c>
      <c r="P5" s="77" t="s">
        <v>16</v>
      </c>
      <c r="Q5" s="3" t="s">
        <v>18</v>
      </c>
      <c r="R5" s="3" t="s">
        <v>17</v>
      </c>
      <c r="S5" s="3"/>
      <c r="T5" s="167"/>
    </row>
    <row r="6" spans="1:21" s="569" customFormat="1" ht="15.95" customHeight="1" x14ac:dyDescent="0.2">
      <c r="A6" s="118" t="s">
        <v>297</v>
      </c>
      <c r="B6" s="119" t="s">
        <v>305</v>
      </c>
      <c r="C6" s="595">
        <v>43005</v>
      </c>
      <c r="D6" s="590">
        <f>DATE(YEAR(C6),MONTH(C6)+12,DAY(C6))</f>
        <v>43370</v>
      </c>
      <c r="E6" s="590">
        <v>43328</v>
      </c>
      <c r="F6" s="172">
        <v>43348</v>
      </c>
      <c r="G6" s="1049">
        <v>44465</v>
      </c>
      <c r="H6" s="590"/>
      <c r="I6" s="592">
        <v>18200</v>
      </c>
      <c r="J6" s="592"/>
      <c r="K6" s="592"/>
      <c r="L6" s="604"/>
      <c r="M6" s="589"/>
      <c r="N6" s="594">
        <f>SUM(N7:N10)</f>
        <v>6912.3600000000006</v>
      </c>
      <c r="O6" s="595"/>
      <c r="P6" s="596"/>
      <c r="Q6" s="591">
        <f>SUM(Q7:Q10)</f>
        <v>0</v>
      </c>
      <c r="R6" s="591">
        <f>SUM(R7:R10)</f>
        <v>11287.64</v>
      </c>
      <c r="S6" s="591"/>
      <c r="T6" s="568">
        <f>I6-(N6+Q6+R6)</f>
        <v>0</v>
      </c>
    </row>
    <row r="7" spans="1:21" s="218" customFormat="1" ht="15.95" customHeight="1" outlineLevel="1" x14ac:dyDescent="0.2">
      <c r="A7" s="46" t="s">
        <v>297</v>
      </c>
      <c r="B7" s="570"/>
      <c r="C7" s="571"/>
      <c r="D7" s="571"/>
      <c r="E7" s="571"/>
      <c r="F7" s="173"/>
      <c r="G7" s="578" t="s">
        <v>257</v>
      </c>
      <c r="H7" s="571"/>
      <c r="I7" s="994"/>
      <c r="J7" s="995">
        <v>0.2</v>
      </c>
      <c r="K7" s="573">
        <f>+I6*J7</f>
        <v>3640</v>
      </c>
      <c r="L7" s="215">
        <v>1</v>
      </c>
      <c r="M7" s="567">
        <v>43333</v>
      </c>
      <c r="N7" s="573">
        <v>3640</v>
      </c>
      <c r="O7" s="567">
        <v>43385</v>
      </c>
      <c r="P7" s="575"/>
      <c r="Q7" s="576" t="str">
        <f>IF(N7="en attente",K7,"")</f>
        <v/>
      </c>
      <c r="R7" s="576">
        <f>IF(M7="",K7-N7,0)</f>
        <v>0</v>
      </c>
      <c r="S7" s="576"/>
      <c r="T7" s="568"/>
    </row>
    <row r="8" spans="1:21" s="218" customFormat="1" ht="15.95" customHeight="1" outlineLevel="1" x14ac:dyDescent="0.2">
      <c r="A8" s="46" t="s">
        <v>393</v>
      </c>
      <c r="B8" s="570"/>
      <c r="C8" s="571"/>
      <c r="D8" s="571"/>
      <c r="E8" s="571"/>
      <c r="F8" s="173"/>
      <c r="G8" s="571"/>
      <c r="H8" s="571"/>
      <c r="I8" s="994"/>
      <c r="J8" s="995">
        <v>0.37980000000000003</v>
      </c>
      <c r="K8" s="573">
        <f>I6*J8-K7</f>
        <v>3272.3600000000006</v>
      </c>
      <c r="L8" s="215">
        <v>2</v>
      </c>
      <c r="M8" s="571">
        <v>43601</v>
      </c>
      <c r="N8" s="574">
        <v>3272.36</v>
      </c>
      <c r="O8" s="606">
        <v>43628</v>
      </c>
      <c r="P8" s="575"/>
      <c r="Q8" s="576" t="str">
        <f t="shared" ref="Q8:Q10" si="0">IF(N8="en attente",K8,"")</f>
        <v/>
      </c>
      <c r="R8" s="576"/>
      <c r="S8" s="576"/>
      <c r="T8" s="568"/>
    </row>
    <row r="9" spans="1:21" s="218" customFormat="1" ht="15.95" customHeight="1" outlineLevel="1" x14ac:dyDescent="0.2">
      <c r="A9" s="46" t="s">
        <v>297</v>
      </c>
      <c r="B9" s="570"/>
      <c r="C9" s="571"/>
      <c r="D9" s="571"/>
      <c r="E9" s="571"/>
      <c r="F9" s="173"/>
      <c r="G9" s="571"/>
      <c r="H9" s="571"/>
      <c r="I9" s="994"/>
      <c r="J9" s="995">
        <v>0.8</v>
      </c>
      <c r="K9" s="573">
        <f>+I6*J9-K8-K7</f>
        <v>7647.6399999999994</v>
      </c>
      <c r="L9" s="215">
        <v>3</v>
      </c>
      <c r="M9" s="571"/>
      <c r="N9" s="574"/>
      <c r="O9" s="606"/>
      <c r="P9" s="575"/>
      <c r="Q9" s="576" t="str">
        <f t="shared" si="0"/>
        <v/>
      </c>
      <c r="R9" s="576">
        <f>IF(M9="",K9-N9,0)</f>
        <v>7647.6399999999994</v>
      </c>
      <c r="S9" s="576"/>
      <c r="T9" s="568"/>
    </row>
    <row r="10" spans="1:21" s="218" customFormat="1" ht="15.95" customHeight="1" outlineLevel="1" x14ac:dyDescent="0.2">
      <c r="A10" s="46" t="s">
        <v>297</v>
      </c>
      <c r="B10" s="570"/>
      <c r="C10" s="571"/>
      <c r="D10" s="571"/>
      <c r="E10" s="571"/>
      <c r="F10" s="173"/>
      <c r="G10" s="571"/>
      <c r="H10" s="571"/>
      <c r="I10" s="994"/>
      <c r="J10" s="995">
        <v>1</v>
      </c>
      <c r="K10" s="573">
        <f>+I6-K7-K9-K8</f>
        <v>3640</v>
      </c>
      <c r="L10" s="215">
        <v>4</v>
      </c>
      <c r="M10" s="571"/>
      <c r="N10" s="574"/>
      <c r="O10" s="606"/>
      <c r="P10" s="575"/>
      <c r="Q10" s="576" t="str">
        <f t="shared" si="0"/>
        <v/>
      </c>
      <c r="R10" s="576">
        <f>IF(M10="",K10-N10,0)</f>
        <v>3640</v>
      </c>
      <c r="S10" s="576"/>
      <c r="T10" s="568"/>
    </row>
    <row r="11" spans="1:21" s="218" customFormat="1" ht="15.95" customHeight="1" x14ac:dyDescent="0.2">
      <c r="A11" s="118" t="s">
        <v>298</v>
      </c>
      <c r="B11" s="589" t="s">
        <v>300</v>
      </c>
      <c r="C11" s="590">
        <v>43005</v>
      </c>
      <c r="D11" s="590">
        <f>DATE(YEAR(C11),MONTH(C11)+12,DAY(C11))</f>
        <v>43370</v>
      </c>
      <c r="E11" s="590">
        <v>43328</v>
      </c>
      <c r="F11" s="172">
        <v>43363</v>
      </c>
      <c r="G11" s="1049">
        <v>44465</v>
      </c>
      <c r="H11" s="598"/>
      <c r="I11" s="592">
        <v>47320</v>
      </c>
      <c r="J11" s="592"/>
      <c r="K11" s="599"/>
      <c r="L11" s="600"/>
      <c r="M11" s="598"/>
      <c r="N11" s="594">
        <f>SUM(N12:N16)</f>
        <v>13462.54</v>
      </c>
      <c r="O11" s="601"/>
      <c r="P11" s="602"/>
      <c r="Q11" s="597">
        <f>SUM(Q12:Q16)</f>
        <v>6709.9760000000006</v>
      </c>
      <c r="R11" s="597">
        <f>SUM(R12:R16)</f>
        <v>27147.484</v>
      </c>
      <c r="S11" s="603"/>
      <c r="T11" s="568">
        <f>I11-(N11+Q11+R11)</f>
        <v>0</v>
      </c>
    </row>
    <row r="12" spans="1:21" s="218" customFormat="1" ht="15.95" customHeight="1" outlineLevel="1" x14ac:dyDescent="0.2">
      <c r="A12" s="46" t="s">
        <v>298</v>
      </c>
      <c r="B12" s="691"/>
      <c r="C12" s="692"/>
      <c r="D12" s="692"/>
      <c r="E12" s="692"/>
      <c r="F12" s="173"/>
      <c r="G12" s="578" t="s">
        <v>257</v>
      </c>
      <c r="H12" s="571"/>
      <c r="I12" s="994"/>
      <c r="J12" s="995">
        <v>0.2</v>
      </c>
      <c r="K12" s="573">
        <f>+I11*20%</f>
        <v>9464</v>
      </c>
      <c r="L12" s="215">
        <v>1</v>
      </c>
      <c r="M12" s="571">
        <v>43333</v>
      </c>
      <c r="N12" s="574">
        <v>9464</v>
      </c>
      <c r="O12" s="606">
        <v>43385</v>
      </c>
      <c r="P12" s="575"/>
      <c r="Q12" s="576" t="str">
        <f>IF(N12="en attente",K12,"")</f>
        <v/>
      </c>
      <c r="R12" s="576">
        <f t="shared" ref="R12:R14" si="1">IF(M12="",K12-N12,0)</f>
        <v>0</v>
      </c>
      <c r="S12" s="576"/>
      <c r="T12" s="568"/>
    </row>
    <row r="13" spans="1:21" s="218" customFormat="1" ht="15.95" customHeight="1" outlineLevel="1" x14ac:dyDescent="0.2">
      <c r="A13" s="46" t="s">
        <v>298</v>
      </c>
      <c r="B13" s="691"/>
      <c r="C13" s="692"/>
      <c r="D13" s="692"/>
      <c r="E13" s="692"/>
      <c r="F13" s="173"/>
      <c r="G13" s="692"/>
      <c r="H13" s="571"/>
      <c r="I13" s="994"/>
      <c r="J13" s="995">
        <v>0.28449999999999998</v>
      </c>
      <c r="K13" s="573">
        <f>I11*J13-K12</f>
        <v>3998.5399999999991</v>
      </c>
      <c r="L13" s="215">
        <v>2</v>
      </c>
      <c r="M13" s="571">
        <v>43601</v>
      </c>
      <c r="N13" s="574">
        <v>3998.54</v>
      </c>
      <c r="O13" s="606">
        <v>43628</v>
      </c>
      <c r="P13" s="575"/>
      <c r="Q13" s="576" t="str">
        <f t="shared" ref="Q13:Q16" si="2">IF(N13="en attente",K13,"")</f>
        <v/>
      </c>
      <c r="R13" s="576">
        <f t="shared" si="1"/>
        <v>0</v>
      </c>
      <c r="S13" s="576"/>
      <c r="T13" s="568"/>
    </row>
    <row r="14" spans="1:21" s="218" customFormat="1" ht="15.95" customHeight="1" outlineLevel="1" x14ac:dyDescent="0.2">
      <c r="A14" s="46" t="s">
        <v>298</v>
      </c>
      <c r="B14" s="691"/>
      <c r="C14" s="692"/>
      <c r="D14" s="692"/>
      <c r="E14" s="692"/>
      <c r="F14" s="173"/>
      <c r="G14" s="692"/>
      <c r="H14" s="571"/>
      <c r="I14" s="994"/>
      <c r="J14" s="995">
        <v>0.42630000000000001</v>
      </c>
      <c r="K14" s="573">
        <f>I11*J14-K12-K13</f>
        <v>6709.9760000000006</v>
      </c>
      <c r="L14" s="215">
        <v>3</v>
      </c>
      <c r="M14" s="571">
        <v>43662</v>
      </c>
      <c r="N14" s="1003" t="s">
        <v>259</v>
      </c>
      <c r="O14" s="606"/>
      <c r="P14" s="575"/>
      <c r="Q14" s="576">
        <f t="shared" si="2"/>
        <v>6709.9760000000006</v>
      </c>
      <c r="R14" s="576">
        <f t="shared" si="1"/>
        <v>0</v>
      </c>
      <c r="S14" s="576"/>
      <c r="T14" s="568"/>
    </row>
    <row r="15" spans="1:21" s="218" customFormat="1" ht="15.95" customHeight="1" outlineLevel="1" x14ac:dyDescent="0.2">
      <c r="A15" s="46" t="s">
        <v>298</v>
      </c>
      <c r="B15" s="691"/>
      <c r="C15" s="692"/>
      <c r="D15" s="692"/>
      <c r="E15" s="692"/>
      <c r="F15" s="173"/>
      <c r="G15" s="692"/>
      <c r="H15" s="571"/>
      <c r="I15" s="994"/>
      <c r="J15" s="995">
        <v>0.8</v>
      </c>
      <c r="K15" s="573">
        <f>+I11*J15-K12-K13-K14</f>
        <v>17683.483999999997</v>
      </c>
      <c r="L15" s="215">
        <v>4</v>
      </c>
      <c r="M15" s="571"/>
      <c r="N15" s="693"/>
      <c r="O15" s="606"/>
      <c r="P15" s="575"/>
      <c r="Q15" s="576" t="str">
        <f t="shared" si="2"/>
        <v/>
      </c>
      <c r="R15" s="576">
        <f>IF(M15="",K15-N15,0)</f>
        <v>17683.483999999997</v>
      </c>
      <c r="S15" s="576"/>
      <c r="T15" s="568"/>
    </row>
    <row r="16" spans="1:21" s="218" customFormat="1" ht="15.95" customHeight="1" outlineLevel="1" x14ac:dyDescent="0.2">
      <c r="A16" s="46" t="s">
        <v>298</v>
      </c>
      <c r="B16" s="577"/>
      <c r="C16" s="578"/>
      <c r="D16" s="578"/>
      <c r="E16" s="578"/>
      <c r="F16" s="175"/>
      <c r="G16" s="578"/>
      <c r="H16" s="578"/>
      <c r="I16" s="994"/>
      <c r="J16" s="995">
        <v>1</v>
      </c>
      <c r="K16" s="695">
        <f>+I11-K12-K15-K13-K14</f>
        <v>9464.0000000000036</v>
      </c>
      <c r="L16" s="694">
        <v>5</v>
      </c>
      <c r="M16" s="571"/>
      <c r="N16" s="574"/>
      <c r="O16" s="567"/>
      <c r="P16" s="575"/>
      <c r="Q16" s="576" t="str">
        <f t="shared" si="2"/>
        <v/>
      </c>
      <c r="R16" s="576">
        <f>IF(M16="",K16-N16,0)</f>
        <v>9464.0000000000036</v>
      </c>
      <c r="S16" s="576"/>
      <c r="T16" s="568"/>
    </row>
    <row r="17" spans="1:20" s="569" customFormat="1" ht="15.95" customHeight="1" x14ac:dyDescent="0.2">
      <c r="A17" s="118" t="s">
        <v>299</v>
      </c>
      <c r="B17" s="589" t="s">
        <v>301</v>
      </c>
      <c r="C17" s="590">
        <v>43005</v>
      </c>
      <c r="D17" s="590">
        <f>DATE(YEAR(C17),MONTH(C17)+12,DAY(C17))</f>
        <v>43370</v>
      </c>
      <c r="E17" s="590">
        <v>43368</v>
      </c>
      <c r="F17" s="590">
        <v>43452</v>
      </c>
      <c r="G17" s="1049">
        <v>44465</v>
      </c>
      <c r="H17" s="590"/>
      <c r="I17" s="592">
        <v>10920</v>
      </c>
      <c r="J17" s="592"/>
      <c r="K17" s="592"/>
      <c r="L17" s="593"/>
      <c r="M17" s="590"/>
      <c r="N17" s="594">
        <f>SUM(N18:N21)</f>
        <v>6651.37</v>
      </c>
      <c r="O17" s="595"/>
      <c r="P17" s="596"/>
      <c r="Q17" s="597">
        <f>SUM(Q18:Q21)</f>
        <v>0</v>
      </c>
      <c r="R17" s="597">
        <f>SUM(R18:R21)</f>
        <v>4268.6280000000006</v>
      </c>
      <c r="S17" s="597"/>
      <c r="T17" s="568">
        <f>I17-(N17+Q17+R17)</f>
        <v>2.0000000004074536E-3</v>
      </c>
    </row>
    <row r="18" spans="1:20" s="569" customFormat="1" ht="15.95" customHeight="1" outlineLevel="1" x14ac:dyDescent="0.2">
      <c r="A18" s="46" t="s">
        <v>299</v>
      </c>
      <c r="B18" s="691"/>
      <c r="C18" s="692"/>
      <c r="D18" s="692"/>
      <c r="E18" s="692"/>
      <c r="F18" s="177"/>
      <c r="G18" s="578" t="s">
        <v>257</v>
      </c>
      <c r="H18" s="692"/>
      <c r="I18" s="996"/>
      <c r="J18" s="997">
        <v>0.2</v>
      </c>
      <c r="K18" s="573">
        <f>+I17*J18</f>
        <v>2184</v>
      </c>
      <c r="L18" s="215">
        <v>1</v>
      </c>
      <c r="M18" s="571">
        <v>43370</v>
      </c>
      <c r="N18" s="574">
        <v>2184</v>
      </c>
      <c r="O18" s="606">
        <v>43420</v>
      </c>
      <c r="P18" s="714"/>
      <c r="Q18" s="576" t="str">
        <f>IF(N18="en attente",K18,"")</f>
        <v/>
      </c>
      <c r="R18" s="715"/>
      <c r="S18" s="715"/>
      <c r="T18" s="568"/>
    </row>
    <row r="19" spans="1:20" s="569" customFormat="1" ht="15.95" customHeight="1" outlineLevel="1" x14ac:dyDescent="0.2">
      <c r="A19" s="46" t="s">
        <v>299</v>
      </c>
      <c r="B19" s="691"/>
      <c r="C19" s="692"/>
      <c r="D19" s="692"/>
      <c r="E19" s="692"/>
      <c r="F19" s="177"/>
      <c r="G19" s="692"/>
      <c r="H19" s="692"/>
      <c r="I19" s="996"/>
      <c r="J19" s="997">
        <v>0.60909999999999997</v>
      </c>
      <c r="K19" s="573">
        <f>I17*J19-K18</f>
        <v>4467.3719999999994</v>
      </c>
      <c r="L19" s="215">
        <v>2</v>
      </c>
      <c r="M19" s="571">
        <v>43601</v>
      </c>
      <c r="N19" s="574">
        <v>4467.37</v>
      </c>
      <c r="O19" s="606">
        <v>43279</v>
      </c>
      <c r="P19" s="714"/>
      <c r="Q19" s="576" t="str">
        <f t="shared" ref="Q19:Q21" si="3">IF(N19="en attente",K19,"")</f>
        <v/>
      </c>
      <c r="R19" s="715"/>
      <c r="S19" s="715"/>
      <c r="T19" s="568"/>
    </row>
    <row r="20" spans="1:20" s="569" customFormat="1" ht="15.95" customHeight="1" outlineLevel="1" x14ac:dyDescent="0.2">
      <c r="A20" s="46" t="s">
        <v>299</v>
      </c>
      <c r="B20" s="691"/>
      <c r="C20" s="692"/>
      <c r="D20" s="692"/>
      <c r="E20" s="692"/>
      <c r="F20" s="177"/>
      <c r="G20" s="692"/>
      <c r="H20" s="692"/>
      <c r="I20" s="996"/>
      <c r="J20" s="997">
        <v>0.8</v>
      </c>
      <c r="K20" s="573">
        <f>+I17*J20-K18-K19</f>
        <v>2084.6280000000006</v>
      </c>
      <c r="L20" s="215">
        <v>3</v>
      </c>
      <c r="M20" s="692"/>
      <c r="N20" s="693"/>
      <c r="O20" s="713"/>
      <c r="P20" s="714"/>
      <c r="Q20" s="576" t="str">
        <f t="shared" si="3"/>
        <v/>
      </c>
      <c r="R20" s="576">
        <f>IF(M20="",K20-N20,0)</f>
        <v>2084.6280000000006</v>
      </c>
      <c r="S20" s="715"/>
      <c r="T20" s="568"/>
    </row>
    <row r="21" spans="1:20" s="218" customFormat="1" ht="15.95" customHeight="1" outlineLevel="1" x14ac:dyDescent="0.2">
      <c r="A21" s="46" t="s">
        <v>299</v>
      </c>
      <c r="B21" s="570"/>
      <c r="C21" s="571"/>
      <c r="D21" s="571"/>
      <c r="E21" s="571"/>
      <c r="F21" s="173"/>
      <c r="G21" s="571"/>
      <c r="H21" s="571"/>
      <c r="I21" s="994"/>
      <c r="J21" s="995">
        <v>1</v>
      </c>
      <c r="K21" s="573">
        <f>+I17-K18-K20-K19</f>
        <v>2184</v>
      </c>
      <c r="L21" s="215">
        <v>4</v>
      </c>
      <c r="M21" s="571"/>
      <c r="N21" s="574"/>
      <c r="O21" s="567"/>
      <c r="P21" s="575"/>
      <c r="Q21" s="576" t="str">
        <f t="shared" si="3"/>
        <v/>
      </c>
      <c r="R21" s="576">
        <f>IF(M21="",K21-N21,0)</f>
        <v>2184</v>
      </c>
      <c r="S21" s="576"/>
      <c r="T21" s="568"/>
    </row>
    <row r="22" spans="1:20" s="569" customFormat="1" ht="15.95" customHeight="1" x14ac:dyDescent="0.2">
      <c r="A22" s="118" t="s">
        <v>303</v>
      </c>
      <c r="B22" s="589" t="s">
        <v>304</v>
      </c>
      <c r="C22" s="590">
        <v>43032</v>
      </c>
      <c r="D22" s="590">
        <f>DATE(YEAR(C22),MONTH(C22)+12,DAY(C22))</f>
        <v>43397</v>
      </c>
      <c r="E22" s="590">
        <v>43362</v>
      </c>
      <c r="F22" s="172">
        <v>43362</v>
      </c>
      <c r="G22" s="1049">
        <v>44492</v>
      </c>
      <c r="H22" s="590"/>
      <c r="I22" s="592">
        <v>281250</v>
      </c>
      <c r="J22" s="592"/>
      <c r="K22" s="592"/>
      <c r="L22" s="593"/>
      <c r="M22" s="590"/>
      <c r="N22" s="594">
        <f>SUM(N23:N27)</f>
        <v>83981.25</v>
      </c>
      <c r="O22" s="595"/>
      <c r="P22" s="596"/>
      <c r="Q22" s="597">
        <f>SUM(Q23:Q27)</f>
        <v>63984.375</v>
      </c>
      <c r="R22" s="597">
        <f>SUM(R23:R27)</f>
        <v>133284.375</v>
      </c>
      <c r="S22" s="597"/>
      <c r="T22" s="568">
        <f>I22-(N22+Q22+R22)</f>
        <v>0</v>
      </c>
    </row>
    <row r="23" spans="1:20" s="569" customFormat="1" ht="15.95" customHeight="1" outlineLevel="1" x14ac:dyDescent="0.2">
      <c r="A23" s="46" t="s">
        <v>303</v>
      </c>
      <c r="B23" s="691"/>
      <c r="C23" s="692"/>
      <c r="D23" s="692"/>
      <c r="E23" s="692"/>
      <c r="F23" s="177"/>
      <c r="G23" s="578" t="s">
        <v>257</v>
      </c>
      <c r="H23" s="692"/>
      <c r="I23" s="996"/>
      <c r="J23" s="997">
        <v>0.2</v>
      </c>
      <c r="K23" s="573">
        <f>+I22*J23</f>
        <v>56250</v>
      </c>
      <c r="L23" s="215">
        <v>1</v>
      </c>
      <c r="M23" s="571">
        <v>43370</v>
      </c>
      <c r="N23" s="574">
        <v>56250</v>
      </c>
      <c r="O23" s="606">
        <v>43420</v>
      </c>
      <c r="P23" s="714"/>
      <c r="Q23" s="576" t="str">
        <f>IF(N23="en attente",K23,"")</f>
        <v/>
      </c>
      <c r="R23" s="715"/>
      <c r="S23" s="715"/>
      <c r="T23" s="568"/>
    </row>
    <row r="24" spans="1:20" s="569" customFormat="1" ht="15.95" customHeight="1" outlineLevel="1" x14ac:dyDescent="0.2">
      <c r="A24" s="46" t="s">
        <v>303</v>
      </c>
      <c r="B24" s="691"/>
      <c r="C24" s="692"/>
      <c r="D24" s="692"/>
      <c r="E24" s="692"/>
      <c r="F24" s="177"/>
      <c r="G24" s="692"/>
      <c r="H24" s="692"/>
      <c r="I24" s="996"/>
      <c r="J24" s="997">
        <v>0.29859999999999998</v>
      </c>
      <c r="K24" s="573">
        <f>I22*J24-K23</f>
        <v>27731.25</v>
      </c>
      <c r="L24" s="215">
        <v>2</v>
      </c>
      <c r="M24" s="571">
        <v>43601</v>
      </c>
      <c r="N24" s="574">
        <v>27731.25</v>
      </c>
      <c r="O24" s="606">
        <v>43628</v>
      </c>
      <c r="P24" s="714"/>
      <c r="Q24" s="576" t="str">
        <f t="shared" ref="Q24:Q27" si="4">IF(N24="en attente",K24,"")</f>
        <v/>
      </c>
      <c r="R24" s="715"/>
      <c r="S24" s="715"/>
      <c r="T24" s="568"/>
    </row>
    <row r="25" spans="1:20" s="569" customFormat="1" ht="15.95" customHeight="1" outlineLevel="1" x14ac:dyDescent="0.2">
      <c r="A25" s="46" t="s">
        <v>303</v>
      </c>
      <c r="B25" s="691"/>
      <c r="C25" s="692"/>
      <c r="D25" s="692"/>
      <c r="E25" s="692"/>
      <c r="F25" s="177"/>
      <c r="G25" s="692"/>
      <c r="H25" s="692"/>
      <c r="I25" s="996"/>
      <c r="J25" s="997">
        <v>0.52610000000000001</v>
      </c>
      <c r="K25" s="573">
        <f>+I22*J25-K23-K24</f>
        <v>63984.375</v>
      </c>
      <c r="L25" s="215">
        <v>3</v>
      </c>
      <c r="M25" s="571">
        <v>43662</v>
      </c>
      <c r="N25" s="1003" t="s">
        <v>259</v>
      </c>
      <c r="O25" s="713"/>
      <c r="P25" s="714"/>
      <c r="Q25" s="576">
        <f t="shared" si="4"/>
        <v>63984.375</v>
      </c>
      <c r="R25" s="576">
        <f>IF(M25="",K25-N25,0)</f>
        <v>0</v>
      </c>
      <c r="S25" s="715"/>
      <c r="T25" s="568"/>
    </row>
    <row r="26" spans="1:20" s="569" customFormat="1" ht="15.95" customHeight="1" outlineLevel="1" x14ac:dyDescent="0.2">
      <c r="A26" s="46" t="s">
        <v>303</v>
      </c>
      <c r="B26" s="691"/>
      <c r="C26" s="692"/>
      <c r="D26" s="692"/>
      <c r="E26" s="692"/>
      <c r="F26" s="177"/>
      <c r="G26" s="692"/>
      <c r="H26" s="692"/>
      <c r="I26" s="996"/>
      <c r="J26" s="997">
        <v>0.8</v>
      </c>
      <c r="K26" s="573">
        <f>I22*J26-K23-K24-K25</f>
        <v>77034.375</v>
      </c>
      <c r="L26" s="215">
        <v>4</v>
      </c>
      <c r="M26" s="692"/>
      <c r="N26" s="693"/>
      <c r="O26" s="713"/>
      <c r="P26" s="714"/>
      <c r="Q26" s="576"/>
      <c r="R26" s="576">
        <f>IF(M26="",K26-N26,0)</f>
        <v>77034.375</v>
      </c>
      <c r="S26" s="715"/>
      <c r="T26" s="568"/>
    </row>
    <row r="27" spans="1:20" s="218" customFormat="1" ht="15.95" customHeight="1" outlineLevel="1" x14ac:dyDescent="0.2">
      <c r="A27" s="46" t="s">
        <v>303</v>
      </c>
      <c r="B27" s="570"/>
      <c r="C27" s="571"/>
      <c r="D27" s="571"/>
      <c r="E27" s="571"/>
      <c r="F27" s="173"/>
      <c r="G27" s="571"/>
      <c r="H27" s="571"/>
      <c r="I27" s="994"/>
      <c r="J27" s="995">
        <v>1</v>
      </c>
      <c r="K27" s="573">
        <f>+I22-K23-K25-K24-K26</f>
        <v>56250</v>
      </c>
      <c r="L27" s="215">
        <v>5</v>
      </c>
      <c r="M27" s="571"/>
      <c r="N27" s="574"/>
      <c r="O27" s="605"/>
      <c r="P27" s="575"/>
      <c r="Q27" s="576" t="str">
        <f t="shared" si="4"/>
        <v/>
      </c>
      <c r="R27" s="576">
        <f>IF(M27="",K27-N27,0)</f>
        <v>56250</v>
      </c>
      <c r="S27" s="576"/>
      <c r="T27" s="568"/>
    </row>
    <row r="28" spans="1:20" s="569" customFormat="1" ht="15.95" customHeight="1" x14ac:dyDescent="0.2">
      <c r="A28" s="118" t="s">
        <v>306</v>
      </c>
      <c r="B28" s="589" t="s">
        <v>308</v>
      </c>
      <c r="C28" s="590">
        <v>43039</v>
      </c>
      <c r="D28" s="590">
        <f>DATE(YEAR(C28),MONTH(C28)+12,DAY(C28))</f>
        <v>43404</v>
      </c>
      <c r="E28" s="590">
        <v>43355</v>
      </c>
      <c r="F28" s="172">
        <v>43355</v>
      </c>
      <c r="G28" s="1049">
        <v>44499</v>
      </c>
      <c r="H28" s="590"/>
      <c r="I28" s="592">
        <v>462500</v>
      </c>
      <c r="J28" s="592"/>
      <c r="K28" s="592"/>
      <c r="L28" s="593"/>
      <c r="M28" s="590"/>
      <c r="N28" s="594">
        <f>SUM(N29:N33)</f>
        <v>165436.25</v>
      </c>
      <c r="O28" s="595"/>
      <c r="P28" s="596"/>
      <c r="Q28" s="597">
        <f>SUM(Q29:Q33)</f>
        <v>89771.249999999971</v>
      </c>
      <c r="R28" s="597">
        <f>SUM(R29:R33)</f>
        <v>207292.50000000003</v>
      </c>
      <c r="S28" s="597"/>
      <c r="T28" s="568">
        <f>I28-(N28+Q28+R28)</f>
        <v>0</v>
      </c>
    </row>
    <row r="29" spans="1:20" s="569" customFormat="1" ht="15.95" customHeight="1" outlineLevel="1" x14ac:dyDescent="0.2">
      <c r="A29" s="46" t="s">
        <v>306</v>
      </c>
      <c r="B29" s="691"/>
      <c r="C29" s="692"/>
      <c r="D29" s="692"/>
      <c r="E29" s="692"/>
      <c r="F29" s="177"/>
      <c r="G29" s="578" t="s">
        <v>257</v>
      </c>
      <c r="H29" s="692"/>
      <c r="I29" s="996"/>
      <c r="J29" s="997">
        <v>0.2</v>
      </c>
      <c r="K29" s="573">
        <f>+I28*J29</f>
        <v>92500</v>
      </c>
      <c r="L29" s="215">
        <v>1</v>
      </c>
      <c r="M29" s="571">
        <v>43370</v>
      </c>
      <c r="N29" s="574">
        <v>92500</v>
      </c>
      <c r="O29" s="606">
        <v>43420</v>
      </c>
      <c r="P29" s="714"/>
      <c r="Q29" s="576" t="str">
        <f>IF(N29="en attente",K29,"")</f>
        <v/>
      </c>
      <c r="R29" s="576">
        <f t="shared" ref="R29:R31" si="5">IF(M29="",K29-N29,0)</f>
        <v>0</v>
      </c>
      <c r="S29" s="715"/>
      <c r="T29" s="568"/>
    </row>
    <row r="30" spans="1:20" s="569" customFormat="1" ht="15.95" customHeight="1" outlineLevel="1" x14ac:dyDescent="0.2">
      <c r="A30" s="46" t="s">
        <v>306</v>
      </c>
      <c r="B30" s="691"/>
      <c r="C30" s="692"/>
      <c r="D30" s="692"/>
      <c r="E30" s="692"/>
      <c r="F30" s="177"/>
      <c r="G30" s="692"/>
      <c r="H30" s="692"/>
      <c r="I30" s="996"/>
      <c r="J30" s="997">
        <v>0.35770000000000002</v>
      </c>
      <c r="K30" s="573">
        <f>+I28*J30-K29</f>
        <v>72936.25</v>
      </c>
      <c r="L30" s="215">
        <v>2</v>
      </c>
      <c r="M30" s="571">
        <v>43601</v>
      </c>
      <c r="N30" s="574">
        <v>72936.25</v>
      </c>
      <c r="O30" s="606">
        <v>43628</v>
      </c>
      <c r="P30" s="714"/>
      <c r="Q30" s="576" t="str">
        <f t="shared" ref="Q30:Q32" si="6">IF(N30="en attente",K30,"")</f>
        <v/>
      </c>
      <c r="R30" s="576">
        <f t="shared" si="5"/>
        <v>0</v>
      </c>
      <c r="S30" s="715"/>
      <c r="T30" s="568"/>
    </row>
    <row r="31" spans="1:20" s="569" customFormat="1" ht="15.95" customHeight="1" outlineLevel="1" x14ac:dyDescent="0.2">
      <c r="A31" s="46" t="s">
        <v>306</v>
      </c>
      <c r="B31" s="691"/>
      <c r="C31" s="692"/>
      <c r="D31" s="692"/>
      <c r="E31" s="692"/>
      <c r="F31" s="177"/>
      <c r="G31" s="692"/>
      <c r="H31" s="692"/>
      <c r="I31" s="996"/>
      <c r="J31" s="997">
        <v>0.55179999999999996</v>
      </c>
      <c r="K31" s="573">
        <f>I28*J31-K29-K30</f>
        <v>89771.249999999971</v>
      </c>
      <c r="L31" s="215">
        <v>3</v>
      </c>
      <c r="M31" s="571">
        <v>43662</v>
      </c>
      <c r="N31" s="1003" t="s">
        <v>259</v>
      </c>
      <c r="O31" s="606"/>
      <c r="P31" s="714"/>
      <c r="Q31" s="576">
        <f t="shared" si="6"/>
        <v>89771.249999999971</v>
      </c>
      <c r="R31" s="576">
        <f t="shared" si="5"/>
        <v>0</v>
      </c>
      <c r="S31" s="715"/>
      <c r="T31" s="568"/>
    </row>
    <row r="32" spans="1:20" s="569" customFormat="1" ht="15.95" customHeight="1" outlineLevel="1" x14ac:dyDescent="0.2">
      <c r="A32" s="46" t="s">
        <v>306</v>
      </c>
      <c r="B32" s="691"/>
      <c r="C32" s="692"/>
      <c r="D32" s="692"/>
      <c r="E32" s="692"/>
      <c r="F32" s="177"/>
      <c r="G32" s="692"/>
      <c r="H32" s="692"/>
      <c r="I32" s="996"/>
      <c r="J32" s="997">
        <v>0.8</v>
      </c>
      <c r="K32" s="573">
        <f>+I28*J32-K29-K30-K31</f>
        <v>114792.50000000003</v>
      </c>
      <c r="L32" s="215">
        <v>4</v>
      </c>
      <c r="M32" s="692"/>
      <c r="N32" s="693"/>
      <c r="O32" s="713"/>
      <c r="P32" s="714"/>
      <c r="Q32" s="576" t="str">
        <f t="shared" si="6"/>
        <v/>
      </c>
      <c r="R32" s="576">
        <f>IF(M32="",K32-N32,0)</f>
        <v>114792.50000000003</v>
      </c>
      <c r="S32" s="715"/>
      <c r="T32" s="568"/>
    </row>
    <row r="33" spans="1:20" s="569" customFormat="1" ht="15.95" customHeight="1" outlineLevel="1" x14ac:dyDescent="0.2">
      <c r="A33" s="46" t="s">
        <v>306</v>
      </c>
      <c r="B33" s="691"/>
      <c r="C33" s="692"/>
      <c r="D33" s="692"/>
      <c r="E33" s="692"/>
      <c r="F33" s="177"/>
      <c r="G33" s="692"/>
      <c r="H33" s="692"/>
      <c r="I33" s="996"/>
      <c r="J33" s="997">
        <v>1</v>
      </c>
      <c r="K33" s="573">
        <f>+I28-K29-K32-K30-K31</f>
        <v>92500</v>
      </c>
      <c r="L33" s="215">
        <v>5</v>
      </c>
      <c r="M33" s="692"/>
      <c r="N33" s="693"/>
      <c r="O33" s="713"/>
      <c r="P33" s="714"/>
      <c r="Q33" s="576" t="str">
        <f t="shared" ref="Q33" si="7">IF(N33="en attente",K33,"")</f>
        <v/>
      </c>
      <c r="R33" s="576">
        <f>IF(M33="",K33-N33,0)</f>
        <v>92500</v>
      </c>
      <c r="S33" s="715"/>
      <c r="T33" s="568"/>
    </row>
    <row r="34" spans="1:20" s="569" customFormat="1" ht="15.95" customHeight="1" x14ac:dyDescent="0.2">
      <c r="A34" s="118" t="s">
        <v>307</v>
      </c>
      <c r="B34" s="589" t="s">
        <v>309</v>
      </c>
      <c r="C34" s="705">
        <v>43039</v>
      </c>
      <c r="D34" s="595">
        <f>DATE(YEAR(C34),MONTH(C34)+12,DAY(C34))</f>
        <v>43404</v>
      </c>
      <c r="E34" s="590">
        <v>43388</v>
      </c>
      <c r="F34" s="590">
        <v>43441</v>
      </c>
      <c r="G34" s="1061">
        <v>44499</v>
      </c>
      <c r="H34" s="590"/>
      <c r="I34" s="592">
        <v>401760</v>
      </c>
      <c r="J34" s="592"/>
      <c r="K34" s="592"/>
      <c r="L34" s="593"/>
      <c r="M34" s="590"/>
      <c r="N34" s="594">
        <f>SUM(N35:N38)</f>
        <v>80352</v>
      </c>
      <c r="O34" s="595"/>
      <c r="P34" s="596"/>
      <c r="Q34" s="597">
        <f>SUM(Q35:Q38)</f>
        <v>41702.688000000009</v>
      </c>
      <c r="R34" s="597">
        <f>SUM(R35:R38)</f>
        <v>279705.31199999998</v>
      </c>
      <c r="S34" s="597"/>
      <c r="T34" s="568">
        <f>I34-(N34+Q34+R34)</f>
        <v>0</v>
      </c>
    </row>
    <row r="35" spans="1:20" s="569" customFormat="1" ht="15.95" customHeight="1" outlineLevel="1" x14ac:dyDescent="0.2">
      <c r="A35" s="46" t="s">
        <v>307</v>
      </c>
      <c r="B35" s="691"/>
      <c r="C35" s="718"/>
      <c r="D35" s="713"/>
      <c r="E35" s="692"/>
      <c r="F35" s="622"/>
      <c r="G35" s="578" t="s">
        <v>257</v>
      </c>
      <c r="H35" s="692"/>
      <c r="I35" s="996"/>
      <c r="J35" s="997">
        <v>0.2</v>
      </c>
      <c r="K35" s="573">
        <f>I34*J35</f>
        <v>80352</v>
      </c>
      <c r="L35" s="215">
        <v>1</v>
      </c>
      <c r="M35" s="571">
        <v>43391</v>
      </c>
      <c r="N35" s="574">
        <v>80352</v>
      </c>
      <c r="O35" s="606">
        <v>43448</v>
      </c>
      <c r="P35" s="714"/>
      <c r="Q35" s="576" t="str">
        <f>IF(N35="en attente",K35,"")</f>
        <v/>
      </c>
      <c r="R35" s="576">
        <f>IF(M35="",K35-N35,0)</f>
        <v>0</v>
      </c>
      <c r="S35" s="715"/>
      <c r="T35" s="568"/>
    </row>
    <row r="36" spans="1:20" s="569" customFormat="1" ht="15.95" customHeight="1" outlineLevel="1" x14ac:dyDescent="0.2">
      <c r="A36" s="46" t="s">
        <v>307</v>
      </c>
      <c r="B36" s="691"/>
      <c r="C36" s="718"/>
      <c r="D36" s="713"/>
      <c r="E36" s="692"/>
      <c r="F36" s="622"/>
      <c r="G36" s="1050"/>
      <c r="H36" s="692"/>
      <c r="I36" s="996"/>
      <c r="J36" s="997">
        <v>0.30380000000000001</v>
      </c>
      <c r="K36" s="573">
        <f>I34*J36-K35</f>
        <v>41702.688000000009</v>
      </c>
      <c r="L36" s="215">
        <v>2</v>
      </c>
      <c r="M36" s="1060">
        <v>43662</v>
      </c>
      <c r="N36" s="1003" t="s">
        <v>259</v>
      </c>
      <c r="O36" s="606"/>
      <c r="P36" s="714"/>
      <c r="Q36" s="576">
        <f t="shared" ref="Q36:Q37" si="8">IF(N36="en attente",K36,"")</f>
        <v>41702.688000000009</v>
      </c>
      <c r="R36" s="576">
        <f>IF(M36="",K36-N36,0)</f>
        <v>0</v>
      </c>
      <c r="S36" s="715"/>
      <c r="T36" s="568"/>
    </row>
    <row r="37" spans="1:20" s="569" customFormat="1" ht="15.95" customHeight="1" outlineLevel="1" x14ac:dyDescent="0.2">
      <c r="A37" s="46" t="s">
        <v>307</v>
      </c>
      <c r="B37" s="691"/>
      <c r="C37" s="718"/>
      <c r="D37" s="713"/>
      <c r="E37" s="692"/>
      <c r="F37" s="622"/>
      <c r="G37" s="713"/>
      <c r="H37" s="692"/>
      <c r="I37" s="996"/>
      <c r="J37" s="997">
        <v>0.8</v>
      </c>
      <c r="K37" s="573">
        <f>I34*J37-K35-K36</f>
        <v>199353.31199999998</v>
      </c>
      <c r="L37" s="215">
        <v>3</v>
      </c>
      <c r="M37" s="692"/>
      <c r="N37" s="693"/>
      <c r="O37" s="713"/>
      <c r="P37" s="714"/>
      <c r="Q37" s="576" t="str">
        <f t="shared" si="8"/>
        <v/>
      </c>
      <c r="R37" s="576">
        <f>IF(M37="",K37-N37,0)</f>
        <v>199353.31199999998</v>
      </c>
      <c r="S37" s="715"/>
      <c r="T37" s="568"/>
    </row>
    <row r="38" spans="1:20" s="218" customFormat="1" ht="15.95" customHeight="1" outlineLevel="1" x14ac:dyDescent="0.2">
      <c r="A38" s="46" t="s">
        <v>307</v>
      </c>
      <c r="B38" s="570"/>
      <c r="C38" s="706"/>
      <c r="D38" s="707"/>
      <c r="E38" s="716"/>
      <c r="F38" s="542"/>
      <c r="G38" s="707"/>
      <c r="H38" s="571"/>
      <c r="I38" s="994"/>
      <c r="J38" s="997">
        <v>1</v>
      </c>
      <c r="K38" s="573">
        <f>I34-K35-K37-K36</f>
        <v>80352.000000000015</v>
      </c>
      <c r="L38" s="215">
        <v>4</v>
      </c>
      <c r="M38" s="571"/>
      <c r="N38" s="574"/>
      <c r="O38" s="606"/>
      <c r="P38" s="575"/>
      <c r="Q38" s="576" t="str">
        <f t="shared" ref="Q38" si="9">IF(N38="en attente",K38,"")</f>
        <v/>
      </c>
      <c r="R38" s="576">
        <f>IF(M38="",K38-N38,0)</f>
        <v>80352.000000000015</v>
      </c>
      <c r="S38" s="576"/>
      <c r="T38" s="568"/>
    </row>
    <row r="39" spans="1:20" s="569" customFormat="1" ht="15.95" customHeight="1" x14ac:dyDescent="0.2">
      <c r="A39" s="118" t="s">
        <v>339</v>
      </c>
      <c r="B39" s="589" t="s">
        <v>340</v>
      </c>
      <c r="C39" s="705">
        <v>43334</v>
      </c>
      <c r="D39" s="595">
        <f>DATE(YEAR(C39),MONTH(C39)+12,DAY(C39))</f>
        <v>43699</v>
      </c>
      <c r="E39" s="590">
        <v>43545</v>
      </c>
      <c r="F39" s="708">
        <v>43668</v>
      </c>
      <c r="G39" s="595">
        <f>DATE(YEAR(C39)+2,MONTH(C39),DAY(C39))</f>
        <v>44065</v>
      </c>
      <c r="H39" s="590"/>
      <c r="I39" s="592">
        <f>524564.45+131141.11</f>
        <v>655705.55999999994</v>
      </c>
      <c r="J39" s="592"/>
      <c r="K39" s="592"/>
      <c r="L39" s="593"/>
      <c r="M39" s="590"/>
      <c r="N39" s="594">
        <f>SUM(N40)</f>
        <v>0</v>
      </c>
      <c r="O39" s="595"/>
      <c r="P39" s="596"/>
      <c r="Q39" s="597">
        <f>SUM(Q40:Q42)</f>
        <v>131141.11199999999</v>
      </c>
      <c r="R39" s="597">
        <f>SUM(R40:R42)</f>
        <v>524564.44799999997</v>
      </c>
      <c r="S39" s="597"/>
      <c r="T39" s="568">
        <f t="shared" ref="T39" si="10">I39-(N39+Q39+R39)</f>
        <v>0</v>
      </c>
    </row>
    <row r="40" spans="1:20" s="569" customFormat="1" ht="15.95" customHeight="1" outlineLevel="1" x14ac:dyDescent="0.2">
      <c r="A40" s="46" t="s">
        <v>339</v>
      </c>
      <c r="B40" s="691"/>
      <c r="C40" s="718"/>
      <c r="D40" s="831"/>
      <c r="E40" s="692"/>
      <c r="F40" s="622"/>
      <c r="G40" s="713"/>
      <c r="H40" s="692"/>
      <c r="I40" s="996"/>
      <c r="J40" s="997">
        <v>0.2</v>
      </c>
      <c r="K40" s="573">
        <f>I39*J40</f>
        <v>131141.11199999999</v>
      </c>
      <c r="L40" s="215">
        <v>1</v>
      </c>
      <c r="M40" s="571">
        <v>43634</v>
      </c>
      <c r="N40" s="1003" t="s">
        <v>259</v>
      </c>
      <c r="O40" s="606"/>
      <c r="P40" s="1047" t="s">
        <v>422</v>
      </c>
      <c r="Q40" s="576">
        <f t="shared" ref="Q40:Q42" si="11">IF(N40="en attente",K40,"")</f>
        <v>131141.11199999999</v>
      </c>
      <c r="R40" s="576">
        <f>IF(M40="",K40-N40,0)</f>
        <v>0</v>
      </c>
      <c r="S40" s="715"/>
      <c r="T40" s="568"/>
    </row>
    <row r="41" spans="1:20" s="569" customFormat="1" ht="15.95" customHeight="1" outlineLevel="1" x14ac:dyDescent="0.2">
      <c r="A41" s="46" t="s">
        <v>339</v>
      </c>
      <c r="B41" s="691"/>
      <c r="C41" s="718"/>
      <c r="D41" s="713"/>
      <c r="E41" s="692"/>
      <c r="F41" s="622"/>
      <c r="G41" s="713"/>
      <c r="H41" s="692"/>
      <c r="I41" s="996"/>
      <c r="J41" s="997">
        <v>0.8</v>
      </c>
      <c r="K41" s="573">
        <f>I39*J41-K40</f>
        <v>393423.33600000001</v>
      </c>
      <c r="L41" s="215">
        <v>2</v>
      </c>
      <c r="M41" s="692"/>
      <c r="N41" s="693"/>
      <c r="O41" s="713"/>
      <c r="P41" s="714"/>
      <c r="Q41" s="576" t="str">
        <f>IF(N41="en attente",K41,"")</f>
        <v/>
      </c>
      <c r="R41" s="576">
        <f t="shared" ref="R41:R42" si="12">IF(M41="",K41-N41,0)</f>
        <v>393423.33600000001</v>
      </c>
      <c r="S41" s="715"/>
      <c r="T41" s="568"/>
    </row>
    <row r="42" spans="1:20" s="218" customFormat="1" ht="15.95" customHeight="1" outlineLevel="1" x14ac:dyDescent="0.2">
      <c r="A42" s="117" t="s">
        <v>339</v>
      </c>
      <c r="B42" s="579"/>
      <c r="C42" s="754"/>
      <c r="D42" s="707"/>
      <c r="E42" s="755"/>
      <c r="F42" s="558"/>
      <c r="G42" s="707"/>
      <c r="H42" s="581"/>
      <c r="I42" s="994"/>
      <c r="J42" s="998">
        <v>1</v>
      </c>
      <c r="K42" s="583">
        <f>I39-K40-K41</f>
        <v>131141.11199999996</v>
      </c>
      <c r="L42" s="560">
        <v>3</v>
      </c>
      <c r="M42" s="581"/>
      <c r="N42" s="584"/>
      <c r="O42" s="585"/>
      <c r="P42" s="586"/>
      <c r="Q42" s="576" t="str">
        <f t="shared" si="11"/>
        <v/>
      </c>
      <c r="R42" s="576">
        <f t="shared" si="12"/>
        <v>131141.11199999996</v>
      </c>
      <c r="S42" s="587"/>
      <c r="T42" s="568"/>
    </row>
    <row r="43" spans="1:20" s="569" customFormat="1" ht="15.95" customHeight="1" x14ac:dyDescent="0.2">
      <c r="A43" s="118" t="s">
        <v>354</v>
      </c>
      <c r="B43" s="589" t="s">
        <v>355</v>
      </c>
      <c r="C43" s="705">
        <v>43335</v>
      </c>
      <c r="D43" s="595">
        <f>DATE(YEAR(C43),MONTH(C43)+12,DAY(C43))</f>
        <v>43700</v>
      </c>
      <c r="E43" s="590">
        <v>43545</v>
      </c>
      <c r="F43" s="708">
        <v>43647</v>
      </c>
      <c r="G43" s="595">
        <f>DATE(YEAR(C43)+2,MONTH(C43),DAY(C43))</f>
        <v>44066</v>
      </c>
      <c r="H43" s="590"/>
      <c r="I43" s="592">
        <v>136000</v>
      </c>
      <c r="J43" s="592"/>
      <c r="K43" s="592"/>
      <c r="L43" s="593"/>
      <c r="M43" s="590"/>
      <c r="N43" s="594">
        <f>SUM(N44:N46)</f>
        <v>0</v>
      </c>
      <c r="O43" s="595"/>
      <c r="P43" s="596"/>
      <c r="Q43" s="597">
        <f>SUM(Q44:Q46)</f>
        <v>27200</v>
      </c>
      <c r="R43" s="597">
        <f>SUM(R44:R46)</f>
        <v>108800</v>
      </c>
      <c r="S43" s="597"/>
      <c r="T43" s="568">
        <f>I43-(N43+Q43+R43)</f>
        <v>0</v>
      </c>
    </row>
    <row r="44" spans="1:20" s="569" customFormat="1" ht="15.95" customHeight="1" outlineLevel="1" x14ac:dyDescent="0.2">
      <c r="A44" s="46" t="s">
        <v>354</v>
      </c>
      <c r="B44" s="691"/>
      <c r="C44" s="718"/>
      <c r="D44" s="831"/>
      <c r="E44" s="692"/>
      <c r="F44" s="622"/>
      <c r="G44" s="713"/>
      <c r="H44" s="692"/>
      <c r="I44" s="996"/>
      <c r="J44" s="997">
        <v>0.2</v>
      </c>
      <c r="K44" s="573">
        <f>I43*J44</f>
        <v>27200</v>
      </c>
      <c r="L44" s="215">
        <v>1</v>
      </c>
      <c r="M44" s="571">
        <v>43634</v>
      </c>
      <c r="N44" s="1003" t="s">
        <v>259</v>
      </c>
      <c r="O44" s="606"/>
      <c r="P44" s="714"/>
      <c r="Q44" s="576">
        <f>IF(N44="en attente",K44,"")</f>
        <v>27200</v>
      </c>
      <c r="R44" s="576">
        <f>IF(M44="",K44-N44,0)</f>
        <v>0</v>
      </c>
      <c r="S44" s="715"/>
      <c r="T44" s="568"/>
    </row>
    <row r="45" spans="1:20" s="569" customFormat="1" ht="15.95" customHeight="1" outlineLevel="1" x14ac:dyDescent="0.2">
      <c r="A45" s="46" t="s">
        <v>354</v>
      </c>
      <c r="B45" s="691"/>
      <c r="C45" s="718"/>
      <c r="D45" s="713"/>
      <c r="E45" s="692"/>
      <c r="F45" s="622"/>
      <c r="G45" s="713"/>
      <c r="H45" s="692"/>
      <c r="I45" s="996"/>
      <c r="J45" s="997">
        <v>0.8</v>
      </c>
      <c r="K45" s="573">
        <f>I43*J45-K44</f>
        <v>81600</v>
      </c>
      <c r="L45" s="215">
        <v>2</v>
      </c>
      <c r="M45" s="692"/>
      <c r="N45" s="693"/>
      <c r="O45" s="713"/>
      <c r="P45" s="714"/>
      <c r="Q45" s="576" t="str">
        <f>IF(N45="en attente",K45,"")</f>
        <v/>
      </c>
      <c r="R45" s="576">
        <f>IF(M45="",K45-N45,0)</f>
        <v>81600</v>
      </c>
      <c r="S45" s="715"/>
      <c r="T45" s="568"/>
    </row>
    <row r="46" spans="1:20" s="218" customFormat="1" ht="15.95" customHeight="1" outlineLevel="1" x14ac:dyDescent="0.2">
      <c r="A46" s="117" t="s">
        <v>354</v>
      </c>
      <c r="B46" s="579"/>
      <c r="C46" s="754"/>
      <c r="D46" s="707"/>
      <c r="E46" s="755"/>
      <c r="F46" s="558"/>
      <c r="G46" s="707"/>
      <c r="H46" s="581"/>
      <c r="I46" s="994"/>
      <c r="J46" s="998">
        <v>1</v>
      </c>
      <c r="K46" s="583">
        <f>I43-K44-K45</f>
        <v>27200</v>
      </c>
      <c r="L46" s="560">
        <v>3</v>
      </c>
      <c r="M46" s="581"/>
      <c r="N46" s="584"/>
      <c r="O46" s="585"/>
      <c r="P46" s="586"/>
      <c r="Q46" s="576" t="str">
        <f>IF(N46="en attente",K46,"")</f>
        <v/>
      </c>
      <c r="R46" s="587">
        <f>IF(M46="",K46-N46,0)</f>
        <v>27200</v>
      </c>
      <c r="S46" s="587"/>
      <c r="T46" s="568"/>
    </row>
    <row r="47" spans="1:20" s="569" customFormat="1" ht="15.95" customHeight="1" x14ac:dyDescent="0.2">
      <c r="A47" s="118" t="s">
        <v>373</v>
      </c>
      <c r="B47" s="589" t="s">
        <v>356</v>
      </c>
      <c r="C47" s="705">
        <v>43335</v>
      </c>
      <c r="D47" s="595">
        <f>DATE(YEAR(C47),MONTH(C47)+12,DAY(C47))</f>
        <v>43700</v>
      </c>
      <c r="E47" s="590">
        <v>43545</v>
      </c>
      <c r="F47" s="708"/>
      <c r="G47" s="595">
        <f>DATE(YEAR(C47)+2,MONTH(C47),DAY(C47))</f>
        <v>44066</v>
      </c>
      <c r="H47" s="590"/>
      <c r="I47" s="592">
        <v>150000</v>
      </c>
      <c r="J47" s="592"/>
      <c r="K47" s="592"/>
      <c r="L47" s="593"/>
      <c r="M47" s="590"/>
      <c r="N47" s="594">
        <f>SUM(N48:N50)</f>
        <v>0</v>
      </c>
      <c r="O47" s="595"/>
      <c r="P47" s="596"/>
      <c r="Q47" s="597">
        <f>SUM(Q48:Q50)</f>
        <v>30000</v>
      </c>
      <c r="R47" s="597">
        <f>SUM(R48:R50)</f>
        <v>120000</v>
      </c>
      <c r="S47" s="597"/>
      <c r="T47" s="568">
        <f>I47-(N47+Q47+R47)</f>
        <v>0</v>
      </c>
    </row>
    <row r="48" spans="1:20" s="569" customFormat="1" ht="15.95" customHeight="1" outlineLevel="1" x14ac:dyDescent="0.2">
      <c r="A48" s="46" t="s">
        <v>373</v>
      </c>
      <c r="B48" s="691"/>
      <c r="C48" s="718"/>
      <c r="D48" s="831"/>
      <c r="E48" s="692"/>
      <c r="F48" s="622"/>
      <c r="G48" s="713"/>
      <c r="H48" s="692"/>
      <c r="I48" s="996"/>
      <c r="J48" s="997">
        <v>0.2</v>
      </c>
      <c r="K48" s="573">
        <f>I47*J48</f>
        <v>30000</v>
      </c>
      <c r="L48" s="215">
        <v>1</v>
      </c>
      <c r="M48" s="571">
        <v>43634</v>
      </c>
      <c r="N48" s="1003" t="s">
        <v>259</v>
      </c>
      <c r="O48" s="606"/>
      <c r="P48" s="714"/>
      <c r="Q48" s="576">
        <f>IF(N48="en attente",K48,"")</f>
        <v>30000</v>
      </c>
      <c r="R48" s="576">
        <f>IF(M48="",K48-N48,0)</f>
        <v>0</v>
      </c>
      <c r="S48" s="715"/>
      <c r="T48" s="568"/>
    </row>
    <row r="49" spans="1:20" s="569" customFormat="1" ht="15.95" customHeight="1" outlineLevel="1" x14ac:dyDescent="0.2">
      <c r="A49" s="46" t="s">
        <v>373</v>
      </c>
      <c r="B49" s="691"/>
      <c r="C49" s="718"/>
      <c r="D49" s="713"/>
      <c r="E49" s="692"/>
      <c r="F49" s="622"/>
      <c r="G49" s="713"/>
      <c r="H49" s="692"/>
      <c r="I49" s="996"/>
      <c r="J49" s="997">
        <v>0.8</v>
      </c>
      <c r="K49" s="573">
        <f>I47*J49-K48</f>
        <v>90000</v>
      </c>
      <c r="L49" s="215">
        <v>2</v>
      </c>
      <c r="M49" s="692"/>
      <c r="N49" s="693"/>
      <c r="O49" s="713"/>
      <c r="P49" s="714"/>
      <c r="Q49" s="576" t="str">
        <f>IF(N49="en attente",K49,"")</f>
        <v/>
      </c>
      <c r="R49" s="576">
        <f>IF(M49="",K49-N49,0)</f>
        <v>90000</v>
      </c>
      <c r="S49" s="715"/>
      <c r="T49" s="568"/>
    </row>
    <row r="50" spans="1:20" s="218" customFormat="1" ht="15.95" customHeight="1" outlineLevel="1" x14ac:dyDescent="0.2">
      <c r="A50" s="117" t="s">
        <v>373</v>
      </c>
      <c r="B50" s="579"/>
      <c r="C50" s="754"/>
      <c r="D50" s="707"/>
      <c r="E50" s="755"/>
      <c r="F50" s="558"/>
      <c r="G50" s="707"/>
      <c r="H50" s="581"/>
      <c r="I50" s="994"/>
      <c r="J50" s="998">
        <v>1</v>
      </c>
      <c r="K50" s="583">
        <f>I47-K48-K49</f>
        <v>30000</v>
      </c>
      <c r="L50" s="560">
        <v>3</v>
      </c>
      <c r="M50" s="581"/>
      <c r="N50" s="584"/>
      <c r="O50" s="585"/>
      <c r="P50" s="586"/>
      <c r="Q50" s="576" t="str">
        <f>IF(N50="en attente",K50,"")</f>
        <v/>
      </c>
      <c r="R50" s="587">
        <f>IF(M50="",K50-N50,0)</f>
        <v>30000</v>
      </c>
      <c r="S50" s="587"/>
      <c r="T50" s="568"/>
    </row>
    <row r="51" spans="1:20" s="569" customFormat="1" ht="15.95" customHeight="1" x14ac:dyDescent="0.2">
      <c r="A51" s="118" t="s">
        <v>357</v>
      </c>
      <c r="B51" s="589" t="s">
        <v>358</v>
      </c>
      <c r="C51" s="705">
        <v>43335</v>
      </c>
      <c r="D51" s="595">
        <f>DATE(YEAR(C51),MONTH(C51)+12,DAY(C51))</f>
        <v>43700</v>
      </c>
      <c r="E51" s="590">
        <v>43545</v>
      </c>
      <c r="F51" s="708">
        <v>43665</v>
      </c>
      <c r="G51" s="595">
        <f>DATE(YEAR(C51)+2,MONTH(C51),DAY(C51))</f>
        <v>44066</v>
      </c>
      <c r="H51" s="590"/>
      <c r="I51" s="592">
        <v>115000</v>
      </c>
      <c r="J51" s="592"/>
      <c r="K51" s="592"/>
      <c r="L51" s="593"/>
      <c r="M51" s="590"/>
      <c r="N51" s="594">
        <f>SUM(N52:N54)</f>
        <v>0</v>
      </c>
      <c r="O51" s="595"/>
      <c r="P51" s="596"/>
      <c r="Q51" s="597">
        <f>SUM(Q52:Q54)</f>
        <v>23000</v>
      </c>
      <c r="R51" s="597">
        <f>SUM(R52:R54)</f>
        <v>92000</v>
      </c>
      <c r="S51" s="597"/>
      <c r="T51" s="568">
        <f>I51-(N51+Q51+R51)</f>
        <v>0</v>
      </c>
    </row>
    <row r="52" spans="1:20" s="569" customFormat="1" ht="15.95" customHeight="1" outlineLevel="1" x14ac:dyDescent="0.2">
      <c r="A52" s="46" t="s">
        <v>357</v>
      </c>
      <c r="B52" s="691"/>
      <c r="C52" s="718"/>
      <c r="D52" s="831"/>
      <c r="E52" s="692"/>
      <c r="F52" s="622"/>
      <c r="G52" s="713"/>
      <c r="H52" s="692"/>
      <c r="I52" s="996"/>
      <c r="J52" s="997">
        <v>0.2</v>
      </c>
      <c r="K52" s="573">
        <f>I51*J52</f>
        <v>23000</v>
      </c>
      <c r="L52" s="215">
        <v>1</v>
      </c>
      <c r="M52" s="571">
        <v>43634</v>
      </c>
      <c r="N52" s="1003" t="s">
        <v>259</v>
      </c>
      <c r="O52" s="606"/>
      <c r="P52" s="714"/>
      <c r="Q52" s="576">
        <f>IF(N52="en attente",K52,"")</f>
        <v>23000</v>
      </c>
      <c r="R52" s="576">
        <f>IF(M52="",K52-N52,0)</f>
        <v>0</v>
      </c>
      <c r="S52" s="715"/>
      <c r="T52" s="568"/>
    </row>
    <row r="53" spans="1:20" s="569" customFormat="1" ht="15.95" customHeight="1" outlineLevel="1" x14ac:dyDescent="0.2">
      <c r="A53" s="46" t="s">
        <v>357</v>
      </c>
      <c r="B53" s="691"/>
      <c r="C53" s="718"/>
      <c r="D53" s="713"/>
      <c r="E53" s="692"/>
      <c r="F53" s="622"/>
      <c r="G53" s="713"/>
      <c r="H53" s="692"/>
      <c r="I53" s="996"/>
      <c r="J53" s="997">
        <v>0.8</v>
      </c>
      <c r="K53" s="573">
        <f>I51*J53-K52</f>
        <v>69000</v>
      </c>
      <c r="L53" s="215">
        <v>2</v>
      </c>
      <c r="M53" s="692"/>
      <c r="N53" s="693"/>
      <c r="O53" s="713"/>
      <c r="P53" s="714"/>
      <c r="Q53" s="576" t="str">
        <f>IF(N53="en attente",K53,"")</f>
        <v/>
      </c>
      <c r="R53" s="576">
        <f>IF(M53="",K53-N53,0)</f>
        <v>69000</v>
      </c>
      <c r="S53" s="715"/>
      <c r="T53" s="568"/>
    </row>
    <row r="54" spans="1:20" s="218" customFormat="1" ht="15.95" customHeight="1" outlineLevel="1" x14ac:dyDescent="0.2">
      <c r="A54" s="117" t="s">
        <v>357</v>
      </c>
      <c r="B54" s="579"/>
      <c r="C54" s="754"/>
      <c r="D54" s="707"/>
      <c r="E54" s="755"/>
      <c r="F54" s="558"/>
      <c r="G54" s="707"/>
      <c r="H54" s="581"/>
      <c r="I54" s="999"/>
      <c r="J54" s="998">
        <v>1</v>
      </c>
      <c r="K54" s="583">
        <f>I51-K52-K53</f>
        <v>23000</v>
      </c>
      <c r="L54" s="560">
        <v>3</v>
      </c>
      <c r="M54" s="581"/>
      <c r="N54" s="584"/>
      <c r="O54" s="585"/>
      <c r="P54" s="586"/>
      <c r="Q54" s="709" t="str">
        <f>IF(N54="en attente",K54,"")</f>
        <v/>
      </c>
      <c r="R54" s="587">
        <f>IF(M54="",K54-N54,0)</f>
        <v>23000</v>
      </c>
      <c r="S54" s="587"/>
      <c r="T54" s="568"/>
    </row>
    <row r="55" spans="1:20" s="218" customFormat="1" ht="15.95" customHeight="1" x14ac:dyDescent="0.2">
      <c r="A55" s="46"/>
      <c r="B55" s="570"/>
      <c r="C55" s="578"/>
      <c r="D55" s="571"/>
      <c r="E55" s="571"/>
      <c r="F55" s="173"/>
      <c r="G55" s="571"/>
      <c r="H55" s="571"/>
      <c r="I55" s="572"/>
      <c r="J55" s="572"/>
      <c r="K55" s="573"/>
      <c r="L55" s="215"/>
      <c r="M55" s="571"/>
      <c r="N55" s="574"/>
      <c r="O55" s="606"/>
      <c r="P55" s="575"/>
      <c r="Q55" s="576"/>
      <c r="R55" s="576"/>
      <c r="S55" s="576"/>
      <c r="T55" s="568"/>
    </row>
    <row r="56" spans="1:20" s="218" customFormat="1" ht="15.95" customHeight="1" x14ac:dyDescent="0.2">
      <c r="A56" s="46"/>
      <c r="B56" s="570"/>
      <c r="C56" s="578"/>
      <c r="D56" s="571"/>
      <c r="E56" s="571"/>
      <c r="F56" s="173"/>
      <c r="G56" s="571"/>
      <c r="H56" s="571"/>
      <c r="I56" s="572"/>
      <c r="J56" s="572"/>
      <c r="K56" s="573"/>
      <c r="L56" s="215"/>
      <c r="M56" s="571"/>
      <c r="N56" s="574"/>
      <c r="O56" s="606"/>
      <c r="P56" s="575"/>
      <c r="Q56" s="575"/>
      <c r="R56" s="575"/>
      <c r="S56" s="576"/>
      <c r="T56" s="568"/>
    </row>
    <row r="57" spans="1:20" s="218" customFormat="1" ht="15.95" customHeight="1" x14ac:dyDescent="0.2">
      <c r="A57" s="117"/>
      <c r="B57" s="579"/>
      <c r="C57" s="580"/>
      <c r="D57" s="581"/>
      <c r="E57" s="581"/>
      <c r="F57" s="174"/>
      <c r="G57" s="581"/>
      <c r="H57" s="581"/>
      <c r="I57" s="582"/>
      <c r="J57" s="582"/>
      <c r="K57" s="583"/>
      <c r="L57" s="560"/>
      <c r="M57" s="581"/>
      <c r="N57" s="584"/>
      <c r="O57" s="585"/>
      <c r="P57" s="586"/>
      <c r="Q57" s="587"/>
      <c r="R57" s="587"/>
      <c r="S57" s="587"/>
      <c r="T57" s="568"/>
    </row>
    <row r="58" spans="1:20" s="8" customFormat="1" x14ac:dyDescent="0.2">
      <c r="A58" s="48"/>
      <c r="B58" s="48"/>
      <c r="C58" s="48"/>
      <c r="D58" s="48"/>
      <c r="E58" s="48"/>
      <c r="F58" s="178"/>
      <c r="G58" s="48"/>
      <c r="H58" s="48"/>
      <c r="I58" s="41">
        <f>I6+I17+I11+I22+I28+I34+I39+I43+I47+I51</f>
        <v>2278655.56</v>
      </c>
      <c r="J58" s="41"/>
      <c r="K58" s="41">
        <f>SUMPRODUCT((DateAF_LBU_rehab&lt;&gt;"")*(MontantAF_LBU_rehab))</f>
        <v>770305.17299999995</v>
      </c>
      <c r="L58" s="49"/>
      <c r="M58" s="50"/>
      <c r="N58" s="41">
        <f>N6+N11+N17+N22+N28+N34+N39+N43+N47+N51</f>
        <v>356795.77</v>
      </c>
      <c r="O58" s="85"/>
      <c r="P58" s="78"/>
      <c r="Q58" s="81">
        <f>Q6+Q17+Q11+Q22+Q28+Q34+Q39+Q43+Q47+Q51</f>
        <v>413509.40099999995</v>
      </c>
      <c r="R58" s="81">
        <f>R6+R17+R11+R22+R28+R34+R39+R43+R47+R51</f>
        <v>1508350.3870000001</v>
      </c>
      <c r="S58" s="81"/>
      <c r="T58" s="165">
        <f>I58-(N58+Q58+R58)</f>
        <v>1.999999862164259E-3</v>
      </c>
    </row>
    <row r="59" spans="1:20" x14ac:dyDescent="0.2">
      <c r="A59" s="74"/>
      <c r="B59" s="75"/>
      <c r="C59" s="75"/>
      <c r="D59" s="75"/>
      <c r="E59" s="75"/>
      <c r="F59" s="179"/>
      <c r="G59" s="75"/>
      <c r="H59" s="75"/>
      <c r="I59" s="75"/>
      <c r="J59" s="75"/>
      <c r="K59" s="75"/>
      <c r="L59" s="74"/>
      <c r="M59" s="75"/>
      <c r="N59" s="75"/>
      <c r="O59" s="86"/>
      <c r="P59" s="79"/>
      <c r="Q59" s="1064">
        <f>SUM(Q58:R58)</f>
        <v>1921859.7880000002</v>
      </c>
      <c r="R59" s="1065"/>
    </row>
    <row r="60" spans="1:20" x14ac:dyDescent="0.2">
      <c r="K60" s="588"/>
    </row>
    <row r="61" spans="1:20" ht="12.75" thickBot="1" x14ac:dyDescent="0.25"/>
    <row r="62" spans="1:20" x14ac:dyDescent="0.2">
      <c r="K62" s="732" t="s">
        <v>192</v>
      </c>
      <c r="L62" s="899"/>
      <c r="M62" s="900"/>
      <c r="N62" s="735" t="s">
        <v>194</v>
      </c>
    </row>
    <row r="63" spans="1:20" ht="12.75" thickBot="1" x14ac:dyDescent="0.25">
      <c r="I63" s="1">
        <v>2018</v>
      </c>
      <c r="K63" s="736">
        <f>SUMPRODUCT((YEAR($I$69:$I$85)=I63)*$K$69:$K$85)</f>
        <v>244390</v>
      </c>
      <c r="L63" s="901"/>
      <c r="M63" s="902"/>
      <c r="N63" s="737">
        <f>SUMPRODUCT((YEAR($I$69:$I$85)=I63)*$N$69:$N$85)</f>
        <v>244390</v>
      </c>
    </row>
    <row r="64" spans="1:20" ht="12.75" thickBot="1" x14ac:dyDescent="0.25">
      <c r="I64" s="896">
        <v>2019</v>
      </c>
      <c r="J64" s="750"/>
      <c r="K64" s="897">
        <f>SUMPRODUCT((YEAR($I$69:$I$85)=I64)*$K$69:$K$85)</f>
        <v>525915.17299999995</v>
      </c>
      <c r="L64" s="903"/>
      <c r="M64" s="904"/>
      <c r="N64" s="898">
        <f>SUMPRODUCT((YEAR($I$69:$I$85)=I64)*$N$69:$N$85)</f>
        <v>107938.4</v>
      </c>
    </row>
    <row r="65" spans="9:14" ht="12.75" thickBot="1" x14ac:dyDescent="0.25">
      <c r="K65" s="757">
        <f>SUM(K63:K64)</f>
        <v>770305.17299999995</v>
      </c>
      <c r="L65" s="905"/>
      <c r="M65" s="906"/>
      <c r="N65" s="758">
        <f>SUM(N63:N64)</f>
        <v>352328.4</v>
      </c>
    </row>
    <row r="66" spans="9:14" x14ac:dyDescent="0.2">
      <c r="K66" s="90">
        <f>K65-K58</f>
        <v>0</v>
      </c>
      <c r="N66" s="90">
        <f>N65-N58</f>
        <v>-4467.3699999999953</v>
      </c>
    </row>
    <row r="67" spans="9:14" x14ac:dyDescent="0.2">
      <c r="K67" s="90"/>
    </row>
    <row r="68" spans="9:14" x14ac:dyDescent="0.2">
      <c r="K68" s="366" t="s">
        <v>192</v>
      </c>
      <c r="N68" s="367" t="s">
        <v>194</v>
      </c>
    </row>
    <row r="69" spans="9:14" x14ac:dyDescent="0.2">
      <c r="I69" s="363">
        <v>43313</v>
      </c>
      <c r="J69" s="363"/>
      <c r="K69" s="364">
        <f t="shared" ref="K69:K85" si="13">SUMPRODUCT((DateAF_LBU_rehab&lt;&gt;"")*(MONTH(DateAF_LBU_rehab)=MONTH(I69))*(YEAR(DateAF_LBU_rehab)=YEAR(I69))*MontantAF_LBU_rehab)</f>
        <v>13104</v>
      </c>
      <c r="N69" s="364">
        <f t="shared" ref="N69:N85" si="14">SUMPRODUCT((DatePmtRehab&lt;&gt;"")*(DatePmtRehab&lt;&gt;"en attente")*(MONTH(DatePmtRehab)=MONTH(I69))*(YEAR(DatePmtRehab)=YEAR(I69))*(ISNUMBER(MontantPayeRehab)),MontantPayeRehab)</f>
        <v>0</v>
      </c>
    </row>
    <row r="70" spans="9:14" x14ac:dyDescent="0.2">
      <c r="I70" s="363">
        <v>43344</v>
      </c>
      <c r="J70" s="363"/>
      <c r="K70" s="364">
        <f t="shared" si="13"/>
        <v>150934</v>
      </c>
      <c r="N70" s="364">
        <f t="shared" si="14"/>
        <v>0</v>
      </c>
    </row>
    <row r="71" spans="9:14" x14ac:dyDescent="0.2">
      <c r="I71" s="363">
        <v>43374</v>
      </c>
      <c r="J71" s="363"/>
      <c r="K71" s="364">
        <f t="shared" si="13"/>
        <v>80352</v>
      </c>
      <c r="N71" s="364">
        <f t="shared" si="14"/>
        <v>13104</v>
      </c>
    </row>
    <row r="72" spans="9:14" x14ac:dyDescent="0.2">
      <c r="I72" s="363">
        <v>43405</v>
      </c>
      <c r="J72" s="363"/>
      <c r="K72" s="364">
        <f t="shared" si="13"/>
        <v>0</v>
      </c>
      <c r="N72" s="364">
        <f t="shared" si="14"/>
        <v>150934</v>
      </c>
    </row>
    <row r="73" spans="9:14" x14ac:dyDescent="0.2">
      <c r="I73" s="363">
        <v>43435</v>
      </c>
      <c r="J73" s="363"/>
      <c r="K73" s="364">
        <f t="shared" si="13"/>
        <v>0</v>
      </c>
      <c r="N73" s="364">
        <f t="shared" si="14"/>
        <v>80352</v>
      </c>
    </row>
    <row r="74" spans="9:14" x14ac:dyDescent="0.2">
      <c r="I74" s="363">
        <v>43466</v>
      </c>
      <c r="J74" s="363"/>
      <c r="K74" s="364">
        <f t="shared" si="13"/>
        <v>0</v>
      </c>
      <c r="N74" s="364">
        <f t="shared" si="14"/>
        <v>0</v>
      </c>
    </row>
    <row r="75" spans="9:14" x14ac:dyDescent="0.2">
      <c r="I75" s="363">
        <v>43497</v>
      </c>
      <c r="J75" s="363"/>
      <c r="K75" s="364">
        <f t="shared" si="13"/>
        <v>0</v>
      </c>
      <c r="N75" s="364">
        <f t="shared" si="14"/>
        <v>0</v>
      </c>
    </row>
    <row r="76" spans="9:14" x14ac:dyDescent="0.2">
      <c r="I76" s="363">
        <v>43525</v>
      </c>
      <c r="J76" s="363"/>
      <c r="K76" s="364">
        <f t="shared" si="13"/>
        <v>0</v>
      </c>
      <c r="N76" s="364">
        <f t="shared" si="14"/>
        <v>0</v>
      </c>
    </row>
    <row r="77" spans="9:14" x14ac:dyDescent="0.2">
      <c r="I77" s="363">
        <v>43556</v>
      </c>
      <c r="J77" s="363"/>
      <c r="K77" s="364">
        <f t="shared" si="13"/>
        <v>0</v>
      </c>
      <c r="N77" s="364">
        <f t="shared" si="14"/>
        <v>0</v>
      </c>
    </row>
    <row r="78" spans="9:14" x14ac:dyDescent="0.2">
      <c r="I78" s="363">
        <v>43586</v>
      </c>
      <c r="J78" s="363"/>
      <c r="K78" s="364">
        <f t="shared" si="13"/>
        <v>112405.772</v>
      </c>
      <c r="N78" s="364">
        <f t="shared" si="14"/>
        <v>0</v>
      </c>
    </row>
    <row r="79" spans="9:14" x14ac:dyDescent="0.2">
      <c r="I79" s="363">
        <v>43617</v>
      </c>
      <c r="J79" s="363"/>
      <c r="K79" s="364">
        <f t="shared" si="13"/>
        <v>211341.11199999999</v>
      </c>
      <c r="N79" s="364">
        <f t="shared" si="14"/>
        <v>107938.4</v>
      </c>
    </row>
    <row r="80" spans="9:14" x14ac:dyDescent="0.2">
      <c r="I80" s="363">
        <v>43647</v>
      </c>
      <c r="J80" s="363"/>
      <c r="K80" s="364">
        <f t="shared" si="13"/>
        <v>202168.28899999999</v>
      </c>
      <c r="N80" s="364">
        <f t="shared" si="14"/>
        <v>0</v>
      </c>
    </row>
    <row r="81" spans="9:15" x14ac:dyDescent="0.2">
      <c r="I81" s="363">
        <v>43678</v>
      </c>
      <c r="J81" s="363"/>
      <c r="K81" s="364">
        <f t="shared" si="13"/>
        <v>0</v>
      </c>
      <c r="N81" s="364">
        <f t="shared" si="14"/>
        <v>0</v>
      </c>
    </row>
    <row r="82" spans="9:15" x14ac:dyDescent="0.2">
      <c r="I82" s="363">
        <v>43709</v>
      </c>
      <c r="J82" s="363"/>
      <c r="K82" s="364">
        <f t="shared" si="13"/>
        <v>0</v>
      </c>
      <c r="N82" s="364">
        <f t="shared" si="14"/>
        <v>0</v>
      </c>
    </row>
    <row r="83" spans="9:15" x14ac:dyDescent="0.2">
      <c r="I83" s="363">
        <v>43739</v>
      </c>
      <c r="J83" s="363"/>
      <c r="K83" s="364">
        <f t="shared" si="13"/>
        <v>0</v>
      </c>
      <c r="N83" s="364">
        <f t="shared" si="14"/>
        <v>0</v>
      </c>
    </row>
    <row r="84" spans="9:15" x14ac:dyDescent="0.2">
      <c r="I84" s="363">
        <v>43770</v>
      </c>
      <c r="J84" s="363"/>
      <c r="K84" s="364">
        <f t="shared" si="13"/>
        <v>0</v>
      </c>
      <c r="N84" s="364">
        <f t="shared" si="14"/>
        <v>0</v>
      </c>
    </row>
    <row r="85" spans="9:15" x14ac:dyDescent="0.2">
      <c r="I85" s="363">
        <v>43800</v>
      </c>
      <c r="J85" s="363"/>
      <c r="K85" s="364">
        <f t="shared" si="13"/>
        <v>0</v>
      </c>
      <c r="N85" s="364">
        <f t="shared" si="14"/>
        <v>0</v>
      </c>
    </row>
    <row r="86" spans="9:15" x14ac:dyDescent="0.2">
      <c r="K86" s="368">
        <f>SUM(K69:K85)</f>
        <v>770305.17299999995</v>
      </c>
      <c r="L86" s="364"/>
      <c r="M86" s="364"/>
      <c r="N86" s="369">
        <f>SUM(N69:N85)</f>
        <v>352328.4</v>
      </c>
      <c r="O86" s="90">
        <f>N86-K86</f>
        <v>-417976.77299999993</v>
      </c>
    </row>
    <row r="87" spans="9:15" x14ac:dyDescent="0.2">
      <c r="K87" s="90">
        <f>K86-K58</f>
        <v>0</v>
      </c>
      <c r="N87" s="90">
        <f>N86-N58</f>
        <v>-4467.3699999999953</v>
      </c>
    </row>
  </sheetData>
  <mergeCells count="10">
    <mergeCell ref="Q59:R59"/>
    <mergeCell ref="A2:Q2"/>
    <mergeCell ref="A4:A5"/>
    <mergeCell ref="B4:B5"/>
    <mergeCell ref="C4:C5"/>
    <mergeCell ref="D4:D5"/>
    <mergeCell ref="G4:G5"/>
    <mergeCell ref="I4:I5"/>
    <mergeCell ref="K4:P4"/>
    <mergeCell ref="Q4:R4"/>
  </mergeCells>
  <conditionalFormatting sqref="F6">
    <cfRule type="cellIs" dxfId="17" priority="102" operator="greaterThan">
      <formula>$D$6</formula>
    </cfRule>
  </conditionalFormatting>
  <conditionalFormatting sqref="F18:F20">
    <cfRule type="cellIs" dxfId="16" priority="101" operator="greaterThan">
      <formula>$D$17</formula>
    </cfRule>
  </conditionalFormatting>
  <conditionalFormatting sqref="H6">
    <cfRule type="cellIs" dxfId="15" priority="71" operator="greaterThan">
      <formula>$G$6</formula>
    </cfRule>
  </conditionalFormatting>
  <conditionalFormatting sqref="H17:H20">
    <cfRule type="cellIs" dxfId="14" priority="70" operator="greaterThan">
      <formula>G17</formula>
    </cfRule>
  </conditionalFormatting>
  <conditionalFormatting sqref="F22:F26">
    <cfRule type="cellIs" dxfId="13" priority="18" operator="greaterThan">
      <formula>$D$17</formula>
    </cfRule>
  </conditionalFormatting>
  <conditionalFormatting sqref="H22:H26">
    <cfRule type="cellIs" dxfId="12" priority="17" operator="greaterThan">
      <formula>G22</formula>
    </cfRule>
  </conditionalFormatting>
  <conditionalFormatting sqref="F28:F33">
    <cfRule type="cellIs" dxfId="11" priority="16" operator="greaterThan">
      <formula>$D$17</formula>
    </cfRule>
  </conditionalFormatting>
  <conditionalFormatting sqref="H28:H33">
    <cfRule type="cellIs" dxfId="10" priority="15" operator="greaterThan">
      <formula>G28</formula>
    </cfRule>
  </conditionalFormatting>
  <conditionalFormatting sqref="F35:F37">
    <cfRule type="cellIs" dxfId="9" priority="14" operator="greaterThan">
      <formula>$D$17</formula>
    </cfRule>
  </conditionalFormatting>
  <conditionalFormatting sqref="H34:H37">
    <cfRule type="cellIs" dxfId="8" priority="13" operator="greaterThan">
      <formula>G34</formula>
    </cfRule>
  </conditionalFormatting>
  <conditionalFormatting sqref="F43:F45">
    <cfRule type="cellIs" dxfId="7" priority="8" operator="greaterThan">
      <formula>$D$17</formula>
    </cfRule>
  </conditionalFormatting>
  <conditionalFormatting sqref="H43:H45">
    <cfRule type="cellIs" dxfId="6" priority="7" operator="greaterThan">
      <formula>G43</formula>
    </cfRule>
  </conditionalFormatting>
  <conditionalFormatting sqref="H47:H49">
    <cfRule type="cellIs" dxfId="5" priority="5" operator="greaterThan">
      <formula>G47</formula>
    </cfRule>
  </conditionalFormatting>
  <conditionalFormatting sqref="F47:F49">
    <cfRule type="cellIs" dxfId="4" priority="6" operator="greaterThan">
      <formula>$D$17</formula>
    </cfRule>
  </conditionalFormatting>
  <conditionalFormatting sqref="H51:H53">
    <cfRule type="cellIs" dxfId="3" priority="3" operator="greaterThan">
      <formula>G51</formula>
    </cfRule>
  </conditionalFormatting>
  <conditionalFormatting sqref="H39:H41">
    <cfRule type="cellIs" dxfId="2" priority="1" operator="greaterThan">
      <formula>G39</formula>
    </cfRule>
  </conditionalFormatting>
  <conditionalFormatting sqref="F51:F53">
    <cfRule type="cellIs" dxfId="1" priority="4" operator="greaterThan">
      <formula>$D$17</formula>
    </cfRule>
  </conditionalFormatting>
  <conditionalFormatting sqref="F39:F41">
    <cfRule type="cellIs" dxfId="0" priority="2" operator="greaterThan">
      <formula>$D$17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U92"/>
  <sheetViews>
    <sheetView view="pageBreakPreview" zoomScaleNormal="70" zoomScaleSheetLayoutView="100" workbookViewId="0">
      <pane xSplit="1" ySplit="5" topLeftCell="F33" activePane="bottomRight" state="frozen"/>
      <selection pane="topRight" activeCell="B1" sqref="B1"/>
      <selection pane="bottomLeft" activeCell="A6" sqref="A6"/>
      <selection pane="bottomRight" activeCell="O56" sqref="O56"/>
    </sheetView>
  </sheetViews>
  <sheetFormatPr baseColWidth="10" defaultColWidth="11.42578125" defaultRowHeight="12" outlineLevelRow="1" x14ac:dyDescent="0.2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3.42578125" style="1" customWidth="1"/>
    <col min="7" max="7" width="14.42578125" style="1" customWidth="1"/>
    <col min="8" max="8" width="4.140625" style="6" bestFit="1" customWidth="1"/>
    <col min="9" max="9" width="12.7109375" style="1" customWidth="1"/>
    <col min="10" max="10" width="16.5703125" style="1" customWidth="1"/>
    <col min="11" max="11" width="10.42578125" style="1" bestFit="1" customWidth="1"/>
    <col min="12" max="12" width="18.5703125" style="1" bestFit="1" customWidth="1"/>
    <col min="13" max="13" width="14.42578125" style="1" customWidth="1"/>
    <col min="14" max="15" width="14.42578125" style="1" bestFit="1" customWidth="1"/>
    <col min="16" max="16" width="14.140625" style="160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21" x14ac:dyDescent="0.2">
      <c r="Q1" s="72"/>
      <c r="R1" s="8"/>
    </row>
    <row r="2" spans="1:21" x14ac:dyDescent="0.2">
      <c r="A2" s="1066" t="s">
        <v>29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9">
        <f ca="1">TODAY()</f>
        <v>43696</v>
      </c>
      <c r="O2" s="9"/>
      <c r="R2" s="61"/>
    </row>
    <row r="4" spans="1:21" s="2" customFormat="1" ht="24" x14ac:dyDescent="0.2">
      <c r="A4" s="1083" t="s">
        <v>2</v>
      </c>
      <c r="B4" s="1071" t="s">
        <v>19</v>
      </c>
      <c r="C4" s="115" t="s">
        <v>111</v>
      </c>
      <c r="D4" s="115" t="s">
        <v>100</v>
      </c>
      <c r="E4" s="1071" t="s">
        <v>10</v>
      </c>
      <c r="F4" s="911" t="s">
        <v>386</v>
      </c>
      <c r="G4" s="1067" t="s">
        <v>4</v>
      </c>
      <c r="H4" s="1068"/>
      <c r="I4" s="1068"/>
      <c r="J4" s="1068"/>
      <c r="K4" s="1068"/>
      <c r="L4" s="1069"/>
      <c r="M4" s="1070" t="s">
        <v>11</v>
      </c>
      <c r="N4" s="1071"/>
      <c r="O4" s="3" t="s">
        <v>99</v>
      </c>
      <c r="P4" s="207"/>
      <c r="R4" s="63"/>
      <c r="S4" s="63"/>
    </row>
    <row r="5" spans="1:21" s="13" customFormat="1" x14ac:dyDescent="0.2">
      <c r="A5" s="1084"/>
      <c r="B5" s="1085"/>
      <c r="C5" s="116"/>
      <c r="D5" s="116"/>
      <c r="E5" s="1085"/>
      <c r="F5" s="936"/>
      <c r="G5" s="10" t="s">
        <v>1</v>
      </c>
      <c r="H5" s="11" t="s">
        <v>3</v>
      </c>
      <c r="I5" s="11" t="s">
        <v>13</v>
      </c>
      <c r="J5" s="12" t="s">
        <v>12</v>
      </c>
      <c r="K5" s="10" t="s">
        <v>13</v>
      </c>
      <c r="L5" s="11" t="s">
        <v>16</v>
      </c>
      <c r="M5" s="3" t="s">
        <v>18</v>
      </c>
      <c r="N5" s="3" t="s">
        <v>17</v>
      </c>
      <c r="O5" s="3"/>
      <c r="P5" s="160"/>
      <c r="Q5" s="1"/>
      <c r="R5" s="1"/>
      <c r="S5" s="1"/>
      <c r="T5" s="1"/>
    </row>
    <row r="6" spans="1:21" s="106" customFormat="1" x14ac:dyDescent="0.2">
      <c r="A6" s="320" t="s">
        <v>40</v>
      </c>
      <c r="B6" s="321">
        <v>40724</v>
      </c>
      <c r="C6" s="321">
        <f>DATE(YEAR(B6)+5,MONTH(B6),DAY(B6))</f>
        <v>42551</v>
      </c>
      <c r="D6" s="321">
        <v>41613</v>
      </c>
      <c r="E6" s="323">
        <v>70000</v>
      </c>
      <c r="F6" s="322"/>
      <c r="G6" s="321"/>
      <c r="H6" s="321"/>
      <c r="I6" s="321"/>
      <c r="J6" s="328">
        <f>SUM(J7:J9)</f>
        <v>70000</v>
      </c>
      <c r="K6" s="323"/>
      <c r="L6" s="324"/>
      <c r="M6" s="328">
        <f>SUM(M7:M9)</f>
        <v>0</v>
      </c>
      <c r="N6" s="328">
        <f>SUM(N7:N9)</f>
        <v>0</v>
      </c>
      <c r="O6" s="328"/>
      <c r="P6" s="208">
        <f>E6-(J6+M6+N6)</f>
        <v>0</v>
      </c>
      <c r="Q6" s="2"/>
      <c r="R6" s="63"/>
      <c r="S6" s="63"/>
      <c r="T6" s="2"/>
      <c r="U6" s="162"/>
    </row>
    <row r="7" spans="1:21" s="26" customFormat="1" outlineLevel="1" x14ac:dyDescent="0.2">
      <c r="A7" s="329" t="s">
        <v>40</v>
      </c>
      <c r="B7" s="342"/>
      <c r="C7" s="342"/>
      <c r="D7" s="342"/>
      <c r="E7" s="408"/>
      <c r="F7" s="343">
        <f>G7/$E$6</f>
        <v>0.4</v>
      </c>
      <c r="G7" s="344">
        <v>28000</v>
      </c>
      <c r="H7" s="345">
        <v>1</v>
      </c>
      <c r="I7" s="347">
        <v>41010</v>
      </c>
      <c r="J7" s="344">
        <v>28000</v>
      </c>
      <c r="K7" s="347">
        <v>41010</v>
      </c>
      <c r="L7" s="405">
        <f>IF(K7="",$N$2-I7,K7-I7)</f>
        <v>0</v>
      </c>
      <c r="M7" s="349" t="str">
        <f>IF(J7="en attente",G7,"")</f>
        <v/>
      </c>
      <c r="N7" s="349">
        <f t="shared" ref="N7:N41" si="0">IF(I7="",G7-J7,0)</f>
        <v>0</v>
      </c>
      <c r="O7" s="350"/>
      <c r="P7" s="160"/>
      <c r="Q7" s="1"/>
      <c r="R7" s="1"/>
      <c r="S7" s="1"/>
      <c r="T7" s="1"/>
    </row>
    <row r="8" spans="1:21" s="26" customFormat="1" outlineLevel="1" x14ac:dyDescent="0.2">
      <c r="A8" s="329" t="s">
        <v>40</v>
      </c>
      <c r="B8" s="342"/>
      <c r="C8" s="342"/>
      <c r="D8" s="342"/>
      <c r="E8" s="408"/>
      <c r="F8" s="343">
        <v>0.7</v>
      </c>
      <c r="G8" s="344">
        <v>21000</v>
      </c>
      <c r="H8" s="345">
        <v>2</v>
      </c>
      <c r="I8" s="342">
        <v>41456</v>
      </c>
      <c r="J8" s="344">
        <v>21000</v>
      </c>
      <c r="K8" s="347">
        <v>41522</v>
      </c>
      <c r="L8" s="405"/>
      <c r="M8" s="349" t="str">
        <f t="shared" ref="M8:M37" si="1">IF(J8="en attente",G8,"")</f>
        <v/>
      </c>
      <c r="N8" s="349">
        <f t="shared" si="0"/>
        <v>0</v>
      </c>
      <c r="O8" s="350"/>
      <c r="P8" s="207"/>
      <c r="Q8" s="2"/>
      <c r="R8" s="63"/>
      <c r="S8" s="63"/>
      <c r="T8" s="2"/>
    </row>
    <row r="9" spans="1:21" s="26" customFormat="1" outlineLevel="1" x14ac:dyDescent="0.2">
      <c r="A9" s="329" t="s">
        <v>40</v>
      </c>
      <c r="B9" s="342"/>
      <c r="C9" s="342"/>
      <c r="D9" s="342"/>
      <c r="E9" s="408"/>
      <c r="F9" s="343">
        <v>1</v>
      </c>
      <c r="G9" s="344">
        <v>21000</v>
      </c>
      <c r="H9" s="345">
        <v>3</v>
      </c>
      <c r="I9" s="342">
        <v>42123</v>
      </c>
      <c r="J9" s="346">
        <f>G9</f>
        <v>21000</v>
      </c>
      <c r="K9" s="347">
        <v>42188</v>
      </c>
      <c r="L9" s="348"/>
      <c r="M9" s="349" t="str">
        <f t="shared" si="1"/>
        <v/>
      </c>
      <c r="N9" s="349">
        <f t="shared" si="0"/>
        <v>0</v>
      </c>
      <c r="O9" s="349"/>
      <c r="P9" s="160"/>
      <c r="Q9" s="1"/>
      <c r="R9" s="1"/>
      <c r="S9" s="1"/>
      <c r="T9" s="1"/>
    </row>
    <row r="10" spans="1:21" s="106" customFormat="1" x14ac:dyDescent="0.2">
      <c r="A10" s="320" t="s">
        <v>7</v>
      </c>
      <c r="B10" s="321">
        <v>40988</v>
      </c>
      <c r="C10" s="321">
        <v>42735</v>
      </c>
      <c r="D10" s="321">
        <v>42326</v>
      </c>
      <c r="E10" s="323">
        <v>110000</v>
      </c>
      <c r="F10" s="322"/>
      <c r="G10" s="323"/>
      <c r="H10" s="324"/>
      <c r="I10" s="394"/>
      <c r="J10" s="328">
        <f>SUM(J11:J13)</f>
        <v>110000</v>
      </c>
      <c r="K10" s="406"/>
      <c r="L10" s="327"/>
      <c r="M10" s="328">
        <f>SUM(M11:M13)</f>
        <v>0</v>
      </c>
      <c r="N10" s="328">
        <f>SUM(N11:N13)</f>
        <v>0</v>
      </c>
      <c r="O10" s="328"/>
      <c r="P10" s="208">
        <f>E10-(J10+M10+N10)</f>
        <v>0</v>
      </c>
      <c r="Q10" s="206"/>
      <c r="R10" s="206"/>
    </row>
    <row r="11" spans="1:21" s="26" customFormat="1" outlineLevel="1" x14ac:dyDescent="0.2">
      <c r="A11" s="329" t="s">
        <v>7</v>
      </c>
      <c r="B11" s="407"/>
      <c r="C11" s="407"/>
      <c r="D11" s="407"/>
      <c r="E11" s="408"/>
      <c r="F11" s="343">
        <f>G11/$E$10</f>
        <v>0.4</v>
      </c>
      <c r="G11" s="344">
        <v>44000</v>
      </c>
      <c r="H11" s="345">
        <v>1</v>
      </c>
      <c r="I11" s="342">
        <v>41275</v>
      </c>
      <c r="J11" s="346">
        <v>44000</v>
      </c>
      <c r="K11" s="347">
        <v>41360</v>
      </c>
      <c r="L11" s="405"/>
      <c r="M11" s="349" t="str">
        <f t="shared" si="1"/>
        <v/>
      </c>
      <c r="N11" s="349">
        <f t="shared" si="0"/>
        <v>0</v>
      </c>
      <c r="O11" s="350"/>
      <c r="P11" s="209"/>
      <c r="Q11" s="27"/>
    </row>
    <row r="12" spans="1:21" outlineLevel="1" x14ac:dyDescent="0.2">
      <c r="A12" s="329" t="s">
        <v>7</v>
      </c>
      <c r="B12" s="342"/>
      <c r="C12" s="342"/>
      <c r="D12" s="342"/>
      <c r="E12" s="408"/>
      <c r="F12" s="343">
        <v>0.7</v>
      </c>
      <c r="G12" s="344">
        <v>33000</v>
      </c>
      <c r="H12" s="345">
        <v>2</v>
      </c>
      <c r="I12" s="342">
        <v>41884</v>
      </c>
      <c r="J12" s="346"/>
      <c r="K12" s="408"/>
      <c r="L12" s="405">
        <f ca="1">IF(K12="",$N$2-I12,K12-I12)</f>
        <v>1812</v>
      </c>
      <c r="M12" s="349" t="str">
        <f t="shared" si="1"/>
        <v/>
      </c>
      <c r="N12" s="349">
        <f t="shared" si="0"/>
        <v>0</v>
      </c>
      <c r="O12" s="350"/>
      <c r="P12" s="1" t="s">
        <v>211</v>
      </c>
    </row>
    <row r="13" spans="1:21" outlineLevel="1" x14ac:dyDescent="0.2">
      <c r="A13" s="351" t="s">
        <v>7</v>
      </c>
      <c r="B13" s="353"/>
      <c r="C13" s="342"/>
      <c r="D13" s="342"/>
      <c r="E13" s="408"/>
      <c r="F13" s="343">
        <v>1</v>
      </c>
      <c r="G13" s="354">
        <v>33000</v>
      </c>
      <c r="H13" s="355">
        <v>3</v>
      </c>
      <c r="I13" s="353">
        <v>42454</v>
      </c>
      <c r="J13" s="356">
        <v>66000</v>
      </c>
      <c r="K13" s="357">
        <v>42502</v>
      </c>
      <c r="L13" s="405"/>
      <c r="M13" s="359" t="str">
        <f t="shared" si="1"/>
        <v/>
      </c>
      <c r="N13" s="349">
        <f t="shared" si="0"/>
        <v>0</v>
      </c>
      <c r="O13" s="360"/>
      <c r="R13" s="27"/>
    </row>
    <row r="14" spans="1:21" s="8" customFormat="1" x14ac:dyDescent="0.2">
      <c r="A14" s="397" t="s">
        <v>41</v>
      </c>
      <c r="B14" s="409">
        <v>40988</v>
      </c>
      <c r="C14" s="321">
        <v>42735</v>
      </c>
      <c r="D14" s="508">
        <v>43100</v>
      </c>
      <c r="E14" s="323">
        <v>85000</v>
      </c>
      <c r="F14" s="323"/>
      <c r="G14" s="399"/>
      <c r="H14" s="410"/>
      <c r="I14" s="342"/>
      <c r="J14" s="411">
        <f>SUM(J15:J17)</f>
        <v>85000</v>
      </c>
      <c r="K14" s="415"/>
      <c r="L14" s="406"/>
      <c r="M14" s="411">
        <f>SUM(M15:M17)</f>
        <v>0</v>
      </c>
      <c r="N14" s="412">
        <f>SUM(N15:N17)</f>
        <v>0</v>
      </c>
      <c r="O14" s="411"/>
      <c r="P14" s="208">
        <f>E14-(J14+M14+N14)</f>
        <v>0</v>
      </c>
      <c r="R14" s="206"/>
    </row>
    <row r="15" spans="1:21" outlineLevel="1" x14ac:dyDescent="0.2">
      <c r="A15" s="329" t="s">
        <v>41</v>
      </c>
      <c r="B15" s="407" t="s">
        <v>197</v>
      </c>
      <c r="C15" s="407" t="s">
        <v>197</v>
      </c>
      <c r="D15" s="342" t="s">
        <v>273</v>
      </c>
      <c r="E15" s="408"/>
      <c r="F15" s="961">
        <f>G15/$E$14</f>
        <v>0.4</v>
      </c>
      <c r="G15" s="344">
        <v>34000</v>
      </c>
      <c r="H15" s="345">
        <v>1</v>
      </c>
      <c r="I15" s="342">
        <v>41276</v>
      </c>
      <c r="J15" s="346">
        <v>34000</v>
      </c>
      <c r="K15" s="347">
        <v>41358</v>
      </c>
      <c r="L15" s="405"/>
      <c r="M15" s="349" t="str">
        <f t="shared" si="1"/>
        <v/>
      </c>
      <c r="N15" s="349">
        <f t="shared" si="0"/>
        <v>0</v>
      </c>
      <c r="O15" s="350"/>
      <c r="R15" s="27"/>
    </row>
    <row r="16" spans="1:21" outlineLevel="1" x14ac:dyDescent="0.2">
      <c r="A16" s="329" t="s">
        <v>41</v>
      </c>
      <c r="B16" s="342"/>
      <c r="C16" s="342"/>
      <c r="D16" s="342"/>
      <c r="E16" s="408"/>
      <c r="F16" s="961">
        <v>0.7</v>
      </c>
      <c r="G16" s="344">
        <v>25500</v>
      </c>
      <c r="H16" s="345">
        <v>2</v>
      </c>
      <c r="I16" s="342">
        <v>42215</v>
      </c>
      <c r="J16" s="346">
        <v>25500</v>
      </c>
      <c r="K16" s="347">
        <v>42282</v>
      </c>
      <c r="L16" s="405"/>
      <c r="M16" s="349" t="str">
        <f t="shared" si="1"/>
        <v/>
      </c>
      <c r="N16" s="349">
        <f t="shared" si="0"/>
        <v>0</v>
      </c>
      <c r="O16" s="350"/>
      <c r="R16" s="27"/>
    </row>
    <row r="17" spans="1:18" s="26" customFormat="1" outlineLevel="1" x14ac:dyDescent="0.2">
      <c r="A17" s="329" t="s">
        <v>41</v>
      </c>
      <c r="B17" s="407"/>
      <c r="C17" s="407"/>
      <c r="D17" s="407"/>
      <c r="E17" s="408"/>
      <c r="F17" s="962">
        <v>1</v>
      </c>
      <c r="G17" s="344">
        <v>25500</v>
      </c>
      <c r="H17" s="345">
        <v>3</v>
      </c>
      <c r="I17" s="342">
        <v>42830</v>
      </c>
      <c r="J17" s="346">
        <v>25500</v>
      </c>
      <c r="K17" s="347">
        <v>42878</v>
      </c>
      <c r="L17" s="405"/>
      <c r="M17" s="349" t="str">
        <f t="shared" si="1"/>
        <v/>
      </c>
      <c r="N17" s="349">
        <f t="shared" si="0"/>
        <v>0</v>
      </c>
      <c r="O17" s="433"/>
      <c r="P17" s="209"/>
    </row>
    <row r="18" spans="1:18" s="8" customFormat="1" x14ac:dyDescent="0.2">
      <c r="A18" s="320" t="s">
        <v>45</v>
      </c>
      <c r="B18" s="321">
        <v>41450</v>
      </c>
      <c r="C18" s="321">
        <f>DATE(YEAR(B18)+4,MONTH(B18),DAY(B18))</f>
        <v>42911</v>
      </c>
      <c r="D18" s="321">
        <v>42726</v>
      </c>
      <c r="E18" s="323">
        <v>220000</v>
      </c>
      <c r="F18" s="322"/>
      <c r="G18" s="323"/>
      <c r="H18" s="324"/>
      <c r="I18" s="564"/>
      <c r="J18" s="328">
        <f>SUM(J19:J21)</f>
        <v>220000</v>
      </c>
      <c r="K18" s="406"/>
      <c r="L18" s="327"/>
      <c r="M18" s="328">
        <f>SUM(M19:M21)</f>
        <v>0</v>
      </c>
      <c r="N18" s="328">
        <f>SUM(N19:N21)</f>
        <v>0</v>
      </c>
      <c r="O18" s="328"/>
      <c r="P18" s="208">
        <f>E18-(J18+M18+N18)</f>
        <v>0</v>
      </c>
    </row>
    <row r="19" spans="1:18" s="26" customFormat="1" outlineLevel="1" x14ac:dyDescent="0.2">
      <c r="A19" s="329" t="s">
        <v>45</v>
      </c>
      <c r="B19" s="407" t="s">
        <v>197</v>
      </c>
      <c r="C19" s="407" t="s">
        <v>197</v>
      </c>
      <c r="D19" s="407"/>
      <c r="E19" s="408"/>
      <c r="F19" s="343">
        <f>G19/$E$18</f>
        <v>0.4</v>
      </c>
      <c r="G19" s="344">
        <v>88000</v>
      </c>
      <c r="H19" s="345">
        <v>1</v>
      </c>
      <c r="I19" s="342">
        <v>41715</v>
      </c>
      <c r="J19" s="346">
        <v>88000</v>
      </c>
      <c r="K19" s="347">
        <v>41754</v>
      </c>
      <c r="L19" s="405">
        <f>IF(K19="",$N$2-I19,K19-I19)</f>
        <v>39</v>
      </c>
      <c r="M19" s="349" t="str">
        <f t="shared" si="1"/>
        <v/>
      </c>
      <c r="N19" s="349">
        <f t="shared" si="0"/>
        <v>0</v>
      </c>
      <c r="O19" s="350"/>
      <c r="P19" s="209"/>
      <c r="R19" s="27"/>
    </row>
    <row r="20" spans="1:18" s="26" customFormat="1" outlineLevel="1" x14ac:dyDescent="0.2">
      <c r="A20" s="329" t="s">
        <v>45</v>
      </c>
      <c r="B20" s="342"/>
      <c r="C20" s="342"/>
      <c r="D20" s="342"/>
      <c r="E20" s="408"/>
      <c r="F20" s="343">
        <v>0.7</v>
      </c>
      <c r="G20" s="344">
        <f>0.3*E18</f>
        <v>66000</v>
      </c>
      <c r="H20" s="345">
        <v>2</v>
      </c>
      <c r="I20" s="342">
        <v>42503</v>
      </c>
      <c r="J20" s="344">
        <v>66000</v>
      </c>
      <c r="K20" s="347">
        <v>42543</v>
      </c>
      <c r="L20" s="405"/>
      <c r="M20" s="349" t="str">
        <f t="shared" si="1"/>
        <v/>
      </c>
      <c r="N20" s="349">
        <f t="shared" si="0"/>
        <v>0</v>
      </c>
      <c r="O20" s="350"/>
      <c r="P20" s="209"/>
      <c r="R20" s="27"/>
    </row>
    <row r="21" spans="1:18" s="26" customFormat="1" outlineLevel="1" x14ac:dyDescent="0.2">
      <c r="A21" s="351" t="s">
        <v>45</v>
      </c>
      <c r="B21" s="353"/>
      <c r="C21" s="342"/>
      <c r="D21" s="342"/>
      <c r="E21" s="408"/>
      <c r="F21" s="343">
        <v>1</v>
      </c>
      <c r="G21" s="354">
        <v>66000</v>
      </c>
      <c r="H21" s="355">
        <v>3</v>
      </c>
      <c r="I21" s="353">
        <v>42781</v>
      </c>
      <c r="J21" s="356">
        <v>66000</v>
      </c>
      <c r="K21" s="357">
        <v>42808</v>
      </c>
      <c r="L21" s="405"/>
      <c r="M21" s="359" t="str">
        <f t="shared" si="1"/>
        <v/>
      </c>
      <c r="N21" s="349">
        <f t="shared" si="0"/>
        <v>0</v>
      </c>
      <c r="O21" s="360"/>
      <c r="P21" s="209"/>
      <c r="R21" s="27"/>
    </row>
    <row r="22" spans="1:18" s="106" customFormat="1" x14ac:dyDescent="0.2">
      <c r="A22" s="397" t="s">
        <v>365</v>
      </c>
      <c r="B22" s="409">
        <v>40988</v>
      </c>
      <c r="C22" s="321">
        <v>42735</v>
      </c>
      <c r="D22" s="326">
        <v>41943</v>
      </c>
      <c r="E22" s="323">
        <v>70000</v>
      </c>
      <c r="F22" s="323"/>
      <c r="G22" s="399"/>
      <c r="H22" s="410"/>
      <c r="I22" s="342"/>
      <c r="J22" s="411">
        <f>SUM(J23:J25)</f>
        <v>70000</v>
      </c>
      <c r="K22" s="403"/>
      <c r="L22" s="406"/>
      <c r="M22" s="411">
        <f>SUM(M23:M24)</f>
        <v>0</v>
      </c>
      <c r="N22" s="412">
        <f>SUM(N23:N25)</f>
        <v>0</v>
      </c>
      <c r="O22" s="411"/>
      <c r="P22" s="208">
        <f>E22-(J22+M22+N22)</f>
        <v>0</v>
      </c>
      <c r="R22" s="206"/>
    </row>
    <row r="23" spans="1:18" s="31" customFormat="1" outlineLevel="1" x14ac:dyDescent="0.2">
      <c r="A23" s="329" t="s">
        <v>365</v>
      </c>
      <c r="B23" s="407"/>
      <c r="C23" s="407"/>
      <c r="D23" s="407"/>
      <c r="E23" s="957"/>
      <c r="F23" s="961">
        <f>G23/$E$22</f>
        <v>0.4</v>
      </c>
      <c r="G23" s="344">
        <v>28000</v>
      </c>
      <c r="H23" s="345">
        <v>1</v>
      </c>
      <c r="I23" s="342">
        <v>41276</v>
      </c>
      <c r="J23" s="346">
        <v>28000</v>
      </c>
      <c r="K23" s="347">
        <v>41358</v>
      </c>
      <c r="L23" s="405"/>
      <c r="M23" s="349" t="str">
        <f t="shared" si="1"/>
        <v/>
      </c>
      <c r="N23" s="349">
        <f t="shared" si="0"/>
        <v>0</v>
      </c>
      <c r="O23" s="350"/>
      <c r="P23" s="210"/>
    </row>
    <row r="24" spans="1:18" outlineLevel="1" x14ac:dyDescent="0.2">
      <c r="A24" s="329" t="s">
        <v>365</v>
      </c>
      <c r="B24" s="342"/>
      <c r="C24" s="342"/>
      <c r="D24" s="342"/>
      <c r="E24" s="408"/>
      <c r="F24" s="961">
        <v>0.7</v>
      </c>
      <c r="G24" s="344">
        <v>21000</v>
      </c>
      <c r="H24" s="345">
        <v>2</v>
      </c>
      <c r="I24" s="342">
        <v>41884</v>
      </c>
      <c r="J24" s="346">
        <f>G24</f>
        <v>21000</v>
      </c>
      <c r="K24" s="347">
        <v>42188</v>
      </c>
      <c r="L24" s="405">
        <f>IF(K24="",$N$2-I24,K24-I24)</f>
        <v>304</v>
      </c>
      <c r="M24" s="349" t="str">
        <f t="shared" si="1"/>
        <v/>
      </c>
      <c r="N24" s="349">
        <f t="shared" si="0"/>
        <v>0</v>
      </c>
      <c r="O24" s="350" t="s">
        <v>204</v>
      </c>
    </row>
    <row r="25" spans="1:18" outlineLevel="1" x14ac:dyDescent="0.2">
      <c r="A25" s="329" t="s">
        <v>365</v>
      </c>
      <c r="B25" s="342"/>
      <c r="C25" s="342"/>
      <c r="D25" s="342"/>
      <c r="E25" s="408"/>
      <c r="F25" s="962">
        <v>1</v>
      </c>
      <c r="G25" s="344">
        <v>21000</v>
      </c>
      <c r="H25" s="345">
        <v>3</v>
      </c>
      <c r="I25" s="342">
        <v>42136</v>
      </c>
      <c r="J25" s="346">
        <f>G25</f>
        <v>21000</v>
      </c>
      <c r="K25" s="347">
        <v>42188</v>
      </c>
      <c r="L25" s="405"/>
      <c r="M25" s="349"/>
      <c r="N25" s="349">
        <f t="shared" si="0"/>
        <v>0</v>
      </c>
      <c r="O25" s="350"/>
    </row>
    <row r="26" spans="1:18" s="8" customFormat="1" x14ac:dyDescent="0.2">
      <c r="A26" s="320" t="s">
        <v>8</v>
      </c>
      <c r="B26" s="326">
        <v>40988</v>
      </c>
      <c r="C26" s="321">
        <v>42735</v>
      </c>
      <c r="D26" s="321">
        <v>42633</v>
      </c>
      <c r="E26" s="323">
        <v>120000</v>
      </c>
      <c r="F26" s="322"/>
      <c r="G26" s="323"/>
      <c r="H26" s="324"/>
      <c r="I26" s="564"/>
      <c r="J26" s="328">
        <f>SUM(J27:J29)</f>
        <v>120000</v>
      </c>
      <c r="K26" s="406"/>
      <c r="L26" s="327"/>
      <c r="M26" s="328">
        <f>SUM(M27:M29)</f>
        <v>0</v>
      </c>
      <c r="N26" s="328">
        <f>SUM(N27:N29)</f>
        <v>0</v>
      </c>
      <c r="O26" s="328"/>
      <c r="P26" s="208">
        <f>E26-(J26+M26+N26)</f>
        <v>0</v>
      </c>
    </row>
    <row r="27" spans="1:18" s="26" customFormat="1" outlineLevel="1" x14ac:dyDescent="0.2">
      <c r="A27" s="329" t="s">
        <v>8</v>
      </c>
      <c r="B27" s="407" t="s">
        <v>197</v>
      </c>
      <c r="C27" s="407" t="s">
        <v>197</v>
      </c>
      <c r="D27" s="342"/>
      <c r="E27" s="408"/>
      <c r="F27" s="343">
        <f>G27/$E$26</f>
        <v>0.4</v>
      </c>
      <c r="G27" s="344">
        <v>48000</v>
      </c>
      <c r="H27" s="345">
        <v>1</v>
      </c>
      <c r="I27" s="342">
        <v>41276</v>
      </c>
      <c r="J27" s="346">
        <v>48000</v>
      </c>
      <c r="K27" s="347">
        <v>41358</v>
      </c>
      <c r="L27" s="405"/>
      <c r="M27" s="349" t="str">
        <f t="shared" si="1"/>
        <v/>
      </c>
      <c r="N27" s="349">
        <f t="shared" si="0"/>
        <v>0</v>
      </c>
      <c r="O27" s="350"/>
      <c r="P27" s="209"/>
      <c r="R27" s="27"/>
    </row>
    <row r="28" spans="1:18" s="26" customFormat="1" outlineLevel="1" x14ac:dyDescent="0.2">
      <c r="A28" s="329" t="s">
        <v>8</v>
      </c>
      <c r="B28" s="342"/>
      <c r="C28" s="342"/>
      <c r="D28" s="342"/>
      <c r="E28" s="408"/>
      <c r="F28" s="343">
        <v>0.7</v>
      </c>
      <c r="G28" s="344">
        <v>36000</v>
      </c>
      <c r="H28" s="345">
        <v>2</v>
      </c>
      <c r="I28" s="342">
        <v>42206</v>
      </c>
      <c r="J28" s="346">
        <v>36000</v>
      </c>
      <c r="K28" s="347">
        <v>42228</v>
      </c>
      <c r="L28" s="405"/>
      <c r="M28" s="349" t="str">
        <f t="shared" si="1"/>
        <v/>
      </c>
      <c r="N28" s="349">
        <f t="shared" si="0"/>
        <v>0</v>
      </c>
      <c r="O28" s="350"/>
      <c r="P28" s="209"/>
      <c r="R28" s="27"/>
    </row>
    <row r="29" spans="1:18" s="26" customFormat="1" outlineLevel="1" x14ac:dyDescent="0.2">
      <c r="A29" s="351" t="s">
        <v>8</v>
      </c>
      <c r="B29" s="353"/>
      <c r="C29" s="353"/>
      <c r="D29" s="390"/>
      <c r="E29" s="408"/>
      <c r="F29" s="423">
        <v>1</v>
      </c>
      <c r="G29" s="354">
        <v>36000</v>
      </c>
      <c r="H29" s="355">
        <v>3</v>
      </c>
      <c r="I29" s="353">
        <v>42873</v>
      </c>
      <c r="J29" s="356">
        <v>36000</v>
      </c>
      <c r="K29" s="357">
        <v>42900</v>
      </c>
      <c r="L29" s="405"/>
      <c r="M29" s="359" t="str">
        <f t="shared" si="1"/>
        <v/>
      </c>
      <c r="N29" s="349">
        <f t="shared" si="0"/>
        <v>0</v>
      </c>
      <c r="O29" s="433"/>
      <c r="P29" s="209"/>
      <c r="R29" s="27"/>
    </row>
    <row r="30" spans="1:18" s="106" customFormat="1" x14ac:dyDescent="0.2">
      <c r="A30" s="320" t="s">
        <v>30</v>
      </c>
      <c r="B30" s="321">
        <v>41534</v>
      </c>
      <c r="C30" s="321">
        <v>42916</v>
      </c>
      <c r="D30" s="321">
        <v>43075</v>
      </c>
      <c r="E30" s="323">
        <v>415000</v>
      </c>
      <c r="F30" s="323"/>
      <c r="G30" s="323"/>
      <c r="H30" s="324"/>
      <c r="I30" s="321"/>
      <c r="J30" s="328">
        <f>SUM(J31:J33)</f>
        <v>415000</v>
      </c>
      <c r="K30" s="406"/>
      <c r="L30" s="327"/>
      <c r="M30" s="328">
        <f>SUM(M31:M33)</f>
        <v>0</v>
      </c>
      <c r="N30" s="328">
        <f>SUM(N31:N33)</f>
        <v>0</v>
      </c>
      <c r="O30" s="328"/>
      <c r="P30" s="208">
        <f>E30-(J30+M30+N30)</f>
        <v>0</v>
      </c>
      <c r="R30" s="206"/>
    </row>
    <row r="31" spans="1:18" s="31" customFormat="1" outlineLevel="1" x14ac:dyDescent="0.2">
      <c r="A31" s="329" t="s">
        <v>30</v>
      </c>
      <c r="B31" s="407" t="s">
        <v>197</v>
      </c>
      <c r="C31" s="407" t="s">
        <v>276</v>
      </c>
      <c r="D31" s="407"/>
      <c r="E31" s="957"/>
      <c r="F31" s="961">
        <f>G31/$E$30</f>
        <v>0.4</v>
      </c>
      <c r="G31" s="344">
        <v>166000</v>
      </c>
      <c r="H31" s="345">
        <v>1</v>
      </c>
      <c r="I31" s="342">
        <v>42188</v>
      </c>
      <c r="J31" s="346">
        <v>166000</v>
      </c>
      <c r="K31" s="347">
        <v>42228</v>
      </c>
      <c r="L31" s="405">
        <f>IF(K31="",$N$2-I31,K31-I31)</f>
        <v>40</v>
      </c>
      <c r="M31" s="349" t="str">
        <f t="shared" si="1"/>
        <v/>
      </c>
      <c r="N31" s="349">
        <f t="shared" si="0"/>
        <v>0</v>
      </c>
      <c r="O31" s="350"/>
      <c r="P31" s="210"/>
    </row>
    <row r="32" spans="1:18" s="31" customFormat="1" outlineLevel="1" x14ac:dyDescent="0.2">
      <c r="A32" s="329" t="s">
        <v>30</v>
      </c>
      <c r="B32" s="407"/>
      <c r="C32" s="407"/>
      <c r="D32" s="407"/>
      <c r="E32" s="957"/>
      <c r="F32" s="961">
        <v>0.7</v>
      </c>
      <c r="G32" s="344">
        <f>0.3*E30</f>
        <v>124500</v>
      </c>
      <c r="H32" s="345">
        <v>2</v>
      </c>
      <c r="I32" s="342">
        <v>42780</v>
      </c>
      <c r="J32" s="346">
        <v>124500</v>
      </c>
      <c r="K32" s="347">
        <v>42808</v>
      </c>
      <c r="L32" s="405"/>
      <c r="M32" s="349" t="str">
        <f t="shared" si="1"/>
        <v/>
      </c>
      <c r="N32" s="349">
        <f t="shared" si="0"/>
        <v>0</v>
      </c>
      <c r="O32" s="350"/>
      <c r="P32" s="210"/>
    </row>
    <row r="33" spans="1:18" s="31" customFormat="1" outlineLevel="1" x14ac:dyDescent="0.2">
      <c r="A33" s="351" t="s">
        <v>30</v>
      </c>
      <c r="B33" s="390"/>
      <c r="C33" s="407"/>
      <c r="D33" s="407"/>
      <c r="E33" s="957"/>
      <c r="F33" s="962">
        <v>1</v>
      </c>
      <c r="G33" s="354">
        <f>0.3*E30</f>
        <v>124500</v>
      </c>
      <c r="H33" s="355">
        <v>3</v>
      </c>
      <c r="I33" s="353">
        <v>43171</v>
      </c>
      <c r="J33" s="356">
        <v>124500</v>
      </c>
      <c r="K33" s="357">
        <v>43242</v>
      </c>
      <c r="L33" s="405"/>
      <c r="M33" s="349" t="str">
        <f t="shared" si="1"/>
        <v/>
      </c>
      <c r="N33" s="349">
        <f t="shared" si="0"/>
        <v>0</v>
      </c>
      <c r="O33" s="360"/>
      <c r="P33" s="210"/>
    </row>
    <row r="34" spans="1:18" s="8" customFormat="1" x14ac:dyDescent="0.2">
      <c r="A34" s="397" t="s">
        <v>55</v>
      </c>
      <c r="B34" s="409">
        <v>41534</v>
      </c>
      <c r="C34" s="321">
        <v>42916</v>
      </c>
      <c r="D34" s="510">
        <v>43161</v>
      </c>
      <c r="E34" s="323">
        <v>120000</v>
      </c>
      <c r="F34" s="404"/>
      <c r="G34" s="399"/>
      <c r="H34" s="410"/>
      <c r="I34" s="401"/>
      <c r="J34" s="411">
        <f>SUM(J35:J37)</f>
        <v>120000</v>
      </c>
      <c r="K34" s="403"/>
      <c r="L34" s="406"/>
      <c r="M34" s="412">
        <f>SUM(M35:M37)</f>
        <v>0</v>
      </c>
      <c r="N34" s="412">
        <f>SUM(N35:N37)</f>
        <v>0</v>
      </c>
      <c r="O34" s="411"/>
      <c r="P34" s="208">
        <f>E34-(J34+M34+N34)</f>
        <v>0</v>
      </c>
    </row>
    <row r="35" spans="1:18" s="26" customFormat="1" outlineLevel="1" x14ac:dyDescent="0.2">
      <c r="A35" s="329" t="s">
        <v>55</v>
      </c>
      <c r="B35" s="407" t="s">
        <v>197</v>
      </c>
      <c r="C35" s="407" t="s">
        <v>197</v>
      </c>
      <c r="D35" s="342"/>
      <c r="E35" s="408"/>
      <c r="F35" s="343">
        <f>G35/$E$34</f>
        <v>0.4</v>
      </c>
      <c r="G35" s="344">
        <v>48000</v>
      </c>
      <c r="H35" s="345">
        <v>1</v>
      </c>
      <c r="I35" s="342">
        <v>41641</v>
      </c>
      <c r="J35" s="346">
        <v>48000</v>
      </c>
      <c r="K35" s="347">
        <v>41758</v>
      </c>
      <c r="L35" s="405"/>
      <c r="M35" s="349" t="str">
        <f t="shared" si="1"/>
        <v/>
      </c>
      <c r="N35" s="349">
        <f t="shared" si="0"/>
        <v>0</v>
      </c>
      <c r="O35" s="350"/>
      <c r="P35" s="209"/>
      <c r="R35" s="27"/>
    </row>
    <row r="36" spans="1:18" s="26" customFormat="1" outlineLevel="1" x14ac:dyDescent="0.2">
      <c r="A36" s="329" t="s">
        <v>55</v>
      </c>
      <c r="B36" s="342"/>
      <c r="C36" s="342"/>
      <c r="D36" s="342"/>
      <c r="E36" s="408"/>
      <c r="F36" s="343">
        <v>0.7</v>
      </c>
      <c r="G36" s="344">
        <v>36000</v>
      </c>
      <c r="H36" s="345">
        <v>2</v>
      </c>
      <c r="I36" s="342">
        <v>42606</v>
      </c>
      <c r="J36" s="346">
        <v>36000</v>
      </c>
      <c r="K36" s="347">
        <v>42655</v>
      </c>
      <c r="L36" s="405"/>
      <c r="M36" s="349" t="str">
        <f t="shared" si="1"/>
        <v/>
      </c>
      <c r="N36" s="349">
        <f t="shared" si="0"/>
        <v>0</v>
      </c>
      <c r="O36" s="350"/>
      <c r="P36" s="209"/>
      <c r="R36" s="27"/>
    </row>
    <row r="37" spans="1:18" s="26" customFormat="1" outlineLevel="1" x14ac:dyDescent="0.2">
      <c r="A37" s="329" t="s">
        <v>55</v>
      </c>
      <c r="B37" s="342"/>
      <c r="C37" s="342"/>
      <c r="D37" s="342"/>
      <c r="E37" s="992"/>
      <c r="F37" s="343">
        <v>1</v>
      </c>
      <c r="G37" s="344">
        <v>36000</v>
      </c>
      <c r="H37" s="345">
        <v>3</v>
      </c>
      <c r="I37" s="342">
        <v>42803</v>
      </c>
      <c r="J37" s="346">
        <v>36000</v>
      </c>
      <c r="K37" s="347">
        <v>42831</v>
      </c>
      <c r="L37" s="405"/>
      <c r="M37" s="349" t="str">
        <f t="shared" si="1"/>
        <v/>
      </c>
      <c r="N37" s="349">
        <f t="shared" si="0"/>
        <v>0</v>
      </c>
      <c r="O37" s="350"/>
      <c r="P37" s="209"/>
      <c r="R37" s="27"/>
    </row>
    <row r="38" spans="1:18" s="8" customFormat="1" x14ac:dyDescent="0.2">
      <c r="A38" s="118" t="s">
        <v>91</v>
      </c>
      <c r="B38" s="157">
        <v>42004</v>
      </c>
      <c r="C38" s="157">
        <v>43465</v>
      </c>
      <c r="D38" s="150"/>
      <c r="E38" s="993">
        <v>160000</v>
      </c>
      <c r="F38" s="122"/>
      <c r="G38" s="122"/>
      <c r="H38" s="137"/>
      <c r="I38" s="124"/>
      <c r="J38" s="158">
        <f>SUM(J39:J41)</f>
        <v>0</v>
      </c>
      <c r="K38" s="126"/>
      <c r="L38" s="126"/>
      <c r="M38" s="169">
        <f>SUM(M39:M41)</f>
        <v>0</v>
      </c>
      <c r="N38" s="169">
        <f>SUM(N39:N41)</f>
        <v>160000</v>
      </c>
      <c r="O38" s="158"/>
      <c r="P38" s="208"/>
    </row>
    <row r="39" spans="1:18" s="26" customFormat="1" outlineLevel="1" x14ac:dyDescent="0.2">
      <c r="A39" s="46" t="s">
        <v>91</v>
      </c>
      <c r="B39" s="15"/>
      <c r="C39" s="15"/>
      <c r="D39" s="15"/>
      <c r="F39" s="624">
        <v>0.4</v>
      </c>
      <c r="G39" s="23">
        <f>E38*F39</f>
        <v>64000</v>
      </c>
      <c r="H39" s="42">
        <v>1</v>
      </c>
      <c r="I39" s="15"/>
      <c r="J39" s="24"/>
      <c r="K39" s="25"/>
      <c r="L39" s="43"/>
      <c r="M39" s="80"/>
      <c r="N39" s="80">
        <f t="shared" si="0"/>
        <v>64000</v>
      </c>
      <c r="O39" s="16"/>
      <c r="P39" s="209"/>
      <c r="R39" s="27"/>
    </row>
    <row r="40" spans="1:18" s="26" customFormat="1" outlineLevel="1" x14ac:dyDescent="0.2">
      <c r="A40" s="46" t="s">
        <v>91</v>
      </c>
      <c r="B40" s="15"/>
      <c r="C40" s="15"/>
      <c r="D40" s="15"/>
      <c r="F40" s="624">
        <v>0.7</v>
      </c>
      <c r="G40" s="23">
        <v>48000</v>
      </c>
      <c r="H40" s="42">
        <v>2</v>
      </c>
      <c r="I40" s="15"/>
      <c r="J40" s="24"/>
      <c r="K40" s="25"/>
      <c r="L40" s="43"/>
      <c r="M40" s="80"/>
      <c r="N40" s="80">
        <f t="shared" si="0"/>
        <v>48000</v>
      </c>
      <c r="O40" s="16"/>
      <c r="P40" s="209" t="s">
        <v>83</v>
      </c>
      <c r="R40" s="27"/>
    </row>
    <row r="41" spans="1:18" s="26" customFormat="1" outlineLevel="1" x14ac:dyDescent="0.2">
      <c r="A41" s="46" t="s">
        <v>91</v>
      </c>
      <c r="B41" s="15"/>
      <c r="C41" s="15"/>
      <c r="D41" s="15"/>
      <c r="F41" s="550">
        <v>1</v>
      </c>
      <c r="G41" s="23">
        <f>E38*30%</f>
        <v>48000</v>
      </c>
      <c r="H41" s="42">
        <v>3</v>
      </c>
      <c r="I41" s="15"/>
      <c r="J41" s="24"/>
      <c r="K41" s="25"/>
      <c r="L41" s="43"/>
      <c r="M41" s="80"/>
      <c r="N41" s="80">
        <f t="shared" si="0"/>
        <v>48000</v>
      </c>
      <c r="O41" s="16"/>
      <c r="P41" s="209"/>
      <c r="R41" s="27"/>
    </row>
    <row r="42" spans="1:18" s="8" customFormat="1" x14ac:dyDescent="0.2">
      <c r="A42" s="48"/>
      <c r="B42" s="48"/>
      <c r="C42" s="48"/>
      <c r="D42" s="48"/>
      <c r="E42" s="41">
        <f>E6+E10+E14+E18+E22+E26+E30+E34+E38</f>
        <v>1370000</v>
      </c>
      <c r="F42" s="41"/>
      <c r="G42" s="41">
        <f>SUMPRODUCT((DateAF_CAF&lt;&gt;"")*MontantAF_CAF)</f>
        <v>1210000</v>
      </c>
      <c r="H42" s="49"/>
      <c r="I42" s="50"/>
      <c r="J42" s="41">
        <f>J6+J10+J14+J18+J22+J26+J30+J34</f>
        <v>1210000</v>
      </c>
      <c r="K42" s="50"/>
      <c r="L42" s="50"/>
      <c r="M42" s="41">
        <f>M6+M10+M14+M18+M22+M26+M30+M34+M38</f>
        <v>0</v>
      </c>
      <c r="N42" s="41">
        <f>N6+N10+N14+N18+N22+N26+N30+N34+N38</f>
        <v>160000</v>
      </c>
      <c r="O42" s="41"/>
      <c r="P42" s="211">
        <f>E42-(J42+M42+N42)</f>
        <v>0</v>
      </c>
      <c r="R42" s="20"/>
    </row>
    <row r="43" spans="1:18" x14ac:dyDescent="0.2">
      <c r="A43" s="74"/>
      <c r="B43" s="75"/>
      <c r="C43" s="75"/>
      <c r="D43" s="75"/>
      <c r="E43" s="75"/>
      <c r="F43" s="75"/>
      <c r="G43" s="75"/>
      <c r="H43" s="74"/>
      <c r="I43" s="75"/>
      <c r="J43" s="75"/>
      <c r="K43" s="75"/>
      <c r="L43" s="52"/>
      <c r="M43" s="1064">
        <f>SUM(M42:N42)</f>
        <v>160000</v>
      </c>
      <c r="N43" s="1065"/>
      <c r="O43" s="214"/>
    </row>
    <row r="45" spans="1:18" x14ac:dyDescent="0.2">
      <c r="A45" s="427" t="s">
        <v>221</v>
      </c>
    </row>
    <row r="47" spans="1:18" x14ac:dyDescent="0.2">
      <c r="A47" s="427" t="s">
        <v>222</v>
      </c>
      <c r="G47" s="366" t="s">
        <v>192</v>
      </c>
      <c r="J47" s="367" t="s">
        <v>194</v>
      </c>
      <c r="M47" s="366" t="s">
        <v>192</v>
      </c>
      <c r="N47" s="367" t="s">
        <v>194</v>
      </c>
    </row>
    <row r="48" spans="1:18" x14ac:dyDescent="0.2">
      <c r="F48" s="375">
        <v>41000</v>
      </c>
      <c r="G48" s="463">
        <f t="shared" ref="G48:G89" si="2">SUMPRODUCT((DateAF_CAF&lt;&gt;"")*(MONTH(DateAF_CAF)=MONTH(F48))*(YEAR(DateAF_CAF)=YEAR(F48))*MontantAF_CAF)</f>
        <v>28000</v>
      </c>
      <c r="I48" s="375">
        <v>41000</v>
      </c>
      <c r="J48" s="463">
        <f t="shared" ref="J48:J77" si="3">SUMPRODUCT((DatePmt_caf&lt;&gt;"")*(DatePmt_caf&lt;&gt;"en attente")*(MONTH(DatePmt_caf)=MONTH(I48))*(YEAR(DatePmt_caf)=YEAR(I48))*(ISNUMBER(MtntPaye_CAF)),MtntPaye_CAF)</f>
        <v>28000</v>
      </c>
      <c r="L48" s="1">
        <v>2012</v>
      </c>
      <c r="M48" s="463">
        <f t="shared" ref="M48:M53" si="4">SUMPRODUCT((YEAR($F$48:$F$77)=L48)*($G$48:$G$77))</f>
        <v>28000</v>
      </c>
      <c r="N48" s="463">
        <f t="shared" ref="N48:N53" si="5">SUMPRODUCT((YEAR($I$48:$I$77)=L48)*($J$48:$J$77))</f>
        <v>28000</v>
      </c>
    </row>
    <row r="49" spans="6:15" x14ac:dyDescent="0.2">
      <c r="F49" s="375">
        <v>41275</v>
      </c>
      <c r="G49" s="463">
        <f t="shared" si="2"/>
        <v>154000</v>
      </c>
      <c r="I49" s="375">
        <v>41275</v>
      </c>
      <c r="J49" s="463">
        <f t="shared" si="3"/>
        <v>0</v>
      </c>
      <c r="L49" s="1">
        <v>2013</v>
      </c>
      <c r="M49" s="463">
        <f t="shared" si="4"/>
        <v>175000</v>
      </c>
      <c r="N49" s="463">
        <f t="shared" si="5"/>
        <v>175000</v>
      </c>
    </row>
    <row r="50" spans="6:15" x14ac:dyDescent="0.2">
      <c r="F50" s="375">
        <v>41334</v>
      </c>
      <c r="G50" s="463">
        <f t="shared" si="2"/>
        <v>0</v>
      </c>
      <c r="I50" s="375">
        <v>41334</v>
      </c>
      <c r="J50" s="463">
        <f t="shared" si="3"/>
        <v>154000</v>
      </c>
      <c r="L50" s="1">
        <v>2014</v>
      </c>
      <c r="M50" s="463">
        <f t="shared" si="4"/>
        <v>190000</v>
      </c>
      <c r="N50" s="463">
        <f t="shared" si="5"/>
        <v>136000</v>
      </c>
    </row>
    <row r="51" spans="6:15" x14ac:dyDescent="0.2">
      <c r="F51" s="375">
        <v>41456</v>
      </c>
      <c r="G51" s="463">
        <f t="shared" si="2"/>
        <v>21000</v>
      </c>
      <c r="I51" s="375">
        <v>41456</v>
      </c>
      <c r="J51" s="463">
        <f t="shared" si="3"/>
        <v>0</v>
      </c>
      <c r="L51" s="1">
        <v>2015</v>
      </c>
      <c r="M51" s="463">
        <f t="shared" si="4"/>
        <v>269500</v>
      </c>
      <c r="N51" s="463">
        <f t="shared" si="5"/>
        <v>290500</v>
      </c>
    </row>
    <row r="52" spans="6:15" x14ac:dyDescent="0.2">
      <c r="F52" s="375">
        <v>41518</v>
      </c>
      <c r="G52" s="463">
        <f t="shared" si="2"/>
        <v>0</v>
      </c>
      <c r="I52" s="375">
        <v>41518</v>
      </c>
      <c r="J52" s="463">
        <f t="shared" si="3"/>
        <v>21000</v>
      </c>
      <c r="L52" s="1">
        <v>2016</v>
      </c>
      <c r="M52" s="463">
        <f t="shared" si="4"/>
        <v>135000</v>
      </c>
      <c r="N52" s="463">
        <f t="shared" si="5"/>
        <v>168000</v>
      </c>
    </row>
    <row r="53" spans="6:15" x14ac:dyDescent="0.2">
      <c r="F53" s="375">
        <v>41640</v>
      </c>
      <c r="G53" s="463">
        <f t="shared" si="2"/>
        <v>48000</v>
      </c>
      <c r="I53" s="375">
        <v>41640</v>
      </c>
      <c r="J53" s="463">
        <f t="shared" si="3"/>
        <v>0</v>
      </c>
      <c r="L53" s="1">
        <v>2017</v>
      </c>
      <c r="M53" s="463">
        <f t="shared" si="4"/>
        <v>288000</v>
      </c>
      <c r="N53" s="463">
        <f t="shared" si="5"/>
        <v>288000</v>
      </c>
    </row>
    <row r="54" spans="6:15" x14ac:dyDescent="0.2">
      <c r="F54" s="375">
        <v>41699</v>
      </c>
      <c r="G54" s="463">
        <f t="shared" si="2"/>
        <v>88000</v>
      </c>
      <c r="I54" s="375">
        <v>41699</v>
      </c>
      <c r="J54" s="463">
        <f t="shared" si="3"/>
        <v>0</v>
      </c>
      <c r="L54" s="1">
        <v>2018</v>
      </c>
      <c r="M54" s="463">
        <f>SUMPRODUCT((YEAR($F$48:$F$89)=L54)*($G$48:$G$89))</f>
        <v>124500</v>
      </c>
      <c r="N54" s="463">
        <f>SUMPRODUCT((YEAR($I$48:$I$89)=L54)*($J$48:$J$89))</f>
        <v>124500</v>
      </c>
    </row>
    <row r="55" spans="6:15" x14ac:dyDescent="0.2">
      <c r="F55" s="375">
        <v>41730</v>
      </c>
      <c r="G55" s="463">
        <f t="shared" si="2"/>
        <v>0</v>
      </c>
      <c r="I55" s="375">
        <v>41730</v>
      </c>
      <c r="J55" s="463">
        <f t="shared" si="3"/>
        <v>136000</v>
      </c>
      <c r="M55" s="464">
        <f>SUM(M48:M54)</f>
        <v>1210000</v>
      </c>
      <c r="N55" s="464">
        <f>SUM(N48:N54)</f>
        <v>1210000</v>
      </c>
      <c r="O55" s="463">
        <f>N55-M55</f>
        <v>0</v>
      </c>
    </row>
    <row r="56" spans="6:15" x14ac:dyDescent="0.2">
      <c r="F56" s="375">
        <v>41883</v>
      </c>
      <c r="G56" s="463">
        <f t="shared" si="2"/>
        <v>54000</v>
      </c>
      <c r="I56" s="375">
        <v>41883</v>
      </c>
      <c r="J56" s="463">
        <f t="shared" si="3"/>
        <v>0</v>
      </c>
      <c r="M56" s="465">
        <f>+M55-G90</f>
        <v>0</v>
      </c>
      <c r="N56" s="165">
        <f>+N55-J90</f>
        <v>0</v>
      </c>
    </row>
    <row r="57" spans="6:15" x14ac:dyDescent="0.2">
      <c r="F57" s="375">
        <v>42095</v>
      </c>
      <c r="G57" s="463">
        <f t="shared" si="2"/>
        <v>21000</v>
      </c>
      <c r="I57" s="375">
        <v>42095</v>
      </c>
      <c r="J57" s="463">
        <f t="shared" si="3"/>
        <v>0</v>
      </c>
    </row>
    <row r="58" spans="6:15" x14ac:dyDescent="0.2">
      <c r="F58" s="375">
        <v>42125</v>
      </c>
      <c r="G58" s="463">
        <f t="shared" si="2"/>
        <v>21000</v>
      </c>
      <c r="I58" s="375">
        <v>42125</v>
      </c>
      <c r="J58" s="463">
        <f t="shared" si="3"/>
        <v>0</v>
      </c>
    </row>
    <row r="59" spans="6:15" x14ac:dyDescent="0.2">
      <c r="F59" s="375">
        <v>42186</v>
      </c>
      <c r="G59" s="463">
        <f t="shared" si="2"/>
        <v>227500</v>
      </c>
      <c r="I59" s="375">
        <v>42186</v>
      </c>
      <c r="J59" s="463">
        <f t="shared" si="3"/>
        <v>63000</v>
      </c>
    </row>
    <row r="60" spans="6:15" x14ac:dyDescent="0.2">
      <c r="F60" s="375">
        <v>42217</v>
      </c>
      <c r="G60" s="463">
        <f t="shared" si="2"/>
        <v>0</v>
      </c>
      <c r="I60" s="375">
        <v>42217</v>
      </c>
      <c r="J60" s="463">
        <f t="shared" si="3"/>
        <v>202000</v>
      </c>
    </row>
    <row r="61" spans="6:15" x14ac:dyDescent="0.2">
      <c r="F61" s="375">
        <v>42278</v>
      </c>
      <c r="G61" s="463">
        <f t="shared" si="2"/>
        <v>0</v>
      </c>
      <c r="I61" s="375">
        <v>42278</v>
      </c>
      <c r="J61" s="463">
        <f t="shared" si="3"/>
        <v>25500</v>
      </c>
    </row>
    <row r="62" spans="6:15" x14ac:dyDescent="0.2">
      <c r="F62" s="375">
        <v>42430</v>
      </c>
      <c r="G62" s="463">
        <f t="shared" si="2"/>
        <v>33000</v>
      </c>
      <c r="I62" s="375">
        <v>42430</v>
      </c>
      <c r="J62" s="463">
        <f t="shared" si="3"/>
        <v>0</v>
      </c>
    </row>
    <row r="63" spans="6:15" x14ac:dyDescent="0.2">
      <c r="F63" s="375">
        <v>42491</v>
      </c>
      <c r="G63" s="463">
        <f t="shared" si="2"/>
        <v>66000</v>
      </c>
      <c r="I63" s="375">
        <v>42491</v>
      </c>
      <c r="J63" s="463">
        <f t="shared" si="3"/>
        <v>66000</v>
      </c>
    </row>
    <row r="64" spans="6:15" x14ac:dyDescent="0.2">
      <c r="F64" s="375">
        <v>42522</v>
      </c>
      <c r="G64" s="463">
        <f t="shared" si="2"/>
        <v>0</v>
      </c>
      <c r="I64" s="375">
        <v>42522</v>
      </c>
      <c r="J64" s="463">
        <f t="shared" si="3"/>
        <v>66000</v>
      </c>
    </row>
    <row r="65" spans="6:10" x14ac:dyDescent="0.2">
      <c r="F65" s="375">
        <v>42583</v>
      </c>
      <c r="G65" s="463">
        <f t="shared" si="2"/>
        <v>36000</v>
      </c>
      <c r="I65" s="375">
        <v>42583</v>
      </c>
      <c r="J65" s="463">
        <f t="shared" si="3"/>
        <v>0</v>
      </c>
    </row>
    <row r="66" spans="6:10" x14ac:dyDescent="0.2">
      <c r="F66" s="375">
        <v>42644</v>
      </c>
      <c r="G66" s="463">
        <f t="shared" si="2"/>
        <v>0</v>
      </c>
      <c r="I66" s="375">
        <v>42644</v>
      </c>
      <c r="J66" s="463">
        <f t="shared" si="3"/>
        <v>36000</v>
      </c>
    </row>
    <row r="67" spans="6:10" x14ac:dyDescent="0.2">
      <c r="F67" s="375">
        <v>42767</v>
      </c>
      <c r="G67" s="463">
        <f t="shared" si="2"/>
        <v>190500</v>
      </c>
      <c r="I67" s="375">
        <v>42767</v>
      </c>
      <c r="J67" s="463">
        <f t="shared" si="3"/>
        <v>0</v>
      </c>
    </row>
    <row r="68" spans="6:10" x14ac:dyDescent="0.2">
      <c r="F68" s="375">
        <v>42795</v>
      </c>
      <c r="G68" s="463">
        <f t="shared" si="2"/>
        <v>36000</v>
      </c>
      <c r="I68" s="375">
        <v>42795</v>
      </c>
      <c r="J68" s="463">
        <f t="shared" si="3"/>
        <v>190500</v>
      </c>
    </row>
    <row r="69" spans="6:10" x14ac:dyDescent="0.2">
      <c r="F69" s="375">
        <v>42826</v>
      </c>
      <c r="G69" s="463">
        <f t="shared" si="2"/>
        <v>25500</v>
      </c>
      <c r="I69" s="375">
        <v>42826</v>
      </c>
      <c r="J69" s="463">
        <f t="shared" si="3"/>
        <v>36000</v>
      </c>
    </row>
    <row r="70" spans="6:10" x14ac:dyDescent="0.2">
      <c r="F70" s="375">
        <v>42856</v>
      </c>
      <c r="G70" s="463">
        <f t="shared" si="2"/>
        <v>36000</v>
      </c>
      <c r="I70" s="375">
        <v>42856</v>
      </c>
      <c r="J70" s="463">
        <f t="shared" si="3"/>
        <v>25500</v>
      </c>
    </row>
    <row r="71" spans="6:10" x14ac:dyDescent="0.2">
      <c r="F71" s="375">
        <v>42887</v>
      </c>
      <c r="G71" s="463">
        <f t="shared" si="2"/>
        <v>0</v>
      </c>
      <c r="I71" s="375">
        <v>42887</v>
      </c>
      <c r="J71" s="463">
        <f t="shared" si="3"/>
        <v>36000</v>
      </c>
    </row>
    <row r="72" spans="6:10" x14ac:dyDescent="0.2">
      <c r="F72" s="375">
        <v>42917</v>
      </c>
      <c r="G72" s="463">
        <f t="shared" si="2"/>
        <v>0</v>
      </c>
      <c r="I72" s="375">
        <v>42917</v>
      </c>
      <c r="J72" s="463">
        <f t="shared" si="3"/>
        <v>0</v>
      </c>
    </row>
    <row r="73" spans="6:10" x14ac:dyDescent="0.2">
      <c r="F73" s="375">
        <v>42948</v>
      </c>
      <c r="G73" s="463">
        <f t="shared" si="2"/>
        <v>0</v>
      </c>
      <c r="I73" s="375">
        <v>42948</v>
      </c>
      <c r="J73" s="463">
        <f t="shared" si="3"/>
        <v>0</v>
      </c>
    </row>
    <row r="74" spans="6:10" x14ac:dyDescent="0.2">
      <c r="F74" s="375">
        <v>42979</v>
      </c>
      <c r="G74" s="463">
        <f t="shared" si="2"/>
        <v>0</v>
      </c>
      <c r="I74" s="375">
        <v>42979</v>
      </c>
      <c r="J74" s="463">
        <f t="shared" si="3"/>
        <v>0</v>
      </c>
    </row>
    <row r="75" spans="6:10" x14ac:dyDescent="0.2">
      <c r="F75" s="375">
        <v>43009</v>
      </c>
      <c r="G75" s="463">
        <f t="shared" si="2"/>
        <v>0</v>
      </c>
      <c r="I75" s="375">
        <v>43009</v>
      </c>
      <c r="J75" s="463">
        <f t="shared" si="3"/>
        <v>0</v>
      </c>
    </row>
    <row r="76" spans="6:10" x14ac:dyDescent="0.2">
      <c r="F76" s="375">
        <v>43040</v>
      </c>
      <c r="G76" s="463">
        <f t="shared" si="2"/>
        <v>0</v>
      </c>
      <c r="I76" s="375">
        <v>43040</v>
      </c>
      <c r="J76" s="463">
        <f t="shared" si="3"/>
        <v>0</v>
      </c>
    </row>
    <row r="77" spans="6:10" x14ac:dyDescent="0.2">
      <c r="F77" s="375">
        <v>43070</v>
      </c>
      <c r="G77" s="463">
        <f t="shared" si="2"/>
        <v>0</v>
      </c>
      <c r="I77" s="375">
        <v>43070</v>
      </c>
      <c r="J77" s="463">
        <f t="shared" si="3"/>
        <v>0</v>
      </c>
    </row>
    <row r="78" spans="6:10" x14ac:dyDescent="0.2">
      <c r="F78" s="375">
        <v>43101</v>
      </c>
      <c r="G78" s="463">
        <f t="shared" si="2"/>
        <v>0</v>
      </c>
      <c r="I78" s="375">
        <v>43101</v>
      </c>
      <c r="J78" s="463">
        <f t="shared" ref="J78:J89" si="6">SUMPRODUCT((DatePmt_caf&lt;&gt;"")*(DatePmt_caf&lt;&gt;"en attente")*(MONTH(DatePmt_caf)=MONTH(I78))*(YEAR(DatePmt_caf)=YEAR(I78))*(ISNUMBER(MtntPaye_CAF)),MtntPaye_CAF)</f>
        <v>0</v>
      </c>
    </row>
    <row r="79" spans="6:10" x14ac:dyDescent="0.2">
      <c r="F79" s="375">
        <v>43132</v>
      </c>
      <c r="G79" s="463">
        <f t="shared" si="2"/>
        <v>0</v>
      </c>
      <c r="I79" s="375">
        <v>43132</v>
      </c>
      <c r="J79" s="463">
        <f t="shared" si="6"/>
        <v>0</v>
      </c>
    </row>
    <row r="80" spans="6:10" x14ac:dyDescent="0.2">
      <c r="F80" s="375">
        <v>43160</v>
      </c>
      <c r="G80" s="463">
        <f t="shared" si="2"/>
        <v>124500</v>
      </c>
      <c r="I80" s="375">
        <v>43160</v>
      </c>
      <c r="J80" s="463">
        <f t="shared" si="6"/>
        <v>0</v>
      </c>
    </row>
    <row r="81" spans="1:16" x14ac:dyDescent="0.2">
      <c r="F81" s="375">
        <v>43191</v>
      </c>
      <c r="G81" s="463">
        <f t="shared" si="2"/>
        <v>0</v>
      </c>
      <c r="I81" s="375">
        <v>43191</v>
      </c>
      <c r="J81" s="463">
        <f t="shared" si="6"/>
        <v>0</v>
      </c>
    </row>
    <row r="82" spans="1:16" x14ac:dyDescent="0.2">
      <c r="F82" s="375">
        <v>43221</v>
      </c>
      <c r="G82" s="463">
        <f t="shared" si="2"/>
        <v>0</v>
      </c>
      <c r="I82" s="375">
        <v>43221</v>
      </c>
      <c r="J82" s="463">
        <f t="shared" si="6"/>
        <v>124500</v>
      </c>
    </row>
    <row r="83" spans="1:16" x14ac:dyDescent="0.2">
      <c r="F83" s="375">
        <v>43252</v>
      </c>
      <c r="G83" s="463">
        <f t="shared" si="2"/>
        <v>0</v>
      </c>
      <c r="I83" s="375">
        <v>43252</v>
      </c>
      <c r="J83" s="463">
        <f t="shared" si="6"/>
        <v>0</v>
      </c>
    </row>
    <row r="84" spans="1:16" x14ac:dyDescent="0.2">
      <c r="F84" s="375">
        <v>43282</v>
      </c>
      <c r="G84" s="463">
        <f t="shared" si="2"/>
        <v>0</v>
      </c>
      <c r="I84" s="375">
        <v>43282</v>
      </c>
      <c r="J84" s="463">
        <f t="shared" si="6"/>
        <v>0</v>
      </c>
    </row>
    <row r="85" spans="1:16" x14ac:dyDescent="0.2">
      <c r="F85" s="375">
        <v>43313</v>
      </c>
      <c r="G85" s="463">
        <f t="shared" si="2"/>
        <v>0</v>
      </c>
      <c r="I85" s="375">
        <v>43313</v>
      </c>
      <c r="J85" s="463">
        <f t="shared" si="6"/>
        <v>0</v>
      </c>
    </row>
    <row r="86" spans="1:16" x14ac:dyDescent="0.2">
      <c r="F86" s="375">
        <v>43344</v>
      </c>
      <c r="G86" s="463">
        <f t="shared" si="2"/>
        <v>0</v>
      </c>
      <c r="I86" s="375">
        <v>43344</v>
      </c>
      <c r="J86" s="463">
        <f t="shared" si="6"/>
        <v>0</v>
      </c>
    </row>
    <row r="87" spans="1:16" x14ac:dyDescent="0.2">
      <c r="F87" s="375">
        <v>43374</v>
      </c>
      <c r="G87" s="463">
        <f t="shared" si="2"/>
        <v>0</v>
      </c>
      <c r="I87" s="375">
        <v>43374</v>
      </c>
      <c r="J87" s="463">
        <f t="shared" si="6"/>
        <v>0</v>
      </c>
    </row>
    <row r="88" spans="1:16" x14ac:dyDescent="0.2">
      <c r="F88" s="375">
        <v>43405</v>
      </c>
      <c r="G88" s="463">
        <f t="shared" si="2"/>
        <v>0</v>
      </c>
      <c r="I88" s="375">
        <v>43405</v>
      </c>
      <c r="J88" s="463">
        <f t="shared" si="6"/>
        <v>0</v>
      </c>
    </row>
    <row r="89" spans="1:16" x14ac:dyDescent="0.2">
      <c r="F89" s="375">
        <v>43435</v>
      </c>
      <c r="G89" s="463">
        <f t="shared" si="2"/>
        <v>0</v>
      </c>
      <c r="I89" s="375">
        <v>43435</v>
      </c>
      <c r="J89" s="463">
        <f t="shared" si="6"/>
        <v>0</v>
      </c>
    </row>
    <row r="90" spans="1:16" s="8" customFormat="1" x14ac:dyDescent="0.2">
      <c r="A90" s="455"/>
      <c r="G90" s="464">
        <f>SUM(G48:G89)</f>
        <v>1210000</v>
      </c>
      <c r="H90" s="457"/>
      <c r="I90" s="457"/>
      <c r="J90" s="457">
        <f>SUM(J48:J89)</f>
        <v>1210000</v>
      </c>
      <c r="L90" s="1"/>
      <c r="M90" s="1"/>
      <c r="N90" s="1"/>
      <c r="P90" s="461"/>
    </row>
    <row r="91" spans="1:16" s="160" customFormat="1" x14ac:dyDescent="0.2">
      <c r="A91" s="462"/>
      <c r="G91" s="165">
        <f>+G90-G42</f>
        <v>0</v>
      </c>
      <c r="H91" s="462"/>
      <c r="J91" s="165">
        <f>+J90-J42</f>
        <v>0</v>
      </c>
      <c r="L91" s="8"/>
      <c r="M91" s="8"/>
      <c r="N91" s="8"/>
    </row>
    <row r="92" spans="1:16" x14ac:dyDescent="0.2">
      <c r="L92" s="160"/>
      <c r="M92" s="160"/>
      <c r="N92" s="160"/>
    </row>
  </sheetData>
  <autoFilter ref="A4:P5">
    <filterColumn colId="6" showButton="0"/>
    <filterColumn colId="7" showButton="0"/>
    <filterColumn colId="8" showButton="0"/>
    <filterColumn colId="9" showButton="0"/>
    <filterColumn colId="10" showButton="0"/>
    <filterColumn colId="12" showButton="0"/>
  </autoFilter>
  <mergeCells count="7">
    <mergeCell ref="M43:N43"/>
    <mergeCell ref="A2:M2"/>
    <mergeCell ref="A4:A5"/>
    <mergeCell ref="B4:B5"/>
    <mergeCell ref="E4:E5"/>
    <mergeCell ref="G4:L4"/>
    <mergeCell ref="M4:N4"/>
  </mergeCells>
  <pageMargins left="0.7" right="0.7" top="0.75" bottom="0.75" header="0.3" footer="0.3"/>
  <pageSetup paperSize="9" scale="42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2:S101"/>
  <sheetViews>
    <sheetView zoomScaleNormal="100" workbookViewId="0">
      <pane xSplit="1" ySplit="5" topLeftCell="F36" activePane="bottomRight" state="frozen"/>
      <selection pane="topRight" activeCell="B1" sqref="B1"/>
      <selection pane="bottomLeft" activeCell="A6" sqref="A6"/>
      <selection pane="bottomRight" activeCell="N24" sqref="N24"/>
    </sheetView>
  </sheetViews>
  <sheetFormatPr baseColWidth="10" defaultColWidth="11.42578125" defaultRowHeight="12" outlineLevelRow="1" outlineLevelCol="1" x14ac:dyDescent="0.2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3.42578125" style="1" customWidth="1"/>
    <col min="9" max="9" width="14.42578125" style="1" customWidth="1"/>
    <col min="10" max="10" width="4.140625" style="6" bestFit="1" customWidth="1"/>
    <col min="11" max="11" width="10.42578125" style="1" bestFit="1" customWidth="1"/>
    <col min="12" max="12" width="14.5703125" style="1" customWidth="1"/>
    <col min="13" max="13" width="10.42578125" style="1" bestFit="1" customWidth="1"/>
    <col min="14" max="14" width="18.5703125" style="1" bestFit="1" customWidth="1"/>
    <col min="15" max="15" width="14.42578125" style="1" customWidth="1"/>
    <col min="16" max="17" width="14.42578125" style="1" bestFit="1" customWidth="1"/>
    <col min="18" max="18" width="18" style="160" customWidth="1"/>
    <col min="19" max="16384" width="11.42578125" style="1"/>
  </cols>
  <sheetData>
    <row r="2" spans="1:19" x14ac:dyDescent="0.2">
      <c r="A2" s="1066" t="s">
        <v>62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1066"/>
      <c r="O2" s="1066"/>
      <c r="P2" s="9">
        <f ca="1">TODAY()</f>
        <v>43696</v>
      </c>
      <c r="Q2" s="9"/>
    </row>
    <row r="4" spans="1:19" s="2" customFormat="1" x14ac:dyDescent="0.2">
      <c r="A4" s="1083" t="s">
        <v>2</v>
      </c>
      <c r="B4" s="1083" t="s">
        <v>0</v>
      </c>
      <c r="C4" s="1071" t="s">
        <v>19</v>
      </c>
      <c r="D4" s="204" t="s">
        <v>102</v>
      </c>
      <c r="E4" s="204" t="s">
        <v>97</v>
      </c>
      <c r="F4" s="204" t="s">
        <v>100</v>
      </c>
      <c r="G4" s="1071" t="s">
        <v>10</v>
      </c>
      <c r="H4" s="911"/>
      <c r="I4" s="1067" t="s">
        <v>4</v>
      </c>
      <c r="J4" s="1068"/>
      <c r="K4" s="1068"/>
      <c r="L4" s="1068"/>
      <c r="M4" s="1068"/>
      <c r="N4" s="1069"/>
      <c r="O4" s="1070" t="s">
        <v>11</v>
      </c>
      <c r="P4" s="1071"/>
      <c r="Q4" s="3" t="s">
        <v>99</v>
      </c>
      <c r="R4" s="207"/>
      <c r="S4" s="63"/>
    </row>
    <row r="5" spans="1:19" s="13" customFormat="1" ht="21.75" customHeight="1" x14ac:dyDescent="0.2">
      <c r="A5" s="1084"/>
      <c r="B5" s="1084"/>
      <c r="C5" s="1085"/>
      <c r="D5" s="205"/>
      <c r="E5" s="205"/>
      <c r="F5" s="205"/>
      <c r="G5" s="1085"/>
      <c r="H5" s="936"/>
      <c r="I5" s="10" t="s">
        <v>1</v>
      </c>
      <c r="J5" s="11" t="s">
        <v>3</v>
      </c>
      <c r="K5" s="11" t="s">
        <v>13</v>
      </c>
      <c r="L5" s="12" t="s">
        <v>12</v>
      </c>
      <c r="M5" s="10" t="s">
        <v>13</v>
      </c>
      <c r="N5" s="11" t="s">
        <v>16</v>
      </c>
      <c r="O5" s="3" t="s">
        <v>18</v>
      </c>
      <c r="P5" s="3" t="s">
        <v>17</v>
      </c>
      <c r="Q5" s="3"/>
      <c r="R5" s="160"/>
    </row>
    <row r="6" spans="1:19" x14ac:dyDescent="0.2">
      <c r="A6" s="320" t="s">
        <v>218</v>
      </c>
      <c r="B6" s="393"/>
      <c r="C6" s="326">
        <v>41547</v>
      </c>
      <c r="D6" s="394"/>
      <c r="E6" s="394"/>
      <c r="F6" s="394"/>
      <c r="G6" s="322">
        <f>44565.76+O8</f>
        <v>38067.93</v>
      </c>
      <c r="H6" s="322"/>
      <c r="I6" s="323"/>
      <c r="J6" s="395"/>
      <c r="K6" s="327"/>
      <c r="L6" s="325">
        <f>SUM(L7:L8)</f>
        <v>38067.93</v>
      </c>
      <c r="M6" s="326"/>
      <c r="N6" s="327"/>
      <c r="O6" s="322">
        <f>SUM(O7)</f>
        <v>0</v>
      </c>
      <c r="P6" s="322">
        <f>SUM(P7)</f>
        <v>0</v>
      </c>
      <c r="Q6" s="328"/>
      <c r="R6" s="208">
        <f>G6-(L6+O6+P6)</f>
        <v>0</v>
      </c>
    </row>
    <row r="7" spans="1:19" s="26" customFormat="1" outlineLevel="1" x14ac:dyDescent="0.2">
      <c r="A7" s="329" t="s">
        <v>218</v>
      </c>
      <c r="B7" s="348"/>
      <c r="C7" s="342"/>
      <c r="D7" s="342"/>
      <c r="E7" s="342"/>
      <c r="F7" s="342"/>
      <c r="G7" s="350"/>
      <c r="H7" s="350"/>
      <c r="I7" s="344">
        <v>44565.760000000002</v>
      </c>
      <c r="J7" s="345">
        <v>1</v>
      </c>
      <c r="K7" s="347">
        <v>42246</v>
      </c>
      <c r="L7" s="344">
        <v>38067.93</v>
      </c>
      <c r="M7" s="347">
        <v>42284</v>
      </c>
      <c r="N7" s="348"/>
      <c r="O7" s="349" t="str">
        <f>IF(L7="en attente",I7,"")</f>
        <v/>
      </c>
      <c r="P7" s="349"/>
      <c r="Q7" s="350"/>
      <c r="R7" s="160"/>
    </row>
    <row r="8" spans="1:19" s="26" customFormat="1" outlineLevel="1" x14ac:dyDescent="0.2">
      <c r="A8" s="329"/>
      <c r="B8" s="348"/>
      <c r="C8" s="342"/>
      <c r="D8" s="342"/>
      <c r="E8" s="342"/>
      <c r="F8" s="342"/>
      <c r="G8" s="350"/>
      <c r="H8" s="350"/>
      <c r="I8" s="344"/>
      <c r="J8" s="345"/>
      <c r="K8" s="342"/>
      <c r="L8" s="346"/>
      <c r="M8" s="347">
        <v>42369</v>
      </c>
      <c r="N8" s="348"/>
      <c r="O8" s="387">
        <v>-6497.83</v>
      </c>
      <c r="P8" s="349"/>
      <c r="Q8" s="350"/>
      <c r="R8" s="386" t="s">
        <v>217</v>
      </c>
    </row>
    <row r="9" spans="1:19" s="106" customFormat="1" x14ac:dyDescent="0.2">
      <c r="A9" s="320" t="s">
        <v>33</v>
      </c>
      <c r="B9" s="327"/>
      <c r="C9" s="321">
        <v>41091</v>
      </c>
      <c r="D9" s="321"/>
      <c r="E9" s="321"/>
      <c r="F9" s="321"/>
      <c r="G9" s="322">
        <v>20808.98</v>
      </c>
      <c r="H9" s="322"/>
      <c r="I9" s="323"/>
      <c r="J9" s="324"/>
      <c r="K9" s="321"/>
      <c r="L9" s="325">
        <f>SUM(L10)</f>
        <v>20808.98</v>
      </c>
      <c r="M9" s="326"/>
      <c r="N9" s="327"/>
      <c r="O9" s="328">
        <f>SUM(O10)</f>
        <v>0</v>
      </c>
      <c r="P9" s="328">
        <f>SUM(P10)</f>
        <v>0</v>
      </c>
      <c r="Q9" s="388"/>
      <c r="R9" s="207"/>
    </row>
    <row r="10" spans="1:19" s="26" customFormat="1" outlineLevel="1" x14ac:dyDescent="0.2">
      <c r="A10" s="351" t="s">
        <v>33</v>
      </c>
      <c r="B10" s="389"/>
      <c r="C10" s="390"/>
      <c r="D10" s="390"/>
      <c r="E10" s="390"/>
      <c r="F10" s="390"/>
      <c r="G10" s="391"/>
      <c r="H10" s="391"/>
      <c r="I10" s="354">
        <v>20808.98</v>
      </c>
      <c r="J10" s="355">
        <v>1</v>
      </c>
      <c r="K10" s="353">
        <v>41668</v>
      </c>
      <c r="L10" s="356">
        <v>20808.98</v>
      </c>
      <c r="M10" s="357">
        <v>42158</v>
      </c>
      <c r="N10" s="358">
        <f>$M$10-K10</f>
        <v>490</v>
      </c>
      <c r="O10" s="359" t="str">
        <f>IF(L10="en attente",I10,"")</f>
        <v/>
      </c>
      <c r="P10" s="359">
        <f t="shared" ref="P10:P29" si="0">IF(K10="",I10-L10,0)</f>
        <v>0</v>
      </c>
      <c r="Q10" s="392"/>
      <c r="R10" s="160"/>
    </row>
    <row r="11" spans="1:19" s="8" customFormat="1" x14ac:dyDescent="0.2">
      <c r="A11" s="320" t="s">
        <v>365</v>
      </c>
      <c r="B11" s="393" t="s">
        <v>101</v>
      </c>
      <c r="C11" s="321">
        <v>41149</v>
      </c>
      <c r="D11" s="321">
        <v>41044</v>
      </c>
      <c r="E11" s="321">
        <f>DATE(YEAR(C11)+2,MONTH(C11),DAY(C11))</f>
        <v>41879</v>
      </c>
      <c r="F11" s="321">
        <v>41983</v>
      </c>
      <c r="G11" s="323">
        <v>210000</v>
      </c>
      <c r="H11" s="322"/>
      <c r="I11" s="323"/>
      <c r="J11" s="324"/>
      <c r="K11" s="321"/>
      <c r="L11" s="325">
        <f>SUM(L12:L13)</f>
        <v>210000</v>
      </c>
      <c r="M11" s="326"/>
      <c r="N11" s="327"/>
      <c r="O11" s="328">
        <f>SUM(O12:O13)</f>
        <v>0</v>
      </c>
      <c r="P11" s="328">
        <f>SUM(P12:P13)</f>
        <v>0</v>
      </c>
      <c r="Q11" s="328"/>
      <c r="R11" s="208">
        <f>G11-(L11+O11+P11)</f>
        <v>0</v>
      </c>
    </row>
    <row r="12" spans="1:19" outlineLevel="1" x14ac:dyDescent="0.2">
      <c r="A12" s="329" t="s">
        <v>365</v>
      </c>
      <c r="B12" s="330"/>
      <c r="C12" s="342"/>
      <c r="D12" s="342"/>
      <c r="E12" s="342"/>
      <c r="F12" s="342"/>
      <c r="G12" s="408"/>
      <c r="H12" s="343">
        <f>I12/$G$11</f>
        <v>0.5</v>
      </c>
      <c r="I12" s="344">
        <v>105000</v>
      </c>
      <c r="J12" s="345">
        <v>1</v>
      </c>
      <c r="K12" s="342">
        <v>41485</v>
      </c>
      <c r="L12" s="346">
        <v>105000</v>
      </c>
      <c r="M12" s="347">
        <v>41522</v>
      </c>
      <c r="N12" s="348">
        <f>$M$12-K12</f>
        <v>37</v>
      </c>
      <c r="O12" s="349" t="str">
        <f>IF(L12="en attente",I12,"")</f>
        <v/>
      </c>
      <c r="P12" s="349">
        <f t="shared" si="0"/>
        <v>0</v>
      </c>
      <c r="Q12" s="350"/>
      <c r="R12" s="209"/>
    </row>
    <row r="13" spans="1:19" outlineLevel="1" x14ac:dyDescent="0.2">
      <c r="A13" s="329" t="s">
        <v>365</v>
      </c>
      <c r="B13" s="330"/>
      <c r="C13" s="342"/>
      <c r="D13" s="342"/>
      <c r="E13" s="342"/>
      <c r="F13" s="342"/>
      <c r="G13" s="408"/>
      <c r="H13" s="343">
        <f>I13/$G$11+H12</f>
        <v>1</v>
      </c>
      <c r="I13" s="344">
        <v>105000</v>
      </c>
      <c r="J13" s="345">
        <v>2</v>
      </c>
      <c r="K13" s="342">
        <v>42411</v>
      </c>
      <c r="L13" s="346">
        <v>105000</v>
      </c>
      <c r="M13" s="347">
        <v>42723</v>
      </c>
      <c r="N13" s="348"/>
      <c r="O13" s="349" t="str">
        <f>IF(L13="en attente",I13,"")</f>
        <v/>
      </c>
      <c r="P13" s="349">
        <f t="shared" si="0"/>
        <v>0</v>
      </c>
      <c r="Q13" s="350"/>
    </row>
    <row r="14" spans="1:19" s="8" customFormat="1" x14ac:dyDescent="0.2">
      <c r="A14" s="320" t="s">
        <v>89</v>
      </c>
      <c r="B14" s="393" t="s">
        <v>103</v>
      </c>
      <c r="C14" s="321">
        <v>41334</v>
      </c>
      <c r="D14" s="321">
        <v>41025</v>
      </c>
      <c r="E14" s="321">
        <f>DATE(YEAR(C14)+2,MONTH(C14),DAY(C14))</f>
        <v>42064</v>
      </c>
      <c r="F14" s="321">
        <v>42275</v>
      </c>
      <c r="G14" s="323">
        <v>200000</v>
      </c>
      <c r="H14" s="322"/>
      <c r="I14" s="323"/>
      <c r="J14" s="324"/>
      <c r="K14" s="321"/>
      <c r="L14" s="325">
        <f>SUM(L15:L16)</f>
        <v>200000</v>
      </c>
      <c r="M14" s="326"/>
      <c r="N14" s="327"/>
      <c r="O14" s="328">
        <f>SUM(O15:O16)</f>
        <v>0</v>
      </c>
      <c r="P14" s="328">
        <f>SUM(P15:P16)</f>
        <v>0</v>
      </c>
      <c r="Q14" s="328"/>
      <c r="R14" s="208">
        <f>G14-(L14+O14+P14)</f>
        <v>0</v>
      </c>
    </row>
    <row r="15" spans="1:19" outlineLevel="1" x14ac:dyDescent="0.2">
      <c r="A15" s="329" t="s">
        <v>89</v>
      </c>
      <c r="B15" s="330"/>
      <c r="C15" s="342"/>
      <c r="D15" s="342"/>
      <c r="E15" s="342"/>
      <c r="F15" s="342"/>
      <c r="G15" s="408"/>
      <c r="H15" s="343">
        <f>I15/$G$14</f>
        <v>0.5</v>
      </c>
      <c r="I15" s="344">
        <v>100000</v>
      </c>
      <c r="J15" s="345">
        <v>1</v>
      </c>
      <c r="K15" s="342">
        <v>41485</v>
      </c>
      <c r="L15" s="346">
        <v>100000</v>
      </c>
      <c r="M15" s="347">
        <v>41522</v>
      </c>
      <c r="N15" s="348">
        <f>$M$15-K15</f>
        <v>37</v>
      </c>
      <c r="O15" s="349" t="str">
        <f>IF(L15="en attente",I15,"")</f>
        <v/>
      </c>
      <c r="P15" s="349">
        <f t="shared" si="0"/>
        <v>0</v>
      </c>
      <c r="Q15" s="350"/>
      <c r="R15" s="208"/>
    </row>
    <row r="16" spans="1:19" outlineLevel="1" x14ac:dyDescent="0.2">
      <c r="A16" s="351" t="s">
        <v>89</v>
      </c>
      <c r="B16" s="352"/>
      <c r="C16" s="353"/>
      <c r="D16" s="353"/>
      <c r="E16" s="353"/>
      <c r="F16" s="353"/>
      <c r="G16" s="408"/>
      <c r="H16" s="343">
        <f>I16/$G$14+H15</f>
        <v>1</v>
      </c>
      <c r="I16" s="354">
        <v>100000</v>
      </c>
      <c r="J16" s="355">
        <v>2</v>
      </c>
      <c r="K16" s="353">
        <v>42710</v>
      </c>
      <c r="L16" s="356">
        <v>100000</v>
      </c>
      <c r="M16" s="357">
        <v>42788</v>
      </c>
      <c r="N16" s="358"/>
      <c r="O16" s="359" t="str">
        <f>IF(L16="en attente",I16,"")</f>
        <v/>
      </c>
      <c r="P16" s="349">
        <f t="shared" si="0"/>
        <v>0</v>
      </c>
      <c r="Q16" s="360"/>
      <c r="R16" s="208"/>
    </row>
    <row r="17" spans="1:19" s="8" customFormat="1" x14ac:dyDescent="0.2">
      <c r="A17" s="320" t="s">
        <v>61</v>
      </c>
      <c r="B17" s="321" t="s">
        <v>106</v>
      </c>
      <c r="C17" s="321">
        <v>40892</v>
      </c>
      <c r="D17" s="321">
        <v>40613</v>
      </c>
      <c r="E17" s="321">
        <v>42277</v>
      </c>
      <c r="F17" s="321">
        <v>41890</v>
      </c>
      <c r="G17" s="323">
        <f>1470807.68*0+L17-O17</f>
        <v>1272168.47</v>
      </c>
      <c r="H17" s="322"/>
      <c r="I17" s="323"/>
      <c r="J17" s="324"/>
      <c r="K17" s="321"/>
      <c r="L17" s="325">
        <f>SUM(L18:L21)</f>
        <v>1290562.67</v>
      </c>
      <c r="M17" s="326"/>
      <c r="N17" s="327"/>
      <c r="O17" s="328">
        <f>SUM(O18:O21)</f>
        <v>18394.199999999953</v>
      </c>
      <c r="P17" s="328">
        <f>SUM(P18:P21)</f>
        <v>0</v>
      </c>
      <c r="Q17" s="328"/>
      <c r="R17" s="208">
        <f>G17-(L17+O17+P17)</f>
        <v>-36788.399999999907</v>
      </c>
      <c r="S17" s="756" t="s">
        <v>359</v>
      </c>
    </row>
    <row r="18" spans="1:19" s="217" customFormat="1" ht="36" customHeight="1" outlineLevel="1" x14ac:dyDescent="0.2">
      <c r="A18" s="329" t="s">
        <v>61</v>
      </c>
      <c r="B18" s="330"/>
      <c r="C18" s="331"/>
      <c r="D18" s="332" t="s">
        <v>104</v>
      </c>
      <c r="E18" s="331">
        <v>42338</v>
      </c>
      <c r="F18" s="331"/>
      <c r="G18" s="989"/>
      <c r="H18" s="333">
        <f>I18/$G$17</f>
        <v>0.57807115750950822</v>
      </c>
      <c r="I18" s="334">
        <v>735403.9</v>
      </c>
      <c r="J18" s="335">
        <v>1</v>
      </c>
      <c r="K18" s="331">
        <v>40816</v>
      </c>
      <c r="L18" s="336">
        <v>735403.9</v>
      </c>
      <c r="M18" s="337">
        <v>40907</v>
      </c>
      <c r="N18" s="338">
        <f>$M$15-K18</f>
        <v>706</v>
      </c>
      <c r="O18" s="339" t="str">
        <f>IF(L18="en attente",I18,"")</f>
        <v/>
      </c>
      <c r="P18" s="340">
        <f t="shared" si="0"/>
        <v>0</v>
      </c>
      <c r="Q18" s="341"/>
      <c r="R18" s="216"/>
    </row>
    <row r="19" spans="1:19" outlineLevel="1" x14ac:dyDescent="0.2">
      <c r="A19" s="329" t="s">
        <v>61</v>
      </c>
      <c r="B19" s="330"/>
      <c r="C19" s="342"/>
      <c r="D19" s="342"/>
      <c r="E19" s="342"/>
      <c r="F19" s="342"/>
      <c r="G19" s="408"/>
      <c r="H19" s="343">
        <f>I19/$G$17+H18</f>
        <v>0.63614066775291178</v>
      </c>
      <c r="I19" s="344">
        <v>73874.2</v>
      </c>
      <c r="J19" s="345">
        <v>2</v>
      </c>
      <c r="K19" s="342">
        <v>41977</v>
      </c>
      <c r="L19" s="346"/>
      <c r="M19" s="347"/>
      <c r="N19" s="348">
        <f ca="1">$P$2-K19</f>
        <v>1719</v>
      </c>
      <c r="O19" s="349" t="str">
        <f>IF(L19="en attente",I19,"")</f>
        <v/>
      </c>
      <c r="P19" s="349">
        <f t="shared" si="0"/>
        <v>0</v>
      </c>
      <c r="Q19" s="350" t="s">
        <v>189</v>
      </c>
      <c r="R19" s="209"/>
    </row>
    <row r="20" spans="1:19" outlineLevel="1" x14ac:dyDescent="0.2">
      <c r="A20" s="329" t="s">
        <v>61</v>
      </c>
      <c r="B20" s="330"/>
      <c r="C20" s="342"/>
      <c r="D20" s="342"/>
      <c r="E20" s="342"/>
      <c r="F20" s="342"/>
      <c r="G20" s="408"/>
      <c r="H20" s="343">
        <f>I20/$G$17+H19</f>
        <v>1.0289178680870783</v>
      </c>
      <c r="I20" s="344">
        <v>499678.77</v>
      </c>
      <c r="J20" s="345">
        <v>3</v>
      </c>
      <c r="K20" s="342">
        <v>42334</v>
      </c>
      <c r="L20" s="346">
        <v>555158.77</v>
      </c>
      <c r="M20" s="347">
        <v>42355</v>
      </c>
      <c r="N20" s="348"/>
      <c r="O20" s="349">
        <f>(I20+I19)-L20</f>
        <v>18394.199999999953</v>
      </c>
      <c r="P20" s="349">
        <f t="shared" si="0"/>
        <v>0</v>
      </c>
      <c r="Q20" s="350" t="s">
        <v>190</v>
      </c>
      <c r="R20" s="209"/>
    </row>
    <row r="21" spans="1:19" outlineLevel="1" x14ac:dyDescent="0.2">
      <c r="A21" s="329"/>
      <c r="B21" s="330"/>
      <c r="C21" s="342"/>
      <c r="D21" s="342"/>
      <c r="E21" s="342"/>
      <c r="F21" s="342"/>
      <c r="G21" s="961"/>
      <c r="H21" s="343"/>
      <c r="I21" s="344"/>
      <c r="J21" s="345"/>
      <c r="K21" s="342"/>
      <c r="L21" s="346"/>
      <c r="M21" s="347"/>
      <c r="N21" s="348"/>
      <c r="O21" s="349" t="str">
        <f>IF(L21="en attente",I21,"")</f>
        <v/>
      </c>
      <c r="P21" s="349">
        <f t="shared" si="0"/>
        <v>0</v>
      </c>
      <c r="Q21" s="350"/>
      <c r="R21" s="209"/>
    </row>
    <row r="22" spans="1:19" s="8" customFormat="1" x14ac:dyDescent="0.2">
      <c r="A22" s="118" t="s">
        <v>326</v>
      </c>
      <c r="B22" s="766" t="s">
        <v>327</v>
      </c>
      <c r="C22" s="150">
        <v>43255</v>
      </c>
      <c r="D22" s="150">
        <v>44104</v>
      </c>
      <c r="E22" s="150">
        <v>44196</v>
      </c>
      <c r="F22" s="150"/>
      <c r="G22" s="256">
        <v>1227844</v>
      </c>
      <c r="H22" s="985"/>
      <c r="I22" s="122"/>
      <c r="J22" s="768"/>
      <c r="K22" s="150"/>
      <c r="L22" s="125">
        <f>SUM(L23:L25)</f>
        <v>920883</v>
      </c>
      <c r="M22" s="150"/>
      <c r="N22" s="769"/>
      <c r="O22" s="169">
        <f>SUM(O23:O25)</f>
        <v>0</v>
      </c>
      <c r="P22" s="169">
        <f>SUM(P23:P25)</f>
        <v>306961</v>
      </c>
      <c r="Q22" s="122"/>
      <c r="R22" s="680"/>
    </row>
    <row r="23" spans="1:19" outlineLevel="1" x14ac:dyDescent="0.2">
      <c r="A23" s="46" t="s">
        <v>326</v>
      </c>
      <c r="B23" s="676"/>
      <c r="C23" s="30"/>
      <c r="D23" s="30"/>
      <c r="E23" s="30" t="s">
        <v>328</v>
      </c>
      <c r="F23" s="30" t="s">
        <v>342</v>
      </c>
      <c r="G23" s="990"/>
      <c r="H23" s="986">
        <v>0.5</v>
      </c>
      <c r="I23" s="23">
        <f>G22*50%</f>
        <v>613922</v>
      </c>
      <c r="J23" s="675">
        <v>1</v>
      </c>
      <c r="K23" s="30">
        <v>43305</v>
      </c>
      <c r="L23" s="24">
        <v>613922</v>
      </c>
      <c r="M23" s="30">
        <v>43321</v>
      </c>
      <c r="N23" s="453"/>
      <c r="O23" s="362" t="str">
        <f>IF(L23="en attente",I23,"")</f>
        <v/>
      </c>
      <c r="P23" s="362">
        <f t="shared" si="0"/>
        <v>0</v>
      </c>
      <c r="Q23" s="23"/>
      <c r="R23" s="209"/>
    </row>
    <row r="24" spans="1:19" outlineLevel="1" x14ac:dyDescent="0.2">
      <c r="A24" s="46" t="s">
        <v>326</v>
      </c>
      <c r="B24" s="676"/>
      <c r="C24" s="30"/>
      <c r="D24" s="30"/>
      <c r="E24" s="30"/>
      <c r="F24" s="30" t="s">
        <v>341</v>
      </c>
      <c r="G24" s="990"/>
      <c r="H24" s="986">
        <v>0.25</v>
      </c>
      <c r="I24" s="23">
        <f>+G22*H24</f>
        <v>306961</v>
      </c>
      <c r="J24" s="675">
        <v>2</v>
      </c>
      <c r="K24" s="30">
        <v>43628</v>
      </c>
      <c r="L24" s="24">
        <v>306961</v>
      </c>
      <c r="M24" s="30">
        <v>43661</v>
      </c>
      <c r="N24" s="453"/>
      <c r="O24" s="362" t="str">
        <f t="shared" ref="O24:O25" si="1">IF(L24="en attente",I24,"")</f>
        <v/>
      </c>
      <c r="P24" s="362">
        <f t="shared" si="0"/>
        <v>0</v>
      </c>
      <c r="Q24" s="23"/>
      <c r="R24" s="209"/>
    </row>
    <row r="25" spans="1:19" outlineLevel="1" x14ac:dyDescent="0.2">
      <c r="A25" s="117" t="s">
        <v>326</v>
      </c>
      <c r="B25" s="681"/>
      <c r="C25" s="154"/>
      <c r="D25" s="154"/>
      <c r="E25" s="154"/>
      <c r="F25" s="154" t="s">
        <v>343</v>
      </c>
      <c r="G25" s="990"/>
      <c r="H25" s="987">
        <v>0.25</v>
      </c>
      <c r="I25" s="35">
        <f>+G22*H25</f>
        <v>306961</v>
      </c>
      <c r="J25" s="683">
        <v>3</v>
      </c>
      <c r="K25" s="154"/>
      <c r="L25" s="37"/>
      <c r="M25" s="154"/>
      <c r="N25" s="684"/>
      <c r="O25" s="362" t="str">
        <f t="shared" si="1"/>
        <v/>
      </c>
      <c r="P25" s="439">
        <f t="shared" si="0"/>
        <v>306961</v>
      </c>
      <c r="Q25" s="35"/>
      <c r="R25" s="209"/>
    </row>
    <row r="26" spans="1:19" x14ac:dyDescent="0.2">
      <c r="A26" s="128" t="s">
        <v>346</v>
      </c>
      <c r="B26" s="770" t="s">
        <v>347</v>
      </c>
      <c r="C26" s="146">
        <v>43285</v>
      </c>
      <c r="D26" s="146">
        <v>44104</v>
      </c>
      <c r="E26" s="146">
        <v>44195</v>
      </c>
      <c r="F26" s="771"/>
      <c r="G26" s="256">
        <v>655125</v>
      </c>
      <c r="H26" s="988"/>
      <c r="I26" s="140"/>
      <c r="J26" s="773"/>
      <c r="K26" s="771"/>
      <c r="L26" s="134">
        <f>SUM(L27:L29)</f>
        <v>327562.5</v>
      </c>
      <c r="M26" s="771"/>
      <c r="N26" s="774"/>
      <c r="O26" s="169">
        <f>SUM(O27:O29)</f>
        <v>163781.25</v>
      </c>
      <c r="P26" s="149">
        <f>SUM(P27:P29)</f>
        <v>163781.25</v>
      </c>
      <c r="Q26" s="140"/>
      <c r="R26" s="209"/>
    </row>
    <row r="27" spans="1:19" outlineLevel="1" x14ac:dyDescent="0.2">
      <c r="A27" s="46" t="s">
        <v>346</v>
      </c>
      <c r="B27" s="676"/>
      <c r="C27" s="30"/>
      <c r="D27" s="30"/>
      <c r="E27" s="30" t="s">
        <v>328</v>
      </c>
      <c r="F27" s="30" t="s">
        <v>342</v>
      </c>
      <c r="G27" s="990"/>
      <c r="H27" s="986">
        <v>0.5</v>
      </c>
      <c r="I27" s="23">
        <f>+G26*H27</f>
        <v>327562.5</v>
      </c>
      <c r="J27" s="675">
        <v>1</v>
      </c>
      <c r="K27" s="30">
        <v>43381</v>
      </c>
      <c r="L27" s="24">
        <v>327562.5</v>
      </c>
      <c r="M27" s="30">
        <v>43433</v>
      </c>
      <c r="N27" s="453"/>
      <c r="O27" s="362" t="str">
        <f>IF(L27="en attente",I27,"")</f>
        <v/>
      </c>
      <c r="P27" s="362">
        <f t="shared" si="0"/>
        <v>0</v>
      </c>
      <c r="Q27" s="23"/>
      <c r="R27" s="209"/>
    </row>
    <row r="28" spans="1:19" outlineLevel="1" x14ac:dyDescent="0.2">
      <c r="A28" s="46" t="s">
        <v>346</v>
      </c>
      <c r="B28" s="676"/>
      <c r="C28" s="30"/>
      <c r="D28" s="30"/>
      <c r="E28" s="30"/>
      <c r="F28" s="30" t="s">
        <v>341</v>
      </c>
      <c r="G28" s="990"/>
      <c r="H28" s="986">
        <v>0.25</v>
      </c>
      <c r="I28" s="23">
        <f>+G26*H28</f>
        <v>163781.25</v>
      </c>
      <c r="J28" s="675">
        <v>2</v>
      </c>
      <c r="K28" s="30">
        <v>43628</v>
      </c>
      <c r="L28" s="111" t="s">
        <v>259</v>
      </c>
      <c r="M28" s="30"/>
      <c r="N28" s="453"/>
      <c r="O28" s="362">
        <f t="shared" ref="O28:O29" si="2">IF(L28="en attente",I28,"")</f>
        <v>163781.25</v>
      </c>
      <c r="P28" s="362">
        <f t="shared" si="0"/>
        <v>0</v>
      </c>
      <c r="Q28" s="23"/>
      <c r="R28" s="209"/>
    </row>
    <row r="29" spans="1:19" outlineLevel="1" x14ac:dyDescent="0.2">
      <c r="A29" s="46" t="s">
        <v>346</v>
      </c>
      <c r="B29" s="676"/>
      <c r="C29" s="30"/>
      <c r="D29" s="30"/>
      <c r="E29" s="30"/>
      <c r="F29" s="154" t="s">
        <v>343</v>
      </c>
      <c r="G29" s="991"/>
      <c r="H29" s="987">
        <v>0.25</v>
      </c>
      <c r="I29" s="23">
        <f>+G26*H29</f>
        <v>163781.25</v>
      </c>
      <c r="J29" s="675">
        <v>3</v>
      </c>
      <c r="K29" s="30"/>
      <c r="L29" s="24"/>
      <c r="M29" s="30"/>
      <c r="N29" s="453"/>
      <c r="O29" s="362" t="str">
        <f t="shared" si="2"/>
        <v/>
      </c>
      <c r="P29" s="362">
        <f t="shared" si="0"/>
        <v>163781.25</v>
      </c>
      <c r="Q29" s="35"/>
      <c r="R29" s="209"/>
    </row>
    <row r="30" spans="1:19" s="8" customFormat="1" x14ac:dyDescent="0.2">
      <c r="A30" s="48"/>
      <c r="B30" s="48"/>
      <c r="C30" s="48"/>
      <c r="D30" s="48"/>
      <c r="E30" s="48"/>
      <c r="F30" s="48"/>
      <c r="G30" s="685">
        <f>G6+G9+G11+G14+G17+G22+G26</f>
        <v>3624014.38</v>
      </c>
      <c r="H30" s="685"/>
      <c r="I30" s="41">
        <f>SUMPRODUCT((DateAF_Region&lt;&gt;"")*MontantAF_Region)</f>
        <v>3196558.3600000003</v>
      </c>
      <c r="J30" s="686"/>
      <c r="K30" s="50"/>
      <c r="L30" s="687">
        <f>L6+L9+L11+L14+L17+L22+L26</f>
        <v>3007885.08</v>
      </c>
      <c r="M30" s="50"/>
      <c r="N30" s="688"/>
      <c r="O30" s="41">
        <f>O6+O9+O11+O14+O17+O22+O26</f>
        <v>182175.44999999995</v>
      </c>
      <c r="P30" s="689">
        <f>P6+P9+P11+P14+P17+P22+P26</f>
        <v>470742.25</v>
      </c>
      <c r="Q30" s="1"/>
      <c r="R30" s="165">
        <f>G30-(L30+O30+P30)</f>
        <v>-36788.400000000373</v>
      </c>
    </row>
    <row r="31" spans="1:19" x14ac:dyDescent="0.2">
      <c r="A31" s="74"/>
      <c r="B31" s="75"/>
      <c r="C31" s="75"/>
      <c r="D31" s="75"/>
      <c r="E31" s="75"/>
      <c r="F31" s="75"/>
      <c r="G31" s="75"/>
      <c r="H31" s="75"/>
      <c r="I31" s="75"/>
      <c r="J31" s="74"/>
      <c r="K31" s="75"/>
      <c r="L31" s="75"/>
      <c r="M31" s="75"/>
      <c r="N31" s="52"/>
      <c r="O31" s="1064">
        <f>SUM(O30:P30)</f>
        <v>652917.69999999995</v>
      </c>
      <c r="P31" s="1065"/>
    </row>
    <row r="32" spans="1:19" ht="12.75" thickBot="1" x14ac:dyDescent="0.25"/>
    <row r="33" spans="1:18" ht="12.75" thickBot="1" x14ac:dyDescent="0.25">
      <c r="I33" s="740" t="s">
        <v>192</v>
      </c>
      <c r="J33" s="734"/>
      <c r="K33" s="734"/>
      <c r="L33" s="744" t="s">
        <v>194</v>
      </c>
    </row>
    <row r="34" spans="1:18" x14ac:dyDescent="0.2">
      <c r="H34" s="759">
        <v>2011</v>
      </c>
      <c r="I34" s="761">
        <f>SUMPRODUCT((YEAR($H$49:$H$97)=H34)*($I$49:$I$97))</f>
        <v>735403.9</v>
      </c>
      <c r="J34" s="47"/>
      <c r="K34" s="47"/>
      <c r="L34" s="761">
        <f t="shared" ref="L34:L42" si="3">SUMPRODUCT((YEAR($K$49:$K$97)=H34)*($L$49:$L$97))</f>
        <v>735403.9</v>
      </c>
    </row>
    <row r="35" spans="1:18" x14ac:dyDescent="0.2">
      <c r="H35" s="760">
        <v>2012</v>
      </c>
      <c r="I35" s="761">
        <f t="shared" ref="I35:I42" si="4">SUMPRODUCT((YEAR($H$49:$H$97)=H35)*($I$49:$I$97))</f>
        <v>0</v>
      </c>
      <c r="J35" s="47"/>
      <c r="K35" s="47"/>
      <c r="L35" s="761">
        <f t="shared" si="3"/>
        <v>0</v>
      </c>
    </row>
    <row r="36" spans="1:18" x14ac:dyDescent="0.2">
      <c r="H36" s="760">
        <v>2013</v>
      </c>
      <c r="I36" s="761">
        <f t="shared" si="4"/>
        <v>205000</v>
      </c>
      <c r="J36" s="47"/>
      <c r="K36" s="47"/>
      <c r="L36" s="761">
        <f t="shared" si="3"/>
        <v>205000</v>
      </c>
    </row>
    <row r="37" spans="1:18" x14ac:dyDescent="0.2">
      <c r="H37" s="760">
        <v>2014</v>
      </c>
      <c r="I37" s="761">
        <f t="shared" si="4"/>
        <v>94683.18</v>
      </c>
      <c r="J37" s="47"/>
      <c r="K37" s="47"/>
      <c r="L37" s="761">
        <f t="shared" si="3"/>
        <v>0</v>
      </c>
    </row>
    <row r="38" spans="1:18" x14ac:dyDescent="0.2">
      <c r="H38" s="760">
        <v>2015</v>
      </c>
      <c r="I38" s="761">
        <f t="shared" si="4"/>
        <v>544244.53</v>
      </c>
      <c r="J38" s="47"/>
      <c r="K38" s="47"/>
      <c r="L38" s="761">
        <f t="shared" si="3"/>
        <v>614035.68000000005</v>
      </c>
    </row>
    <row r="39" spans="1:18" x14ac:dyDescent="0.2">
      <c r="H39" s="760">
        <v>2016</v>
      </c>
      <c r="I39" s="761">
        <f t="shared" si="4"/>
        <v>205000</v>
      </c>
      <c r="J39" s="47"/>
      <c r="K39" s="47"/>
      <c r="L39" s="761">
        <f t="shared" si="3"/>
        <v>105000</v>
      </c>
    </row>
    <row r="40" spans="1:18" x14ac:dyDescent="0.2">
      <c r="H40" s="760">
        <v>2017</v>
      </c>
      <c r="I40" s="761">
        <f t="shared" si="4"/>
        <v>0</v>
      </c>
      <c r="J40" s="47"/>
      <c r="K40" s="47"/>
      <c r="L40" s="761">
        <f t="shared" si="3"/>
        <v>100000</v>
      </c>
    </row>
    <row r="41" spans="1:18" ht="12.75" thickBot="1" x14ac:dyDescent="0.25">
      <c r="H41" s="760">
        <v>2018</v>
      </c>
      <c r="I41" s="761">
        <f t="shared" si="4"/>
        <v>941484.5</v>
      </c>
      <c r="J41" s="47"/>
      <c r="K41" s="47"/>
      <c r="L41" s="761">
        <f t="shared" si="3"/>
        <v>941484.5</v>
      </c>
    </row>
    <row r="42" spans="1:18" ht="12.75" thickBot="1" x14ac:dyDescent="0.25">
      <c r="H42" s="763">
        <v>2019</v>
      </c>
      <c r="I42" s="764">
        <f t="shared" si="4"/>
        <v>470742.25</v>
      </c>
      <c r="J42" s="750"/>
      <c r="K42" s="750"/>
      <c r="L42" s="765">
        <f t="shared" si="3"/>
        <v>306961</v>
      </c>
    </row>
    <row r="43" spans="1:18" ht="12.75" thickBot="1" x14ac:dyDescent="0.25">
      <c r="I43" s="762">
        <f>SUM(I34:I42)</f>
        <v>3196558.3600000003</v>
      </c>
      <c r="J43" s="739"/>
      <c r="K43" s="739"/>
      <c r="L43" s="762">
        <f>SUM(L34:L42)</f>
        <v>3007885.08</v>
      </c>
      <c r="M43" s="90">
        <f>L43-I43+O20-O8</f>
        <v>-163781.25000000032</v>
      </c>
    </row>
    <row r="44" spans="1:18" x14ac:dyDescent="0.2">
      <c r="I44" s="165">
        <f>I43-I98</f>
        <v>0</v>
      </c>
      <c r="J44" s="1"/>
      <c r="L44" s="165">
        <f>L43-L98</f>
        <v>0</v>
      </c>
    </row>
    <row r="48" spans="1:18" x14ac:dyDescent="0.2">
      <c r="A48" s="1"/>
      <c r="I48" s="366" t="s">
        <v>192</v>
      </c>
      <c r="L48" s="367" t="s">
        <v>194</v>
      </c>
      <c r="R48" s="1"/>
    </row>
    <row r="49" spans="1:18" outlineLevel="1" x14ac:dyDescent="0.2">
      <c r="A49" s="1"/>
      <c r="H49" s="375">
        <v>40787</v>
      </c>
      <c r="I49" s="90">
        <f t="shared" ref="I49:I80" si="5">SUMPRODUCT((DateAF_Region&lt;&gt;"")*(MONTH(DateAF_Region)=MONTH(H49))*(YEAR(DateAF_Region)=YEAR(H49))*MontantAF_Region)</f>
        <v>735403.9</v>
      </c>
      <c r="K49" s="375">
        <v>40787</v>
      </c>
      <c r="L49" s="90">
        <f t="shared" ref="L49:L73" si="6">SUMPRODUCT((DatePmt_Region&lt;&gt;"")*(DatePmt_Region&lt;&gt;"en attente")*(MONTH(DatePmt_Region)=MONTH(K49))*(YEAR(DatePmt_Region)=YEAR(K49))*(ISNUMBER(MtntPaye_Region)),MtntPaye_Region)</f>
        <v>0</v>
      </c>
      <c r="R49" s="1"/>
    </row>
    <row r="50" spans="1:18" outlineLevel="1" x14ac:dyDescent="0.2">
      <c r="A50" s="1"/>
      <c r="H50" s="375">
        <v>40878</v>
      </c>
      <c r="I50" s="90">
        <f t="shared" si="5"/>
        <v>0</v>
      </c>
      <c r="K50" s="375">
        <v>40878</v>
      </c>
      <c r="L50" s="90">
        <f t="shared" si="6"/>
        <v>735403.9</v>
      </c>
      <c r="R50" s="1"/>
    </row>
    <row r="51" spans="1:18" outlineLevel="1" x14ac:dyDescent="0.2">
      <c r="A51" s="1"/>
      <c r="H51" s="375">
        <v>41456</v>
      </c>
      <c r="I51" s="90">
        <f t="shared" si="5"/>
        <v>205000</v>
      </c>
      <c r="K51" s="375">
        <v>41456</v>
      </c>
      <c r="L51" s="90">
        <f t="shared" si="6"/>
        <v>0</v>
      </c>
      <c r="R51" s="1"/>
    </row>
    <row r="52" spans="1:18" outlineLevel="1" x14ac:dyDescent="0.2">
      <c r="A52" s="1"/>
      <c r="H52" s="375">
        <v>41518</v>
      </c>
      <c r="I52" s="90">
        <f t="shared" si="5"/>
        <v>0</v>
      </c>
      <c r="K52" s="375">
        <v>41518</v>
      </c>
      <c r="L52" s="90">
        <f t="shared" si="6"/>
        <v>205000</v>
      </c>
      <c r="R52" s="1"/>
    </row>
    <row r="53" spans="1:18" outlineLevel="1" x14ac:dyDescent="0.2">
      <c r="A53" s="1"/>
      <c r="H53" s="375">
        <v>41640</v>
      </c>
      <c r="I53" s="90">
        <f t="shared" si="5"/>
        <v>20808.98</v>
      </c>
      <c r="K53" s="375">
        <v>41640</v>
      </c>
      <c r="L53" s="90">
        <f t="shared" si="6"/>
        <v>0</v>
      </c>
      <c r="R53" s="1"/>
    </row>
    <row r="54" spans="1:18" outlineLevel="1" x14ac:dyDescent="0.2">
      <c r="A54" s="1"/>
      <c r="H54" s="375">
        <v>41974</v>
      </c>
      <c r="I54" s="90">
        <f t="shared" si="5"/>
        <v>73874.2</v>
      </c>
      <c r="K54" s="375">
        <v>41974</v>
      </c>
      <c r="L54" s="90">
        <f t="shared" si="6"/>
        <v>0</v>
      </c>
      <c r="R54" s="1"/>
    </row>
    <row r="55" spans="1:18" outlineLevel="1" x14ac:dyDescent="0.2">
      <c r="A55" s="1"/>
      <c r="H55" s="375">
        <v>42156</v>
      </c>
      <c r="I55" s="90">
        <f t="shared" si="5"/>
        <v>0</v>
      </c>
      <c r="K55" s="375">
        <v>42156</v>
      </c>
      <c r="L55" s="90">
        <f t="shared" si="6"/>
        <v>20808.98</v>
      </c>
      <c r="R55" s="1"/>
    </row>
    <row r="56" spans="1:18" outlineLevel="1" x14ac:dyDescent="0.2">
      <c r="A56" s="1"/>
      <c r="H56" s="375">
        <v>42217</v>
      </c>
      <c r="I56" s="90">
        <f t="shared" si="5"/>
        <v>44565.760000000002</v>
      </c>
      <c r="K56" s="375">
        <v>42217</v>
      </c>
      <c r="L56" s="90">
        <f t="shared" si="6"/>
        <v>0</v>
      </c>
      <c r="R56" s="1"/>
    </row>
    <row r="57" spans="1:18" outlineLevel="1" x14ac:dyDescent="0.2">
      <c r="A57" s="1"/>
      <c r="H57" s="375">
        <v>42278</v>
      </c>
      <c r="I57" s="90">
        <f t="shared" si="5"/>
        <v>0</v>
      </c>
      <c r="K57" s="375">
        <v>42278</v>
      </c>
      <c r="L57" s="90">
        <f t="shared" si="6"/>
        <v>38067.93</v>
      </c>
      <c r="R57" s="1"/>
    </row>
    <row r="58" spans="1:18" outlineLevel="1" x14ac:dyDescent="0.2">
      <c r="A58" s="1"/>
      <c r="H58" s="375">
        <v>42309</v>
      </c>
      <c r="I58" s="90">
        <f t="shared" si="5"/>
        <v>499678.77</v>
      </c>
      <c r="K58" s="375">
        <v>42309</v>
      </c>
      <c r="L58" s="90">
        <f t="shared" si="6"/>
        <v>0</v>
      </c>
      <c r="R58" s="1"/>
    </row>
    <row r="59" spans="1:18" outlineLevel="1" x14ac:dyDescent="0.2">
      <c r="A59" s="1"/>
      <c r="H59" s="375">
        <v>42339</v>
      </c>
      <c r="I59" s="90">
        <f t="shared" si="5"/>
        <v>0</v>
      </c>
      <c r="K59" s="375">
        <v>42339</v>
      </c>
      <c r="L59" s="90">
        <f t="shared" si="6"/>
        <v>555158.77</v>
      </c>
      <c r="R59" s="1"/>
    </row>
    <row r="60" spans="1:18" outlineLevel="1" x14ac:dyDescent="0.2">
      <c r="A60" s="1"/>
      <c r="H60" s="375">
        <v>42401</v>
      </c>
      <c r="I60" s="90">
        <f t="shared" si="5"/>
        <v>105000</v>
      </c>
      <c r="K60" s="375">
        <v>42401</v>
      </c>
      <c r="L60" s="90">
        <f t="shared" si="6"/>
        <v>0</v>
      </c>
      <c r="R60" s="1"/>
    </row>
    <row r="61" spans="1:18" outlineLevel="1" x14ac:dyDescent="0.2">
      <c r="A61" s="1"/>
      <c r="H61" s="375">
        <v>42705</v>
      </c>
      <c r="I61" s="90">
        <f t="shared" si="5"/>
        <v>100000</v>
      </c>
      <c r="K61" s="375">
        <v>42705</v>
      </c>
      <c r="L61" s="90">
        <f t="shared" si="6"/>
        <v>105000</v>
      </c>
      <c r="R61" s="1"/>
    </row>
    <row r="62" spans="1:18" outlineLevel="1" x14ac:dyDescent="0.2">
      <c r="A62" s="1"/>
      <c r="H62" s="375">
        <v>42736</v>
      </c>
      <c r="I62" s="90">
        <f t="shared" si="5"/>
        <v>0</v>
      </c>
      <c r="K62" s="375">
        <v>42736</v>
      </c>
      <c r="L62" s="90">
        <f t="shared" si="6"/>
        <v>0</v>
      </c>
      <c r="R62" s="1"/>
    </row>
    <row r="63" spans="1:18" outlineLevel="1" x14ac:dyDescent="0.2">
      <c r="A63" s="1"/>
      <c r="H63" s="375">
        <v>42767</v>
      </c>
      <c r="I63" s="90">
        <f t="shared" si="5"/>
        <v>0</v>
      </c>
      <c r="K63" s="375">
        <v>42767</v>
      </c>
      <c r="L63" s="90">
        <f t="shared" si="6"/>
        <v>100000</v>
      </c>
      <c r="R63" s="1"/>
    </row>
    <row r="64" spans="1:18" outlineLevel="1" x14ac:dyDescent="0.2">
      <c r="H64" s="375">
        <v>42795</v>
      </c>
      <c r="I64" s="90">
        <f t="shared" si="5"/>
        <v>0</v>
      </c>
      <c r="K64" s="375">
        <v>42795</v>
      </c>
      <c r="L64" s="90">
        <f t="shared" si="6"/>
        <v>0</v>
      </c>
    </row>
    <row r="65" spans="8:12" outlineLevel="1" x14ac:dyDescent="0.2">
      <c r="H65" s="375">
        <v>42826</v>
      </c>
      <c r="I65" s="90">
        <f t="shared" si="5"/>
        <v>0</v>
      </c>
      <c r="K65" s="375">
        <v>42826</v>
      </c>
      <c r="L65" s="90">
        <f t="shared" si="6"/>
        <v>0</v>
      </c>
    </row>
    <row r="66" spans="8:12" outlineLevel="1" x14ac:dyDescent="0.2">
      <c r="H66" s="375">
        <v>42856</v>
      </c>
      <c r="I66" s="90">
        <f t="shared" si="5"/>
        <v>0</v>
      </c>
      <c r="K66" s="375">
        <v>42856</v>
      </c>
      <c r="L66" s="90">
        <f t="shared" si="6"/>
        <v>0</v>
      </c>
    </row>
    <row r="67" spans="8:12" outlineLevel="1" x14ac:dyDescent="0.2">
      <c r="H67" s="375">
        <v>42887</v>
      </c>
      <c r="I67" s="90">
        <f t="shared" si="5"/>
        <v>0</v>
      </c>
      <c r="K67" s="375">
        <v>42887</v>
      </c>
      <c r="L67" s="90">
        <f t="shared" si="6"/>
        <v>0</v>
      </c>
    </row>
    <row r="68" spans="8:12" outlineLevel="1" x14ac:dyDescent="0.2">
      <c r="H68" s="375">
        <v>42917</v>
      </c>
      <c r="I68" s="90">
        <f t="shared" si="5"/>
        <v>0</v>
      </c>
      <c r="K68" s="375">
        <v>42917</v>
      </c>
      <c r="L68" s="90">
        <f t="shared" si="6"/>
        <v>0</v>
      </c>
    </row>
    <row r="69" spans="8:12" outlineLevel="1" x14ac:dyDescent="0.2">
      <c r="H69" s="375">
        <v>42948</v>
      </c>
      <c r="I69" s="90">
        <f t="shared" si="5"/>
        <v>0</v>
      </c>
      <c r="K69" s="375">
        <v>42948</v>
      </c>
      <c r="L69" s="90">
        <f t="shared" si="6"/>
        <v>0</v>
      </c>
    </row>
    <row r="70" spans="8:12" outlineLevel="1" x14ac:dyDescent="0.2">
      <c r="H70" s="375">
        <v>42979</v>
      </c>
      <c r="I70" s="90">
        <f t="shared" si="5"/>
        <v>0</v>
      </c>
      <c r="K70" s="375">
        <v>42979</v>
      </c>
      <c r="L70" s="90">
        <f t="shared" si="6"/>
        <v>0</v>
      </c>
    </row>
    <row r="71" spans="8:12" outlineLevel="1" x14ac:dyDescent="0.2">
      <c r="H71" s="375">
        <v>43009</v>
      </c>
      <c r="I71" s="90">
        <f t="shared" si="5"/>
        <v>0</v>
      </c>
      <c r="K71" s="375">
        <v>43009</v>
      </c>
      <c r="L71" s="90">
        <f t="shared" si="6"/>
        <v>0</v>
      </c>
    </row>
    <row r="72" spans="8:12" outlineLevel="1" x14ac:dyDescent="0.2">
      <c r="H72" s="375">
        <v>43040</v>
      </c>
      <c r="I72" s="90">
        <f t="shared" si="5"/>
        <v>0</v>
      </c>
      <c r="K72" s="375">
        <v>43040</v>
      </c>
      <c r="L72" s="90">
        <f t="shared" si="6"/>
        <v>0</v>
      </c>
    </row>
    <row r="73" spans="8:12" outlineLevel="1" x14ac:dyDescent="0.2">
      <c r="H73" s="375">
        <v>43070</v>
      </c>
      <c r="I73" s="90">
        <f t="shared" si="5"/>
        <v>0</v>
      </c>
      <c r="K73" s="375">
        <v>43070</v>
      </c>
      <c r="L73" s="90">
        <f t="shared" si="6"/>
        <v>0</v>
      </c>
    </row>
    <row r="74" spans="8:12" outlineLevel="1" x14ac:dyDescent="0.2">
      <c r="H74" s="375">
        <v>43101</v>
      </c>
      <c r="I74" s="90">
        <f t="shared" si="5"/>
        <v>0</v>
      </c>
      <c r="K74" s="375">
        <v>43101</v>
      </c>
      <c r="L74" s="90">
        <f t="shared" ref="L74:L97" si="7">SUMPRODUCT((DatePmt_Region&lt;&gt;"")*(DatePmt_Region&lt;&gt;"en attente")*(MONTH(DatePmt_Region)=MONTH(K74))*(YEAR(DatePmt_Region)=YEAR(K74))*(ISNUMBER(MtntPaye_Region)),MtntPaye_Region)</f>
        <v>0</v>
      </c>
    </row>
    <row r="75" spans="8:12" outlineLevel="1" x14ac:dyDescent="0.2">
      <c r="H75" s="375">
        <v>43132</v>
      </c>
      <c r="I75" s="90">
        <f t="shared" si="5"/>
        <v>0</v>
      </c>
      <c r="K75" s="375">
        <v>43132</v>
      </c>
      <c r="L75" s="90">
        <f t="shared" si="7"/>
        <v>0</v>
      </c>
    </row>
    <row r="76" spans="8:12" outlineLevel="1" x14ac:dyDescent="0.2">
      <c r="H76" s="375">
        <v>43160</v>
      </c>
      <c r="I76" s="90">
        <f t="shared" si="5"/>
        <v>0</v>
      </c>
      <c r="K76" s="375">
        <v>43160</v>
      </c>
      <c r="L76" s="90">
        <f t="shared" si="7"/>
        <v>0</v>
      </c>
    </row>
    <row r="77" spans="8:12" outlineLevel="1" x14ac:dyDescent="0.2">
      <c r="H77" s="375">
        <v>43191</v>
      </c>
      <c r="I77" s="90">
        <f t="shared" si="5"/>
        <v>0</v>
      </c>
      <c r="K77" s="375">
        <v>43191</v>
      </c>
      <c r="L77" s="90">
        <f t="shared" si="7"/>
        <v>0</v>
      </c>
    </row>
    <row r="78" spans="8:12" outlineLevel="1" x14ac:dyDescent="0.2">
      <c r="H78" s="375">
        <v>43221</v>
      </c>
      <c r="I78" s="90">
        <f t="shared" si="5"/>
        <v>0</v>
      </c>
      <c r="K78" s="375">
        <v>43221</v>
      </c>
      <c r="L78" s="90">
        <f t="shared" si="7"/>
        <v>0</v>
      </c>
    </row>
    <row r="79" spans="8:12" outlineLevel="1" x14ac:dyDescent="0.2">
      <c r="H79" s="375">
        <v>43252</v>
      </c>
      <c r="I79" s="90">
        <f t="shared" si="5"/>
        <v>0</v>
      </c>
      <c r="K79" s="375">
        <v>43252</v>
      </c>
      <c r="L79" s="90">
        <f t="shared" si="7"/>
        <v>0</v>
      </c>
    </row>
    <row r="80" spans="8:12" outlineLevel="1" x14ac:dyDescent="0.2">
      <c r="H80" s="375">
        <v>43282</v>
      </c>
      <c r="I80" s="90">
        <f t="shared" si="5"/>
        <v>613922</v>
      </c>
      <c r="K80" s="375">
        <v>43282</v>
      </c>
      <c r="L80" s="90">
        <f t="shared" si="7"/>
        <v>0</v>
      </c>
    </row>
    <row r="81" spans="8:12" outlineLevel="1" x14ac:dyDescent="0.2">
      <c r="H81" s="375">
        <v>43313</v>
      </c>
      <c r="I81" s="90">
        <f t="shared" ref="I81:I97" si="8">SUMPRODUCT((DateAF_Region&lt;&gt;"")*(MONTH(DateAF_Region)=MONTH(H81))*(YEAR(DateAF_Region)=YEAR(H81))*MontantAF_Region)</f>
        <v>0</v>
      </c>
      <c r="K81" s="375">
        <v>43313</v>
      </c>
      <c r="L81" s="90">
        <f t="shared" si="7"/>
        <v>613922</v>
      </c>
    </row>
    <row r="82" spans="8:12" outlineLevel="1" x14ac:dyDescent="0.2">
      <c r="H82" s="375">
        <v>43344</v>
      </c>
      <c r="I82" s="90">
        <f t="shared" si="8"/>
        <v>0</v>
      </c>
      <c r="K82" s="375">
        <v>43344</v>
      </c>
      <c r="L82" s="90">
        <f t="shared" si="7"/>
        <v>0</v>
      </c>
    </row>
    <row r="83" spans="8:12" outlineLevel="1" x14ac:dyDescent="0.2">
      <c r="H83" s="375">
        <v>43374</v>
      </c>
      <c r="I83" s="90">
        <f t="shared" si="8"/>
        <v>327562.5</v>
      </c>
      <c r="K83" s="375">
        <v>43374</v>
      </c>
      <c r="L83" s="90">
        <f t="shared" si="7"/>
        <v>0</v>
      </c>
    </row>
    <row r="84" spans="8:12" outlineLevel="1" x14ac:dyDescent="0.2">
      <c r="H84" s="375">
        <v>43405</v>
      </c>
      <c r="I84" s="90">
        <f t="shared" si="8"/>
        <v>0</v>
      </c>
      <c r="K84" s="375">
        <v>43405</v>
      </c>
      <c r="L84" s="90">
        <f t="shared" si="7"/>
        <v>327562.5</v>
      </c>
    </row>
    <row r="85" spans="8:12" outlineLevel="1" x14ac:dyDescent="0.2">
      <c r="H85" s="375">
        <v>43435</v>
      </c>
      <c r="I85" s="90">
        <f t="shared" si="8"/>
        <v>0</v>
      </c>
      <c r="K85" s="375">
        <v>43435</v>
      </c>
      <c r="L85" s="90">
        <f t="shared" si="7"/>
        <v>0</v>
      </c>
    </row>
    <row r="86" spans="8:12" x14ac:dyDescent="0.2">
      <c r="H86" s="375">
        <v>43466</v>
      </c>
      <c r="I86" s="90">
        <f t="shared" si="8"/>
        <v>0</v>
      </c>
      <c r="K86" s="375">
        <v>43466</v>
      </c>
      <c r="L86" s="90">
        <f t="shared" si="7"/>
        <v>0</v>
      </c>
    </row>
    <row r="87" spans="8:12" x14ac:dyDescent="0.2">
      <c r="H87" s="375">
        <v>43497</v>
      </c>
      <c r="I87" s="90">
        <f t="shared" si="8"/>
        <v>0</v>
      </c>
      <c r="K87" s="375">
        <v>43497</v>
      </c>
      <c r="L87" s="90">
        <f t="shared" si="7"/>
        <v>0</v>
      </c>
    </row>
    <row r="88" spans="8:12" x14ac:dyDescent="0.2">
      <c r="H88" s="375">
        <v>43525</v>
      </c>
      <c r="I88" s="90">
        <f t="shared" si="8"/>
        <v>0</v>
      </c>
      <c r="K88" s="375">
        <v>43525</v>
      </c>
      <c r="L88" s="90">
        <f t="shared" si="7"/>
        <v>0</v>
      </c>
    </row>
    <row r="89" spans="8:12" x14ac:dyDescent="0.2">
      <c r="H89" s="375">
        <v>43556</v>
      </c>
      <c r="I89" s="90">
        <f t="shared" si="8"/>
        <v>0</v>
      </c>
      <c r="K89" s="375">
        <v>43556</v>
      </c>
      <c r="L89" s="90">
        <f t="shared" si="7"/>
        <v>0</v>
      </c>
    </row>
    <row r="90" spans="8:12" x14ac:dyDescent="0.2">
      <c r="H90" s="375">
        <v>43586</v>
      </c>
      <c r="I90" s="90">
        <f t="shared" si="8"/>
        <v>0</v>
      </c>
      <c r="K90" s="375">
        <v>43586</v>
      </c>
      <c r="L90" s="90">
        <f t="shared" si="7"/>
        <v>0</v>
      </c>
    </row>
    <row r="91" spans="8:12" x14ac:dyDescent="0.2">
      <c r="H91" s="375">
        <v>43617</v>
      </c>
      <c r="I91" s="90">
        <f t="shared" si="8"/>
        <v>470742.25</v>
      </c>
      <c r="K91" s="375">
        <v>43617</v>
      </c>
      <c r="L91" s="90">
        <f t="shared" si="7"/>
        <v>0</v>
      </c>
    </row>
    <row r="92" spans="8:12" x14ac:dyDescent="0.2">
      <c r="H92" s="375">
        <v>43647</v>
      </c>
      <c r="I92" s="90">
        <f t="shared" si="8"/>
        <v>0</v>
      </c>
      <c r="K92" s="375">
        <v>43647</v>
      </c>
      <c r="L92" s="90">
        <f t="shared" si="7"/>
        <v>306961</v>
      </c>
    </row>
    <row r="93" spans="8:12" x14ac:dyDescent="0.2">
      <c r="H93" s="375">
        <v>43678</v>
      </c>
      <c r="I93" s="90">
        <f t="shared" si="8"/>
        <v>0</v>
      </c>
      <c r="K93" s="375">
        <v>43678</v>
      </c>
      <c r="L93" s="90">
        <f t="shared" si="7"/>
        <v>0</v>
      </c>
    </row>
    <row r="94" spans="8:12" x14ac:dyDescent="0.2">
      <c r="H94" s="375">
        <v>43709</v>
      </c>
      <c r="I94" s="90">
        <f t="shared" si="8"/>
        <v>0</v>
      </c>
      <c r="K94" s="375">
        <v>43709</v>
      </c>
      <c r="L94" s="90">
        <f t="shared" si="7"/>
        <v>0</v>
      </c>
    </row>
    <row r="95" spans="8:12" x14ac:dyDescent="0.2">
      <c r="H95" s="375">
        <v>43739</v>
      </c>
      <c r="I95" s="90">
        <f t="shared" si="8"/>
        <v>0</v>
      </c>
      <c r="K95" s="375">
        <v>43739</v>
      </c>
      <c r="L95" s="90">
        <f t="shared" si="7"/>
        <v>0</v>
      </c>
    </row>
    <row r="96" spans="8:12" x14ac:dyDescent="0.2">
      <c r="H96" s="375">
        <v>43770</v>
      </c>
      <c r="I96" s="90">
        <f t="shared" si="8"/>
        <v>0</v>
      </c>
      <c r="K96" s="375">
        <v>43770</v>
      </c>
      <c r="L96" s="90">
        <f t="shared" si="7"/>
        <v>0</v>
      </c>
    </row>
    <row r="97" spans="1:18" x14ac:dyDescent="0.2">
      <c r="H97" s="375">
        <v>43800</v>
      </c>
      <c r="I97" s="90">
        <f t="shared" si="8"/>
        <v>0</v>
      </c>
      <c r="K97" s="375">
        <v>43800</v>
      </c>
      <c r="L97" s="90">
        <f t="shared" si="7"/>
        <v>0</v>
      </c>
    </row>
    <row r="98" spans="1:18" s="8" customFormat="1" x14ac:dyDescent="0.2">
      <c r="A98" s="455"/>
      <c r="I98" s="457">
        <f>SUM(I49:I97)</f>
        <v>3196558.36</v>
      </c>
      <c r="J98" s="455"/>
      <c r="L98" s="457">
        <f>SUM(L49:L97)</f>
        <v>3007885.08</v>
      </c>
      <c r="N98" s="1"/>
      <c r="O98" s="1"/>
      <c r="P98" s="1"/>
      <c r="R98" s="461"/>
    </row>
    <row r="99" spans="1:18" s="160" customFormat="1" x14ac:dyDescent="0.2">
      <c r="A99" s="462"/>
      <c r="I99" s="165">
        <f>I98-I30</f>
        <v>0</v>
      </c>
      <c r="J99" s="462"/>
      <c r="L99" s="165">
        <f>L98-L30</f>
        <v>0</v>
      </c>
      <c r="N99" s="1"/>
      <c r="O99" s="1"/>
      <c r="P99" s="1"/>
    </row>
    <row r="100" spans="1:18" x14ac:dyDescent="0.2">
      <c r="N100" s="8"/>
      <c r="O100" s="8"/>
      <c r="P100" s="8"/>
    </row>
    <row r="101" spans="1:18" x14ac:dyDescent="0.2">
      <c r="N101" s="160"/>
      <c r="O101" s="160"/>
      <c r="P101" s="160"/>
    </row>
  </sheetData>
  <autoFilter ref="A4:R5">
    <filterColumn colId="8" showButton="0"/>
    <filterColumn colId="9" showButton="0"/>
    <filterColumn colId="10" showButton="0"/>
    <filterColumn colId="11" showButton="0"/>
    <filterColumn colId="12" showButton="0"/>
    <filterColumn colId="14" showButton="0"/>
  </autoFilter>
  <mergeCells count="8">
    <mergeCell ref="O31:P31"/>
    <mergeCell ref="A2:O2"/>
    <mergeCell ref="A4:A5"/>
    <mergeCell ref="B4:B5"/>
    <mergeCell ref="C4:C5"/>
    <mergeCell ref="G4:G5"/>
    <mergeCell ref="I4:N4"/>
    <mergeCell ref="O4:P4"/>
  </mergeCells>
  <pageMargins left="0.7" right="0.7" top="0.75" bottom="0.75" header="0.3" footer="0.3"/>
  <pageSetup paperSize="9" scale="40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outlinePr summaryBelow="0"/>
  </sheetPr>
  <dimension ref="A2:S48"/>
  <sheetViews>
    <sheetView topLeftCell="C22" workbookViewId="0">
      <selection activeCell="I12" activeCellId="1" sqref="I8 I12"/>
    </sheetView>
  </sheetViews>
  <sheetFormatPr baseColWidth="10" defaultColWidth="11.42578125" defaultRowHeight="12" outlineLevelRow="1" outlineLevelCol="1" x14ac:dyDescent="0.2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3.42578125" style="1" customWidth="1"/>
    <col min="9" max="9" width="14.42578125" style="1" customWidth="1"/>
    <col min="10" max="10" width="4.140625" style="6" bestFit="1" customWidth="1"/>
    <col min="11" max="11" width="10.42578125" style="1" bestFit="1" customWidth="1"/>
    <col min="12" max="12" width="14.5703125" style="1" customWidth="1"/>
    <col min="13" max="13" width="10.42578125" style="1" bestFit="1" customWidth="1"/>
    <col min="14" max="14" width="18.5703125" style="1" bestFit="1" customWidth="1"/>
    <col min="15" max="15" width="14.42578125" style="1" customWidth="1"/>
    <col min="16" max="17" width="14.42578125" style="1" bestFit="1" customWidth="1"/>
    <col min="18" max="18" width="18" style="160" customWidth="1"/>
    <col min="19" max="16384" width="11.42578125" style="1"/>
  </cols>
  <sheetData>
    <row r="2" spans="1:19" x14ac:dyDescent="0.2">
      <c r="A2" s="1066" t="s">
        <v>329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1066"/>
      <c r="O2" s="1066"/>
      <c r="P2" s="9">
        <f ca="1">TODAY()</f>
        <v>43696</v>
      </c>
      <c r="Q2" s="9"/>
    </row>
    <row r="4" spans="1:19" s="2" customFormat="1" x14ac:dyDescent="0.2">
      <c r="A4" s="1083" t="s">
        <v>2</v>
      </c>
      <c r="B4" s="1083" t="s">
        <v>0</v>
      </c>
      <c r="C4" s="1071" t="s">
        <v>19</v>
      </c>
      <c r="D4" s="672" t="s">
        <v>102</v>
      </c>
      <c r="E4" s="672" t="s">
        <v>97</v>
      </c>
      <c r="F4" s="672" t="s">
        <v>100</v>
      </c>
      <c r="G4" s="1071" t="s">
        <v>10</v>
      </c>
      <c r="H4" s="911" t="s">
        <v>386</v>
      </c>
      <c r="I4" s="1067" t="s">
        <v>4</v>
      </c>
      <c r="J4" s="1068"/>
      <c r="K4" s="1068"/>
      <c r="L4" s="1068"/>
      <c r="M4" s="1068"/>
      <c r="N4" s="1069"/>
      <c r="O4" s="1070" t="s">
        <v>11</v>
      </c>
      <c r="P4" s="1071"/>
      <c r="Q4" s="3" t="s">
        <v>99</v>
      </c>
      <c r="R4" s="207"/>
      <c r="S4" s="63"/>
    </row>
    <row r="5" spans="1:19" s="13" customFormat="1" x14ac:dyDescent="0.2">
      <c r="A5" s="1084"/>
      <c r="B5" s="1084"/>
      <c r="C5" s="1085"/>
      <c r="D5" s="673"/>
      <c r="E5" s="673"/>
      <c r="F5" s="673"/>
      <c r="G5" s="1085"/>
      <c r="H5" s="936"/>
      <c r="I5" s="10" t="s">
        <v>1</v>
      </c>
      <c r="J5" s="11" t="s">
        <v>3</v>
      </c>
      <c r="K5" s="11" t="s">
        <v>13</v>
      </c>
      <c r="L5" s="12" t="s">
        <v>12</v>
      </c>
      <c r="M5" s="10" t="s">
        <v>13</v>
      </c>
      <c r="N5" s="11" t="s">
        <v>16</v>
      </c>
      <c r="O5" s="3" t="s">
        <v>18</v>
      </c>
      <c r="P5" s="3" t="s">
        <v>17</v>
      </c>
      <c r="Q5" s="3"/>
      <c r="R5" s="160"/>
    </row>
    <row r="6" spans="1:19" s="8" customFormat="1" x14ac:dyDescent="0.2">
      <c r="A6" s="118" t="s">
        <v>326</v>
      </c>
      <c r="B6" s="766" t="s">
        <v>330</v>
      </c>
      <c r="C6" s="150">
        <v>43283</v>
      </c>
      <c r="D6" s="150">
        <v>44104</v>
      </c>
      <c r="E6" s="150">
        <v>44196</v>
      </c>
      <c r="F6" s="150"/>
      <c r="G6" s="767">
        <v>1227844</v>
      </c>
      <c r="H6" s="767"/>
      <c r="I6" s="122"/>
      <c r="J6" s="768"/>
      <c r="K6" s="150"/>
      <c r="L6" s="125">
        <f>SUM(L7:L9)</f>
        <v>613922</v>
      </c>
      <c r="M6" s="150"/>
      <c r="N6" s="769"/>
      <c r="O6" s="169">
        <f>SUM(O7:O9)</f>
        <v>306961</v>
      </c>
      <c r="P6" s="158">
        <f>SUM(P7:P9)</f>
        <v>613922</v>
      </c>
      <c r="Q6" s="122"/>
      <c r="R6" s="680"/>
    </row>
    <row r="7" spans="1:19" outlineLevel="1" x14ac:dyDescent="0.2">
      <c r="A7" s="46" t="s">
        <v>326</v>
      </c>
      <c r="B7" s="676"/>
      <c r="C7" s="30"/>
      <c r="D7" s="30"/>
      <c r="E7" s="30" t="s">
        <v>328</v>
      </c>
      <c r="F7" s="30" t="s">
        <v>342</v>
      </c>
      <c r="H7" s="677">
        <v>0.5</v>
      </c>
      <c r="I7" s="23">
        <f>G6*50%</f>
        <v>613922</v>
      </c>
      <c r="J7" s="675">
        <v>1</v>
      </c>
      <c r="K7" s="30">
        <v>43305</v>
      </c>
      <c r="L7" s="24">
        <v>613922</v>
      </c>
      <c r="M7" s="30">
        <v>43342</v>
      </c>
      <c r="N7" s="453"/>
      <c r="O7" s="362" t="str">
        <f>IF(L7="en attente",I7,"")</f>
        <v/>
      </c>
      <c r="P7" s="80"/>
      <c r="Q7" s="23"/>
      <c r="R7" s="209"/>
    </row>
    <row r="8" spans="1:19" outlineLevel="1" x14ac:dyDescent="0.2">
      <c r="A8" s="46" t="s">
        <v>326</v>
      </c>
      <c r="B8" s="676"/>
      <c r="C8" s="30"/>
      <c r="D8" s="30"/>
      <c r="E8" s="30"/>
      <c r="F8" s="30" t="s">
        <v>341</v>
      </c>
      <c r="H8" s="677">
        <v>0.25</v>
      </c>
      <c r="I8" s="23">
        <f>+G6*H8</f>
        <v>306961</v>
      </c>
      <c r="J8" s="675">
        <v>2</v>
      </c>
      <c r="K8" s="30">
        <v>43628</v>
      </c>
      <c r="L8" s="111" t="s">
        <v>259</v>
      </c>
      <c r="M8" s="30"/>
      <c r="N8" s="453"/>
      <c r="O8" s="362">
        <f>IF(L8="en attente",I8,"")</f>
        <v>306961</v>
      </c>
      <c r="P8" s="80">
        <f>+I8</f>
        <v>306961</v>
      </c>
      <c r="Q8" s="23"/>
      <c r="R8" s="209"/>
    </row>
    <row r="9" spans="1:19" outlineLevel="1" x14ac:dyDescent="0.2">
      <c r="A9" s="117" t="s">
        <v>326</v>
      </c>
      <c r="B9" s="681"/>
      <c r="C9" s="154"/>
      <c r="D9" s="154"/>
      <c r="E9" s="154"/>
      <c r="F9" s="154" t="s">
        <v>344</v>
      </c>
      <c r="H9" s="682">
        <v>0.25</v>
      </c>
      <c r="I9" s="35">
        <f>+G6*H9</f>
        <v>306961</v>
      </c>
      <c r="J9" s="683">
        <v>3</v>
      </c>
      <c r="K9" s="154"/>
      <c r="L9" s="37"/>
      <c r="M9" s="154"/>
      <c r="N9" s="684"/>
      <c r="O9" s="439" t="str">
        <f>IF(L9="en attente",I9,"")</f>
        <v/>
      </c>
      <c r="P9" s="156">
        <f>+I9</f>
        <v>306961</v>
      </c>
      <c r="Q9" s="35"/>
      <c r="R9" s="209"/>
    </row>
    <row r="10" spans="1:19" x14ac:dyDescent="0.2">
      <c r="A10" s="118" t="s">
        <v>346</v>
      </c>
      <c r="B10" s="766" t="s">
        <v>330</v>
      </c>
      <c r="C10" s="146">
        <v>43283</v>
      </c>
      <c r="D10" s="146">
        <v>44104</v>
      </c>
      <c r="E10" s="146">
        <v>44196</v>
      </c>
      <c r="F10" s="146"/>
      <c r="G10" s="256">
        <v>655125</v>
      </c>
      <c r="H10" s="772"/>
      <c r="I10" s="131"/>
      <c r="J10" s="775"/>
      <c r="K10" s="146"/>
      <c r="L10" s="134">
        <f>SUM(L11:L13)</f>
        <v>327562.5</v>
      </c>
      <c r="M10" s="146"/>
      <c r="N10" s="776"/>
      <c r="O10" s="183">
        <f>SUM(O11:O13)</f>
        <v>163781.25</v>
      </c>
      <c r="P10" s="149">
        <f>SUM(P11:P13)</f>
        <v>327562.5</v>
      </c>
      <c r="Q10" s="140"/>
      <c r="R10" s="209"/>
    </row>
    <row r="11" spans="1:19" outlineLevel="1" x14ac:dyDescent="0.2">
      <c r="A11" s="46" t="s">
        <v>346</v>
      </c>
      <c r="B11" s="717"/>
      <c r="C11" s="30"/>
      <c r="D11" s="30"/>
      <c r="E11" s="30" t="s">
        <v>328</v>
      </c>
      <c r="F11" s="30" t="s">
        <v>342</v>
      </c>
      <c r="H11" s="677">
        <v>0.5</v>
      </c>
      <c r="I11" s="23">
        <f>+G10*H11</f>
        <v>327562.5</v>
      </c>
      <c r="J11" s="675">
        <v>1</v>
      </c>
      <c r="K11" s="30">
        <v>43381</v>
      </c>
      <c r="L11" s="24">
        <v>327562.5</v>
      </c>
      <c r="M11" s="30">
        <v>43440</v>
      </c>
      <c r="N11" s="453"/>
      <c r="O11" s="362" t="str">
        <f>IF(L11="en attente",I11,"")</f>
        <v/>
      </c>
      <c r="P11" s="80"/>
      <c r="Q11" s="23"/>
      <c r="R11" s="209"/>
    </row>
    <row r="12" spans="1:19" outlineLevel="1" x14ac:dyDescent="0.2">
      <c r="A12" s="46" t="s">
        <v>346</v>
      </c>
      <c r="B12" s="676"/>
      <c r="C12" s="30"/>
      <c r="D12" s="30"/>
      <c r="E12" s="30"/>
      <c r="F12" s="30" t="s">
        <v>341</v>
      </c>
      <c r="H12" s="677">
        <v>0.25</v>
      </c>
      <c r="I12" s="23">
        <f>+G10*H12</f>
        <v>163781.25</v>
      </c>
      <c r="J12" s="675">
        <v>2</v>
      </c>
      <c r="K12" s="30">
        <v>43628</v>
      </c>
      <c r="L12" s="111" t="s">
        <v>259</v>
      </c>
      <c r="M12" s="30"/>
      <c r="N12" s="453"/>
      <c r="O12" s="362">
        <f>IF(L12="en attente",I12,"")</f>
        <v>163781.25</v>
      </c>
      <c r="P12" s="80">
        <f>I12</f>
        <v>163781.25</v>
      </c>
      <c r="Q12" s="23"/>
      <c r="R12" s="209"/>
    </row>
    <row r="13" spans="1:19" outlineLevel="1" x14ac:dyDescent="0.2">
      <c r="A13" s="46" t="s">
        <v>346</v>
      </c>
      <c r="B13" s="676"/>
      <c r="C13" s="30"/>
      <c r="D13" s="30"/>
      <c r="E13" s="30"/>
      <c r="F13" s="154" t="s">
        <v>344</v>
      </c>
      <c r="H13" s="682">
        <v>0.25</v>
      </c>
      <c r="I13" s="23">
        <f>+G10*H13</f>
        <v>163781.25</v>
      </c>
      <c r="J13" s="675">
        <v>3</v>
      </c>
      <c r="K13" s="30"/>
      <c r="L13" s="24"/>
      <c r="M13" s="30"/>
      <c r="N13" s="453"/>
      <c r="O13" s="362" t="str">
        <f>IF(L13="en attente",I13,"")</f>
        <v/>
      </c>
      <c r="P13" s="80">
        <f>I13</f>
        <v>163781.25</v>
      </c>
      <c r="Q13" s="23"/>
      <c r="R13" s="209"/>
    </row>
    <row r="14" spans="1:19" s="8" customFormat="1" x14ac:dyDescent="0.2">
      <c r="A14" s="48"/>
      <c r="B14" s="48"/>
      <c r="C14" s="48"/>
      <c r="D14" s="48"/>
      <c r="E14" s="48"/>
      <c r="F14" s="48"/>
      <c r="G14" s="685">
        <f>+G6+G10</f>
        <v>1882969</v>
      </c>
      <c r="H14" s="685"/>
      <c r="I14" s="41">
        <f>SUMPRODUCT((DateAF_Rectorat&lt;&gt;"")*MontantAF_Rectorat)</f>
        <v>1412226.75</v>
      </c>
      <c r="J14" s="686"/>
      <c r="K14" s="50"/>
      <c r="L14" s="687">
        <f>+L6+L10</f>
        <v>941484.5</v>
      </c>
      <c r="M14" s="50"/>
      <c r="N14" s="688"/>
      <c r="O14" s="41">
        <f>O10+O6</f>
        <v>470742.25</v>
      </c>
      <c r="P14" s="689">
        <f>+P6+P10</f>
        <v>941484.5</v>
      </c>
      <c r="Q14" s="60"/>
      <c r="R14" s="165">
        <f>G14-(L14+O14+P14)</f>
        <v>-470742.25</v>
      </c>
    </row>
    <row r="15" spans="1:19" ht="12.75" thickBot="1" x14ac:dyDescent="0.25">
      <c r="A15" s="74"/>
      <c r="B15" s="75"/>
      <c r="C15" s="75"/>
      <c r="D15" s="75"/>
      <c r="E15" s="75"/>
      <c r="F15" s="75"/>
      <c r="G15" s="75"/>
      <c r="H15" s="75"/>
      <c r="I15" s="75"/>
      <c r="J15" s="74"/>
      <c r="K15" s="75"/>
      <c r="L15" s="75"/>
      <c r="M15" s="75"/>
      <c r="N15" s="52"/>
      <c r="O15" s="1064">
        <f>SUM(O14:P14)</f>
        <v>1412226.75</v>
      </c>
      <c r="P15" s="1065"/>
    </row>
    <row r="16" spans="1:19" ht="12.75" thickBot="1" x14ac:dyDescent="0.25">
      <c r="I16" s="740" t="s">
        <v>192</v>
      </c>
      <c r="J16" s="734"/>
      <c r="K16" s="734"/>
      <c r="L16" s="744" t="s">
        <v>194</v>
      </c>
    </row>
    <row r="17" spans="7:13" ht="12.75" thickBot="1" x14ac:dyDescent="0.25">
      <c r="G17" s="971">
        <v>2018</v>
      </c>
      <c r="H17" s="760"/>
      <c r="I17" s="761">
        <f>SUMPRODUCT((YEAR($H$23:$H$46)=G17)*($I$23:$I$46))</f>
        <v>941484.5</v>
      </c>
      <c r="J17" s="47"/>
      <c r="K17" s="47"/>
      <c r="L17" s="761">
        <f>SUMPRODUCT((YEAR($K$23:$K$46)=G17)*($L$23:$L$46))</f>
        <v>941484.5</v>
      </c>
    </row>
    <row r="18" spans="7:13" ht="12.75" thickBot="1" x14ac:dyDescent="0.25">
      <c r="G18" s="763">
        <v>2019</v>
      </c>
      <c r="H18" s="904"/>
      <c r="I18" s="764">
        <f>SUMPRODUCT((YEAR($H$23:$H$46)=G18)*($I$23:$I$46))</f>
        <v>470742.25</v>
      </c>
      <c r="J18" s="750"/>
      <c r="K18" s="750"/>
      <c r="L18" s="765">
        <f>SUMPRODUCT((YEAR($K$23:$K$46)=G18)*($L$23:$L$46))</f>
        <v>0</v>
      </c>
    </row>
    <row r="19" spans="7:13" ht="12.75" thickBot="1" x14ac:dyDescent="0.25">
      <c r="I19" s="762">
        <f>SUM(I17:I18)</f>
        <v>1412226.75</v>
      </c>
      <c r="J19" s="739"/>
      <c r="K19" s="739"/>
      <c r="L19" s="762">
        <f>SUM(L17:L18)</f>
        <v>941484.5</v>
      </c>
      <c r="M19" s="90">
        <f>L19-I19</f>
        <v>-470742.25</v>
      </c>
    </row>
    <row r="20" spans="7:13" x14ac:dyDescent="0.2">
      <c r="I20" s="165">
        <f>I19-I14</f>
        <v>0</v>
      </c>
      <c r="J20" s="1"/>
      <c r="L20" s="165">
        <f>L19-L14</f>
        <v>0</v>
      </c>
    </row>
    <row r="22" spans="7:13" x14ac:dyDescent="0.2">
      <c r="I22" s="366" t="s">
        <v>192</v>
      </c>
      <c r="L22" s="367" t="s">
        <v>194</v>
      </c>
    </row>
    <row r="23" spans="7:13" x14ac:dyDescent="0.2">
      <c r="H23" s="375">
        <v>43101</v>
      </c>
      <c r="I23" s="90">
        <f t="shared" ref="I23:I46" si="0">SUMPRODUCT((DateAF_Rectorat&lt;&gt;"")*(MONTH(DateAF_Rectorat)=MONTH(H23))*(YEAR(DateAF_Rectorat)=YEAR(H23))*MontantAF_Rectorat)</f>
        <v>0</v>
      </c>
      <c r="K23" s="375">
        <v>43101</v>
      </c>
      <c r="L23" s="90">
        <f t="shared" ref="L23:L46" si="1">SUMPRODUCT((DatePmt_Rectorat&lt;&gt;"")*(DatePmt_Rectorat&lt;&gt;"en attente")*(MONTH(DatePmt_Rectorat)=MONTH(K23))*(YEAR(DatePmt_Rectorat)=YEAR(K23))*(ISNUMBER(MtntPaye_Rectorat)),MtntPaye_Rectorat)</f>
        <v>0</v>
      </c>
    </row>
    <row r="24" spans="7:13" x14ac:dyDescent="0.2">
      <c r="H24" s="375">
        <v>43132</v>
      </c>
      <c r="I24" s="90">
        <f t="shared" si="0"/>
        <v>0</v>
      </c>
      <c r="K24" s="375">
        <v>43132</v>
      </c>
      <c r="L24" s="90">
        <f t="shared" si="1"/>
        <v>0</v>
      </c>
    </row>
    <row r="25" spans="7:13" x14ac:dyDescent="0.2">
      <c r="H25" s="375">
        <v>43160</v>
      </c>
      <c r="I25" s="90">
        <f t="shared" si="0"/>
        <v>0</v>
      </c>
      <c r="K25" s="375">
        <v>43160</v>
      </c>
      <c r="L25" s="90">
        <f t="shared" si="1"/>
        <v>0</v>
      </c>
    </row>
    <row r="26" spans="7:13" x14ac:dyDescent="0.2">
      <c r="H26" s="375">
        <v>43191</v>
      </c>
      <c r="I26" s="90">
        <f t="shared" si="0"/>
        <v>0</v>
      </c>
      <c r="K26" s="375">
        <v>43191</v>
      </c>
      <c r="L26" s="90">
        <f t="shared" si="1"/>
        <v>0</v>
      </c>
    </row>
    <row r="27" spans="7:13" x14ac:dyDescent="0.2">
      <c r="H27" s="375">
        <v>43221</v>
      </c>
      <c r="I27" s="90">
        <f t="shared" si="0"/>
        <v>0</v>
      </c>
      <c r="K27" s="375">
        <v>43221</v>
      </c>
      <c r="L27" s="90">
        <f t="shared" si="1"/>
        <v>0</v>
      </c>
    </row>
    <row r="28" spans="7:13" x14ac:dyDescent="0.2">
      <c r="H28" s="375">
        <v>43252</v>
      </c>
      <c r="I28" s="90">
        <f t="shared" si="0"/>
        <v>0</v>
      </c>
      <c r="K28" s="375">
        <v>43252</v>
      </c>
      <c r="L28" s="90">
        <f t="shared" si="1"/>
        <v>0</v>
      </c>
    </row>
    <row r="29" spans="7:13" x14ac:dyDescent="0.2">
      <c r="H29" s="375">
        <v>43282</v>
      </c>
      <c r="I29" s="90">
        <f t="shared" si="0"/>
        <v>613922</v>
      </c>
      <c r="K29" s="375">
        <v>43282</v>
      </c>
      <c r="L29" s="90">
        <f t="shared" si="1"/>
        <v>0</v>
      </c>
    </row>
    <row r="30" spans="7:13" x14ac:dyDescent="0.2">
      <c r="H30" s="375">
        <v>43313</v>
      </c>
      <c r="I30" s="90">
        <f t="shared" si="0"/>
        <v>0</v>
      </c>
      <c r="K30" s="375">
        <v>43313</v>
      </c>
      <c r="L30" s="90">
        <f t="shared" si="1"/>
        <v>613922</v>
      </c>
    </row>
    <row r="31" spans="7:13" x14ac:dyDescent="0.2">
      <c r="H31" s="375">
        <v>43344</v>
      </c>
      <c r="I31" s="90">
        <f t="shared" si="0"/>
        <v>0</v>
      </c>
      <c r="K31" s="375">
        <v>43344</v>
      </c>
      <c r="L31" s="90">
        <f t="shared" si="1"/>
        <v>0</v>
      </c>
    </row>
    <row r="32" spans="7:13" x14ac:dyDescent="0.2">
      <c r="H32" s="375">
        <v>43374</v>
      </c>
      <c r="I32" s="90">
        <f t="shared" si="0"/>
        <v>327562.5</v>
      </c>
      <c r="K32" s="375">
        <v>43374</v>
      </c>
      <c r="L32" s="90">
        <f t="shared" si="1"/>
        <v>0</v>
      </c>
    </row>
    <row r="33" spans="7:12" x14ac:dyDescent="0.2">
      <c r="H33" s="375">
        <v>43405</v>
      </c>
      <c r="I33" s="90">
        <f t="shared" si="0"/>
        <v>0</v>
      </c>
      <c r="K33" s="375">
        <v>43405</v>
      </c>
      <c r="L33" s="90">
        <f t="shared" si="1"/>
        <v>0</v>
      </c>
    </row>
    <row r="34" spans="7:12" x14ac:dyDescent="0.2">
      <c r="H34" s="375">
        <v>43435</v>
      </c>
      <c r="I34" s="90">
        <f t="shared" si="0"/>
        <v>0</v>
      </c>
      <c r="K34" s="375">
        <v>43435</v>
      </c>
      <c r="L34" s="90">
        <f t="shared" si="1"/>
        <v>327562.5</v>
      </c>
    </row>
    <row r="35" spans="7:12" x14ac:dyDescent="0.2">
      <c r="H35" s="375">
        <v>43466</v>
      </c>
      <c r="I35" s="90">
        <f t="shared" si="0"/>
        <v>0</v>
      </c>
      <c r="K35" s="375">
        <v>43466</v>
      </c>
      <c r="L35" s="90">
        <f t="shared" si="1"/>
        <v>0</v>
      </c>
    </row>
    <row r="36" spans="7:12" x14ac:dyDescent="0.2">
      <c r="H36" s="375">
        <v>43497</v>
      </c>
      <c r="I36" s="90">
        <f t="shared" si="0"/>
        <v>0</v>
      </c>
      <c r="K36" s="375">
        <v>43497</v>
      </c>
      <c r="L36" s="90">
        <f t="shared" si="1"/>
        <v>0</v>
      </c>
    </row>
    <row r="37" spans="7:12" x14ac:dyDescent="0.2">
      <c r="H37" s="375">
        <v>43525</v>
      </c>
      <c r="I37" s="90">
        <f t="shared" si="0"/>
        <v>0</v>
      </c>
      <c r="K37" s="375">
        <v>43525</v>
      </c>
      <c r="L37" s="90">
        <f t="shared" si="1"/>
        <v>0</v>
      </c>
    </row>
    <row r="38" spans="7:12" x14ac:dyDescent="0.2">
      <c r="H38" s="375">
        <v>43556</v>
      </c>
      <c r="I38" s="90">
        <f t="shared" si="0"/>
        <v>0</v>
      </c>
      <c r="K38" s="375">
        <v>43556</v>
      </c>
      <c r="L38" s="90">
        <f t="shared" si="1"/>
        <v>0</v>
      </c>
    </row>
    <row r="39" spans="7:12" x14ac:dyDescent="0.2">
      <c r="H39" s="375">
        <v>43586</v>
      </c>
      <c r="I39" s="90">
        <f t="shared" si="0"/>
        <v>0</v>
      </c>
      <c r="K39" s="375">
        <v>43586</v>
      </c>
      <c r="L39" s="90">
        <f t="shared" si="1"/>
        <v>0</v>
      </c>
    </row>
    <row r="40" spans="7:12" x14ac:dyDescent="0.2">
      <c r="H40" s="375">
        <v>43617</v>
      </c>
      <c r="I40" s="90">
        <f t="shared" si="0"/>
        <v>470742.25</v>
      </c>
      <c r="K40" s="375">
        <v>43617</v>
      </c>
      <c r="L40" s="90">
        <f t="shared" si="1"/>
        <v>0</v>
      </c>
    </row>
    <row r="41" spans="7:12" x14ac:dyDescent="0.2">
      <c r="H41" s="375">
        <v>43647</v>
      </c>
      <c r="I41" s="90">
        <f t="shared" si="0"/>
        <v>0</v>
      </c>
      <c r="K41" s="375">
        <v>43647</v>
      </c>
      <c r="L41" s="90">
        <f t="shared" si="1"/>
        <v>0</v>
      </c>
    </row>
    <row r="42" spans="7:12" x14ac:dyDescent="0.2">
      <c r="H42" s="375">
        <v>43678</v>
      </c>
      <c r="I42" s="90">
        <f t="shared" si="0"/>
        <v>0</v>
      </c>
      <c r="K42" s="375">
        <v>43678</v>
      </c>
      <c r="L42" s="90">
        <f t="shared" si="1"/>
        <v>0</v>
      </c>
    </row>
    <row r="43" spans="7:12" x14ac:dyDescent="0.2">
      <c r="H43" s="375">
        <v>43709</v>
      </c>
      <c r="I43" s="90">
        <f t="shared" si="0"/>
        <v>0</v>
      </c>
      <c r="K43" s="375">
        <v>43709</v>
      </c>
      <c r="L43" s="90">
        <f t="shared" si="1"/>
        <v>0</v>
      </c>
    </row>
    <row r="44" spans="7:12" x14ac:dyDescent="0.2">
      <c r="H44" s="375">
        <v>43739</v>
      </c>
      <c r="I44" s="90">
        <f t="shared" si="0"/>
        <v>0</v>
      </c>
      <c r="K44" s="375">
        <v>43739</v>
      </c>
      <c r="L44" s="90">
        <f t="shared" si="1"/>
        <v>0</v>
      </c>
    </row>
    <row r="45" spans="7:12" x14ac:dyDescent="0.2">
      <c r="H45" s="375">
        <v>43770</v>
      </c>
      <c r="I45" s="90">
        <f t="shared" si="0"/>
        <v>0</v>
      </c>
      <c r="K45" s="375">
        <v>43770</v>
      </c>
      <c r="L45" s="90">
        <f t="shared" si="1"/>
        <v>0</v>
      </c>
    </row>
    <row r="46" spans="7:12" x14ac:dyDescent="0.2">
      <c r="H46" s="375">
        <v>43800</v>
      </c>
      <c r="I46" s="90">
        <f t="shared" si="0"/>
        <v>0</v>
      </c>
      <c r="K46" s="375">
        <v>43800</v>
      </c>
      <c r="L46" s="90">
        <f t="shared" si="1"/>
        <v>0</v>
      </c>
    </row>
    <row r="47" spans="7:12" x14ac:dyDescent="0.2">
      <c r="G47" s="8"/>
      <c r="H47" s="8"/>
      <c r="I47" s="457">
        <f>SUM(I23:I46)</f>
        <v>1412226.75</v>
      </c>
      <c r="J47" s="935"/>
      <c r="K47" s="8"/>
      <c r="L47" s="457">
        <f>SUM(L23:L46)</f>
        <v>941484.5</v>
      </c>
    </row>
    <row r="48" spans="7:12" x14ac:dyDescent="0.2">
      <c r="G48" s="160"/>
      <c r="H48" s="160"/>
      <c r="I48" s="165">
        <f>I47-I19</f>
        <v>0</v>
      </c>
      <c r="J48" s="462"/>
      <c r="K48" s="160"/>
      <c r="L48" s="165">
        <f>L47-L19</f>
        <v>0</v>
      </c>
    </row>
  </sheetData>
  <mergeCells count="8">
    <mergeCell ref="O15:P15"/>
    <mergeCell ref="A2:O2"/>
    <mergeCell ref="A4:A5"/>
    <mergeCell ref="B4:B5"/>
    <mergeCell ref="C4:C5"/>
    <mergeCell ref="G4:G5"/>
    <mergeCell ref="I4:N4"/>
    <mergeCell ref="O4:P4"/>
  </mergeCells>
  <pageMargins left="0.70866141732283472" right="0.70866141732283472" top="0.74803149606299213" bottom="0.74803149606299213" header="0.31496062992125984" footer="0.31496062992125984"/>
  <pageSetup paperSize="9" scale="55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  <pageSetUpPr fitToPage="1"/>
  </sheetPr>
  <dimension ref="A1:O26"/>
  <sheetViews>
    <sheetView workbookViewId="0">
      <selection activeCell="E11" sqref="E11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x14ac:dyDescent="0.2">
      <c r="M1" s="87"/>
      <c r="N1" s="8"/>
    </row>
    <row r="2" spans="1:15" x14ac:dyDescent="0.2">
      <c r="A2" s="1066" t="s">
        <v>60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9">
        <f ca="1">TODAY()</f>
        <v>43696</v>
      </c>
      <c r="N2" s="61"/>
    </row>
    <row r="4" spans="1:15" s="2" customFormat="1" x14ac:dyDescent="0.2">
      <c r="A4" s="1083" t="s">
        <v>2</v>
      </c>
      <c r="B4" s="1083" t="s">
        <v>0</v>
      </c>
      <c r="C4" s="1071" t="s">
        <v>19</v>
      </c>
      <c r="D4" s="1071" t="s">
        <v>10</v>
      </c>
      <c r="E4" s="1067" t="s">
        <v>4</v>
      </c>
      <c r="F4" s="1068"/>
      <c r="G4" s="1068"/>
      <c r="H4" s="1068"/>
      <c r="I4" s="1068"/>
      <c r="J4" s="1069"/>
      <c r="K4" s="1070" t="s">
        <v>11</v>
      </c>
      <c r="L4" s="1071"/>
      <c r="N4" s="63"/>
      <c r="O4" s="63"/>
    </row>
    <row r="5" spans="1:15" s="13" customFormat="1" x14ac:dyDescent="0.2">
      <c r="A5" s="1084"/>
      <c r="B5" s="1084"/>
      <c r="C5" s="1085"/>
      <c r="D5" s="1085"/>
      <c r="E5" s="10" t="s">
        <v>1</v>
      </c>
      <c r="F5" s="11" t="s">
        <v>3</v>
      </c>
      <c r="G5" s="11" t="s">
        <v>13</v>
      </c>
      <c r="H5" s="12" t="s">
        <v>12</v>
      </c>
      <c r="I5" s="10" t="s">
        <v>13</v>
      </c>
      <c r="J5" s="11" t="s">
        <v>16</v>
      </c>
      <c r="K5" s="3" t="s">
        <v>18</v>
      </c>
      <c r="L5" s="3" t="s">
        <v>17</v>
      </c>
    </row>
    <row r="6" spans="1:15" x14ac:dyDescent="0.2">
      <c r="A6" s="397" t="s">
        <v>218</v>
      </c>
      <c r="B6" s="398"/>
      <c r="C6" s="347">
        <v>41607</v>
      </c>
      <c r="D6" s="350">
        <v>66848.639999999999</v>
      </c>
      <c r="E6" s="399"/>
      <c r="F6" s="400"/>
      <c r="G6" s="401"/>
      <c r="H6" s="402"/>
      <c r="I6" s="403"/>
      <c r="J6" s="401"/>
      <c r="K6" s="404"/>
      <c r="L6" s="404"/>
    </row>
    <row r="7" spans="1:15" x14ac:dyDescent="0.2">
      <c r="A7" s="329" t="s">
        <v>218</v>
      </c>
      <c r="B7" s="398"/>
      <c r="C7" s="342"/>
      <c r="D7" s="387">
        <v>-9746.75</v>
      </c>
      <c r="E7" s="344">
        <v>66848.639999999999</v>
      </c>
      <c r="F7" s="400">
        <v>1</v>
      </c>
      <c r="G7" s="401"/>
      <c r="H7" s="346">
        <v>57101.89</v>
      </c>
      <c r="I7" s="347">
        <v>42192</v>
      </c>
      <c r="J7" s="348"/>
      <c r="K7" s="350"/>
      <c r="L7" s="350"/>
    </row>
    <row r="8" spans="1:15" s="26" customFormat="1" x14ac:dyDescent="0.2">
      <c r="A8" s="329" t="s">
        <v>218</v>
      </c>
      <c r="B8" s="348"/>
      <c r="C8" s="342"/>
      <c r="D8" s="350"/>
      <c r="E8" s="344"/>
      <c r="F8" s="345"/>
      <c r="G8" s="347"/>
      <c r="H8" s="344"/>
      <c r="I8" s="347">
        <v>42369</v>
      </c>
      <c r="J8" s="348"/>
      <c r="K8" s="387"/>
      <c r="L8" s="349"/>
      <c r="M8" s="31" t="s">
        <v>219</v>
      </c>
      <c r="N8" s="27"/>
    </row>
    <row r="9" spans="1:15" s="31" customFormat="1" x14ac:dyDescent="0.2">
      <c r="A9" s="471" t="s">
        <v>37</v>
      </c>
      <c r="B9" s="472"/>
      <c r="C9" s="473">
        <v>41091</v>
      </c>
      <c r="D9" s="474">
        <f>38400*0</f>
        <v>0</v>
      </c>
      <c r="E9" s="475"/>
      <c r="F9" s="476"/>
      <c r="G9" s="473"/>
      <c r="H9" s="477"/>
      <c r="I9" s="478"/>
      <c r="J9" s="472"/>
      <c r="K9" s="479">
        <f>+IF(G9="",0,E9-H9)</f>
        <v>0</v>
      </c>
      <c r="L9" s="479">
        <f>IF(G9="",E9-H9,0)</f>
        <v>0</v>
      </c>
      <c r="M9" s="112"/>
      <c r="N9" s="112"/>
    </row>
    <row r="10" spans="1:15" s="31" customFormat="1" x14ac:dyDescent="0.2">
      <c r="A10" s="480" t="s">
        <v>37</v>
      </c>
      <c r="B10" s="417"/>
      <c r="C10" s="433" t="s">
        <v>83</v>
      </c>
      <c r="D10" s="433"/>
      <c r="E10" s="481">
        <f>38400*0</f>
        <v>0</v>
      </c>
      <c r="F10" s="482">
        <v>1</v>
      </c>
      <c r="G10" s="407">
        <v>41984</v>
      </c>
      <c r="H10" s="483"/>
      <c r="I10" s="484"/>
      <c r="J10" s="417">
        <f ca="1">$L$2-G10</f>
        <v>1712</v>
      </c>
      <c r="K10" s="387">
        <f>+IF(G10="",0,E10-H10)</f>
        <v>0</v>
      </c>
      <c r="L10" s="387">
        <f>IF(G10="",E10-H10,0)</f>
        <v>0</v>
      </c>
      <c r="M10" s="112"/>
    </row>
    <row r="11" spans="1:15" s="8" customFormat="1" x14ac:dyDescent="0.2">
      <c r="A11" s="485"/>
      <c r="B11" s="485"/>
      <c r="C11" s="485"/>
      <c r="D11" s="486">
        <f>SUM(D6:D10)</f>
        <v>57101.89</v>
      </c>
      <c r="E11" s="486">
        <f>SUM(E7)</f>
        <v>66848.639999999999</v>
      </c>
      <c r="F11" s="487"/>
      <c r="G11" s="488"/>
      <c r="H11" s="486">
        <f>SUM(H6:H10)</f>
        <v>57101.89</v>
      </c>
      <c r="I11" s="488"/>
      <c r="J11" s="488"/>
      <c r="K11" s="486">
        <f>SUM(K6:K8)</f>
        <v>0</v>
      </c>
      <c r="L11" s="486">
        <f>SUM(L6:L10)</f>
        <v>0</v>
      </c>
      <c r="M11" s="20"/>
      <c r="N11" s="20"/>
    </row>
    <row r="12" spans="1:15" x14ac:dyDescent="0.2">
      <c r="A12" s="74"/>
      <c r="B12" s="75"/>
      <c r="C12" s="75"/>
      <c r="D12" s="75"/>
      <c r="E12" s="75"/>
      <c r="F12" s="74"/>
      <c r="G12" s="75"/>
      <c r="H12" s="75"/>
      <c r="I12" s="75"/>
      <c r="J12" s="52"/>
      <c r="K12" s="1064">
        <f>SUM(K11:L11)</f>
        <v>0</v>
      </c>
      <c r="L12" s="1065"/>
    </row>
    <row r="26" spans="14:14" x14ac:dyDescent="0.2">
      <c r="N26" s="396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F10" sqref="F10"/>
    </sheetView>
  </sheetViews>
  <sheetFormatPr baseColWidth="10" defaultColWidth="11.42578125" defaultRowHeight="12" outlineLevelRow="1" x14ac:dyDescent="0.2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88"/>
      <c r="P1" s="8"/>
    </row>
    <row r="2" spans="1:17" x14ac:dyDescent="0.2">
      <c r="A2" s="1066" t="s">
        <v>63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9">
        <f ca="1">TODAY()</f>
        <v>43696</v>
      </c>
      <c r="P2" s="61"/>
    </row>
    <row r="4" spans="1:17" s="2" customFormat="1" ht="24" x14ac:dyDescent="0.2">
      <c r="A4" s="1083" t="s">
        <v>2</v>
      </c>
      <c r="B4" s="1071" t="s">
        <v>19</v>
      </c>
      <c r="C4" s="222" t="s">
        <v>97</v>
      </c>
      <c r="D4" s="222" t="s">
        <v>107</v>
      </c>
      <c r="E4" s="1071" t="s">
        <v>10</v>
      </c>
      <c r="F4" s="1067" t="s">
        <v>4</v>
      </c>
      <c r="G4" s="1068"/>
      <c r="H4" s="1068"/>
      <c r="I4" s="1068"/>
      <c r="J4" s="1068"/>
      <c r="K4" s="1069"/>
      <c r="L4" s="1070" t="s">
        <v>11</v>
      </c>
      <c r="M4" s="1071"/>
      <c r="N4" s="1071" t="s">
        <v>84</v>
      </c>
      <c r="P4" s="63"/>
      <c r="Q4" s="63"/>
    </row>
    <row r="5" spans="1:17" s="13" customFormat="1" x14ac:dyDescent="0.2">
      <c r="A5" s="1084"/>
      <c r="B5" s="1085"/>
      <c r="C5" s="223"/>
      <c r="D5" s="223"/>
      <c r="E5" s="1085"/>
      <c r="F5" s="10" t="s">
        <v>1</v>
      </c>
      <c r="G5" s="11" t="s">
        <v>3</v>
      </c>
      <c r="H5" s="11" t="s">
        <v>13</v>
      </c>
      <c r="I5" s="12" t="s">
        <v>12</v>
      </c>
      <c r="J5" s="10" t="s">
        <v>13</v>
      </c>
      <c r="K5" s="11" t="s">
        <v>16</v>
      </c>
      <c r="L5" s="3" t="s">
        <v>18</v>
      </c>
      <c r="M5" s="3" t="s">
        <v>17</v>
      </c>
      <c r="N5" s="1085"/>
    </row>
    <row r="6" spans="1:17" s="8" customFormat="1" x14ac:dyDescent="0.2">
      <c r="A6" s="128" t="s">
        <v>33</v>
      </c>
      <c r="B6" s="146">
        <v>40452</v>
      </c>
      <c r="C6" s="148"/>
      <c r="D6" s="148"/>
      <c r="E6" s="136">
        <f>340000*0+I6</f>
        <v>289788.59000000003</v>
      </c>
      <c r="F6" s="131"/>
      <c r="G6" s="212"/>
      <c r="H6" s="133"/>
      <c r="I6" s="134">
        <f>SUM(I7:I10)</f>
        <v>289788.59000000003</v>
      </c>
      <c r="J6" s="146"/>
      <c r="K6" s="133"/>
      <c r="L6" s="136">
        <f>SUM(L7:L10)</f>
        <v>0</v>
      </c>
      <c r="M6" s="136">
        <f>SUM(M7:M10)</f>
        <v>0</v>
      </c>
      <c r="N6" s="136"/>
      <c r="O6" s="165">
        <f>E6-(I6+L6+M6)</f>
        <v>0</v>
      </c>
    </row>
    <row r="7" spans="1:17" s="26" customFormat="1" outlineLevel="1" x14ac:dyDescent="0.2">
      <c r="A7" s="46" t="s">
        <v>33</v>
      </c>
      <c r="B7" s="15"/>
      <c r="C7" s="15"/>
      <c r="D7" s="15"/>
      <c r="E7" s="107">
        <f>F7/$E$6</f>
        <v>0.23465382125638554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0" t="str">
        <f>IF(I7="en attente",F7,"")</f>
        <v/>
      </c>
      <c r="M7" s="80">
        <f>IF(H7="",F7-I7,0)</f>
        <v>0</v>
      </c>
      <c r="N7" s="16"/>
      <c r="O7" s="165"/>
      <c r="P7" s="27"/>
    </row>
    <row r="8" spans="1:17" s="26" customFormat="1" outlineLevel="1" x14ac:dyDescent="0.2">
      <c r="A8" s="46" t="s">
        <v>33</v>
      </c>
      <c r="B8" s="15"/>
      <c r="C8" s="15"/>
      <c r="D8" s="15"/>
      <c r="E8" s="107">
        <f>F8/$E$6+E7</f>
        <v>0.93861528502554215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0" t="str">
        <f t="shared" ref="L8:L15" si="0">IF(I8="en attente",F8,"")</f>
        <v/>
      </c>
      <c r="M8" s="80">
        <f>IF(H8="",F8-I8,0)</f>
        <v>0</v>
      </c>
      <c r="N8" s="16"/>
      <c r="O8" s="165"/>
      <c r="P8" s="27"/>
    </row>
    <row r="9" spans="1:17" s="26" customFormat="1" outlineLevel="1" x14ac:dyDescent="0.2">
      <c r="A9" s="46" t="s">
        <v>33</v>
      </c>
      <c r="B9" s="15"/>
      <c r="C9" s="15"/>
      <c r="D9" s="15"/>
      <c r="E9" s="107">
        <f>F9/$E$6+E8</f>
        <v>0.99999999999999989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0" t="str">
        <f t="shared" si="0"/>
        <v/>
      </c>
      <c r="M9" s="80">
        <f>IF(H9="",F9-I9,0)</f>
        <v>0</v>
      </c>
      <c r="N9" s="16"/>
      <c r="O9" s="165"/>
      <c r="P9" s="27"/>
    </row>
    <row r="10" spans="1:17" s="26" customFormat="1" outlineLevel="1" x14ac:dyDescent="0.2">
      <c r="A10" s="46" t="s">
        <v>33</v>
      </c>
      <c r="B10" s="15"/>
      <c r="C10" s="15"/>
      <c r="D10" s="15"/>
      <c r="E10" s="107"/>
      <c r="F10" s="109"/>
      <c r="G10" s="42"/>
      <c r="H10" s="15"/>
      <c r="I10" s="24"/>
      <c r="J10" s="30"/>
      <c r="K10" s="4"/>
      <c r="L10" s="80" t="str">
        <f t="shared" si="0"/>
        <v/>
      </c>
      <c r="M10" s="80">
        <f>IF(H10="",F10-I10,0)</f>
        <v>0</v>
      </c>
      <c r="N10" s="16"/>
      <c r="O10" s="90" t="s">
        <v>202</v>
      </c>
      <c r="P10" s="27"/>
    </row>
    <row r="11" spans="1:17" s="106" customFormat="1" x14ac:dyDescent="0.2">
      <c r="A11" s="118" t="s">
        <v>37</v>
      </c>
      <c r="B11" s="157">
        <v>41091</v>
      </c>
      <c r="C11" s="157"/>
      <c r="D11" s="157"/>
      <c r="E11" s="127">
        <v>20808.98</v>
      </c>
      <c r="F11" s="122"/>
      <c r="G11" s="137"/>
      <c r="H11" s="157"/>
      <c r="I11" s="125">
        <f>SUM(I12)</f>
        <v>0</v>
      </c>
      <c r="J11" s="150"/>
      <c r="K11" s="124"/>
      <c r="L11" s="158">
        <f>SUM(L12)</f>
        <v>20808.98</v>
      </c>
      <c r="M11" s="220">
        <f>SUM(M12)</f>
        <v>0</v>
      </c>
      <c r="N11" s="127"/>
      <c r="O11" s="165">
        <f t="shared" ref="O11:O16" si="1">E11-(I11+L11+M11)</f>
        <v>0</v>
      </c>
      <c r="P11" s="206"/>
    </row>
    <row r="12" spans="1:17" s="26" customFormat="1" x14ac:dyDescent="0.2">
      <c r="A12" s="117" t="s">
        <v>37</v>
      </c>
      <c r="B12" s="36"/>
      <c r="C12" s="36"/>
      <c r="D12" s="36"/>
      <c r="E12" s="152"/>
      <c r="F12" s="35">
        <v>20808.98</v>
      </c>
      <c r="G12" s="44">
        <v>1</v>
      </c>
      <c r="H12" s="36">
        <v>41668</v>
      </c>
      <c r="I12" s="153" t="s">
        <v>81</v>
      </c>
      <c r="J12" s="154"/>
      <c r="K12" s="39">
        <f ca="1">$M$2-H12</f>
        <v>2028</v>
      </c>
      <c r="L12" s="156">
        <f t="shared" si="0"/>
        <v>20808.98</v>
      </c>
      <c r="M12" s="219">
        <f>IF(H12="",F12-I12,0)</f>
        <v>0</v>
      </c>
      <c r="N12" s="40"/>
      <c r="O12" s="165"/>
    </row>
    <row r="13" spans="1:17" s="8" customFormat="1" x14ac:dyDescent="0.2">
      <c r="A13" s="128" t="s">
        <v>40</v>
      </c>
      <c r="B13" s="148">
        <v>40578</v>
      </c>
      <c r="C13" s="148">
        <f>DATE(YEAR(B13),MONTH(B110)+18,DAY(B13))</f>
        <v>41094</v>
      </c>
      <c r="D13" s="148">
        <f>DATE(YEAR(C13),MONTH(C13),DAY(C13)-20)</f>
        <v>41074</v>
      </c>
      <c r="E13" s="136">
        <v>140000</v>
      </c>
      <c r="F13" s="131"/>
      <c r="G13" s="132"/>
      <c r="H13" s="148"/>
      <c r="I13" s="134">
        <f>SUM(I14:I15)</f>
        <v>70000</v>
      </c>
      <c r="J13" s="146"/>
      <c r="K13" s="133"/>
      <c r="L13" s="149">
        <f>SUM(L14:L15)</f>
        <v>70000</v>
      </c>
      <c r="M13" s="149">
        <f>SUM(M14:M15)</f>
        <v>0</v>
      </c>
      <c r="N13" s="136"/>
      <c r="O13" s="165">
        <f t="shared" si="1"/>
        <v>0</v>
      </c>
    </row>
    <row r="14" spans="1:17" outlineLevel="1" x14ac:dyDescent="0.2">
      <c r="A14" s="46" t="s">
        <v>40</v>
      </c>
      <c r="B14" s="15"/>
      <c r="C14" s="15"/>
      <c r="D14" s="15"/>
      <c r="E14" s="107"/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0" t="str">
        <f t="shared" si="0"/>
        <v/>
      </c>
      <c r="M14" s="80">
        <f>IF(H14="",F14-I14,0)</f>
        <v>0</v>
      </c>
      <c r="N14" s="16"/>
      <c r="O14" s="165"/>
    </row>
    <row r="15" spans="1:17" outlineLevel="1" x14ac:dyDescent="0.2">
      <c r="A15" s="46" t="s">
        <v>40</v>
      </c>
      <c r="B15" s="15"/>
      <c r="C15" s="15"/>
      <c r="D15" s="15"/>
      <c r="E15" s="107"/>
      <c r="F15" s="23">
        <v>70000</v>
      </c>
      <c r="G15" s="42">
        <v>2</v>
      </c>
      <c r="H15" s="15">
        <v>42034</v>
      </c>
      <c r="I15" s="111" t="s">
        <v>81</v>
      </c>
      <c r="J15" s="30"/>
      <c r="K15" s="4"/>
      <c r="L15" s="80">
        <f t="shared" si="0"/>
        <v>70000</v>
      </c>
      <c r="M15" s="80">
        <f>IF(H15="",F15-I15,0)</f>
        <v>0</v>
      </c>
      <c r="N15" s="16"/>
      <c r="O15" s="165"/>
    </row>
    <row r="16" spans="1:17" s="8" customFormat="1" x14ac:dyDescent="0.2">
      <c r="A16" s="48"/>
      <c r="B16" s="48"/>
      <c r="C16" s="48"/>
      <c r="D16" s="48"/>
      <c r="E16" s="41">
        <f>SUM(E6:E15)</f>
        <v>450599.74326910631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0</v>
      </c>
      <c r="N16" s="41"/>
      <c r="O16" s="165">
        <f t="shared" si="1"/>
        <v>2.1732691063079983</v>
      </c>
      <c r="P16" s="20"/>
    </row>
    <row r="17" spans="1:15" x14ac:dyDescent="0.2">
      <c r="A17" s="74"/>
      <c r="B17" s="75"/>
      <c r="C17" s="75"/>
      <c r="D17" s="75"/>
      <c r="E17" s="75"/>
      <c r="F17" s="75"/>
      <c r="G17" s="74"/>
      <c r="H17" s="75"/>
      <c r="I17" s="75"/>
      <c r="J17" s="75"/>
      <c r="K17" s="52"/>
      <c r="L17" s="1064">
        <f>SUM(L16:M16)</f>
        <v>90808.98</v>
      </c>
      <c r="M17" s="1065"/>
      <c r="N17" s="75"/>
      <c r="O17" s="27"/>
    </row>
    <row r="18" spans="1:15" x14ac:dyDescent="0.2">
      <c r="I18" s="5" t="s">
        <v>226</v>
      </c>
    </row>
    <row r="20" spans="1:15" x14ac:dyDescent="0.2">
      <c r="F20" s="366" t="s">
        <v>192</v>
      </c>
      <c r="I20" s="367" t="s">
        <v>194</v>
      </c>
      <c r="L20" s="366" t="s">
        <v>192</v>
      </c>
      <c r="M20" s="367" t="s">
        <v>194</v>
      </c>
    </row>
    <row r="21" spans="1:15" x14ac:dyDescent="0.2">
      <c r="E21" s="490">
        <v>40453</v>
      </c>
      <c r="F21" s="90">
        <f t="shared" ref="F21:F30" si="2">SUMPRODUCT((DateAF_TCO&lt;&gt;"")*(MONTH(DateAF_TCO)=MONTH(E21))*(YEAR(DateAF_TCO)=YEAR(E21))*MontantAF_TCO)</f>
        <v>68000</v>
      </c>
      <c r="H21" s="490">
        <v>40453</v>
      </c>
      <c r="I21" s="90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0">
        <f>SUMPRODUCT((YEAR($E$21:$E$30)=K21)*($F$21:$F$30))</f>
        <v>68000</v>
      </c>
      <c r="M21" s="90">
        <f>SUMPRODUCT((YEAR($H$21:$H$30)=K21)*($I$21:$I$30))</f>
        <v>68000</v>
      </c>
    </row>
    <row r="22" spans="1:15" x14ac:dyDescent="0.2">
      <c r="E22" s="490">
        <v>40514</v>
      </c>
      <c r="F22" s="90">
        <f t="shared" si="2"/>
        <v>0</v>
      </c>
      <c r="H22" s="490">
        <v>40514</v>
      </c>
      <c r="I22" s="90">
        <f t="shared" si="3"/>
        <v>68000</v>
      </c>
      <c r="K22" s="1">
        <v>2012</v>
      </c>
      <c r="L22" s="90">
        <f>SUMPRODUCT((YEAR($E$21:$E$30)=K22)*($F$21:$F$30))</f>
        <v>204000</v>
      </c>
      <c r="M22" s="90">
        <f>SUMPRODUCT((YEAR($H$21:$H$30)=K22)*($I$21:$I$30))</f>
        <v>204000</v>
      </c>
    </row>
    <row r="23" spans="1:15" x14ac:dyDescent="0.2">
      <c r="E23" s="490">
        <v>40981</v>
      </c>
      <c r="F23" s="90">
        <f t="shared" si="2"/>
        <v>204000</v>
      </c>
      <c r="H23" s="490">
        <v>40981</v>
      </c>
      <c r="I23" s="90">
        <f t="shared" si="3"/>
        <v>0</v>
      </c>
      <c r="K23" s="1">
        <v>2013</v>
      </c>
      <c r="L23" s="90">
        <f>SUMPRODUCT((YEAR($E$21:$E$30)=K23)*($F$21:$F$30))</f>
        <v>87788.59</v>
      </c>
      <c r="M23" s="90">
        <f>SUMPRODUCT((YEAR($H$21:$H$30)=K23)*($I$21:$I$30))</f>
        <v>87788.59</v>
      </c>
    </row>
    <row r="24" spans="1:15" x14ac:dyDescent="0.2">
      <c r="E24" s="490">
        <v>41267</v>
      </c>
      <c r="F24" s="90">
        <f t="shared" si="2"/>
        <v>0</v>
      </c>
      <c r="H24" s="490">
        <v>41267</v>
      </c>
      <c r="I24" s="90">
        <f t="shared" si="3"/>
        <v>204000</v>
      </c>
      <c r="K24" s="1">
        <v>2014</v>
      </c>
      <c r="L24" s="90">
        <f>SUMPRODUCT((YEAR($E$21:$E$30)=K24)*($F$21:$F$30))</f>
        <v>20808.98</v>
      </c>
      <c r="M24" s="90">
        <f>SUMPRODUCT((YEAR($H$21:$H$30)=K24)*($I$21:$I$30))</f>
        <v>0</v>
      </c>
    </row>
    <row r="25" spans="1:15" x14ac:dyDescent="0.2">
      <c r="E25" s="490">
        <v>41290</v>
      </c>
      <c r="F25" s="90">
        <f t="shared" si="2"/>
        <v>17788.59</v>
      </c>
      <c r="H25" s="490">
        <v>41290</v>
      </c>
      <c r="I25" s="90">
        <f t="shared" si="3"/>
        <v>0</v>
      </c>
      <c r="K25" s="1">
        <v>2015</v>
      </c>
      <c r="L25" s="90">
        <f>SUMPRODUCT((YEAR($E$21:$E$30)=K25)*($F$21:$F$30))</f>
        <v>70000</v>
      </c>
      <c r="M25" s="90">
        <f>SUMPRODUCT((YEAR($H$21:$H$30)=K25)*($I$21:$I$30))</f>
        <v>0</v>
      </c>
    </row>
    <row r="26" spans="1:15" x14ac:dyDescent="0.2">
      <c r="E26" s="490">
        <v>41349</v>
      </c>
      <c r="F26" s="90">
        <f t="shared" si="2"/>
        <v>0</v>
      </c>
      <c r="H26" s="490">
        <v>41349</v>
      </c>
      <c r="I26" s="90">
        <f t="shared" si="3"/>
        <v>17788.59</v>
      </c>
      <c r="L26" s="457">
        <f>SUM(L21:L25)</f>
        <v>450597.56999999995</v>
      </c>
      <c r="M26" s="457">
        <f>SUM(M21:M25)</f>
        <v>359788.58999999997</v>
      </c>
      <c r="N26" s="90">
        <f>M26-L26</f>
        <v>-90808.979999999981</v>
      </c>
    </row>
    <row r="27" spans="1:15" x14ac:dyDescent="0.2">
      <c r="E27" s="490">
        <v>41485</v>
      </c>
      <c r="F27" s="90">
        <f t="shared" si="2"/>
        <v>70000</v>
      </c>
      <c r="H27" s="490">
        <v>41485</v>
      </c>
      <c r="I27" s="90">
        <f t="shared" si="3"/>
        <v>0</v>
      </c>
      <c r="L27" s="165">
        <f>+L26-F31</f>
        <v>0</v>
      </c>
      <c r="M27" s="165">
        <f>+M26-I31</f>
        <v>0</v>
      </c>
    </row>
    <row r="28" spans="1:15" x14ac:dyDescent="0.2">
      <c r="E28" s="490">
        <v>41522</v>
      </c>
      <c r="F28" s="90">
        <f t="shared" si="2"/>
        <v>0</v>
      </c>
      <c r="H28" s="490">
        <v>41522</v>
      </c>
      <c r="I28" s="90">
        <f t="shared" si="3"/>
        <v>70000</v>
      </c>
    </row>
    <row r="29" spans="1:15" x14ac:dyDescent="0.2">
      <c r="E29" s="490">
        <v>41668</v>
      </c>
      <c r="F29" s="90">
        <f t="shared" si="2"/>
        <v>20808.98</v>
      </c>
      <c r="H29" s="490">
        <v>41668</v>
      </c>
      <c r="I29" s="90">
        <f t="shared" si="3"/>
        <v>0</v>
      </c>
    </row>
    <row r="30" spans="1:15" x14ac:dyDescent="0.2">
      <c r="E30" s="490">
        <v>42034</v>
      </c>
      <c r="F30" s="90">
        <f t="shared" si="2"/>
        <v>70000</v>
      </c>
      <c r="H30" s="490">
        <v>42034</v>
      </c>
      <c r="I30" s="90">
        <f t="shared" si="3"/>
        <v>0</v>
      </c>
    </row>
    <row r="31" spans="1:15" x14ac:dyDescent="0.2">
      <c r="F31" s="457">
        <f>SUM(F21:F30)</f>
        <v>450597.57</v>
      </c>
      <c r="I31" s="457">
        <f>SUM(I21:I30)</f>
        <v>359788.59</v>
      </c>
    </row>
    <row r="32" spans="1:15" s="160" customFormat="1" x14ac:dyDescent="0.2">
      <c r="A32" s="462"/>
      <c r="F32" s="165">
        <f>+F31-F16</f>
        <v>0</v>
      </c>
      <c r="G32" s="462"/>
      <c r="I32" s="165">
        <f>+I31-I16</f>
        <v>0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1"/>
    <pageSetUpPr fitToPage="1"/>
  </sheetPr>
  <dimension ref="A1:T25"/>
  <sheetViews>
    <sheetView zoomScaleNormal="100" workbookViewId="0">
      <pane xSplit="1" ySplit="5" topLeftCell="G6" activePane="bottomRight" state="frozen"/>
      <selection pane="topRight" activeCell="B1" sqref="B1"/>
      <selection pane="bottomLeft" activeCell="A6" sqref="A6"/>
      <selection pane="bottomRight" activeCell="N12" sqref="N12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3.42578125" style="1" customWidth="1"/>
    <col min="9" max="9" width="14.42578125" style="1" customWidth="1"/>
    <col min="10" max="10" width="4.140625" style="6" bestFit="1" customWidth="1"/>
    <col min="11" max="11" width="10.42578125" style="1" bestFit="1" customWidth="1"/>
    <col min="12" max="12" width="12.42578125" style="1" customWidth="1"/>
    <col min="13" max="13" width="10.42578125" style="1" bestFit="1" customWidth="1"/>
    <col min="14" max="14" width="18.5703125" style="1" bestFit="1" customWidth="1"/>
    <col min="15" max="15" width="17.140625" style="1" customWidth="1"/>
    <col min="16" max="16" width="14.42578125" style="1" bestFit="1" customWidth="1"/>
    <col min="17" max="17" width="23.5703125" style="1" customWidth="1"/>
    <col min="18" max="18" width="14.42578125" style="1" bestFit="1" customWidth="1"/>
    <col min="19" max="19" width="13.42578125" style="1" bestFit="1" customWidth="1"/>
    <col min="20" max="16384" width="11.42578125" style="1"/>
  </cols>
  <sheetData>
    <row r="1" spans="1:20" x14ac:dyDescent="0.2">
      <c r="R1" s="87"/>
      <c r="S1" s="8"/>
    </row>
    <row r="2" spans="1:20" x14ac:dyDescent="0.2">
      <c r="A2" s="1066" t="s">
        <v>58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1066"/>
      <c r="M2" s="1066"/>
      <c r="N2" s="1066"/>
      <c r="O2" s="1066"/>
      <c r="P2" s="9">
        <f ca="1">TODAY()</f>
        <v>43696</v>
      </c>
      <c r="Q2" s="9"/>
      <c r="S2" s="61"/>
    </row>
    <row r="4" spans="1:20" s="2" customFormat="1" ht="24" x14ac:dyDescent="0.2">
      <c r="A4" s="1083" t="s">
        <v>2</v>
      </c>
      <c r="B4" s="1083" t="s">
        <v>0</v>
      </c>
      <c r="C4" s="1071" t="s">
        <v>19</v>
      </c>
      <c r="D4" s="204" t="s">
        <v>102</v>
      </c>
      <c r="E4" s="204" t="s">
        <v>97</v>
      </c>
      <c r="F4" s="204" t="s">
        <v>100</v>
      </c>
      <c r="G4" s="1071" t="s">
        <v>10</v>
      </c>
      <c r="H4" s="911" t="s">
        <v>386</v>
      </c>
      <c r="I4" s="1067" t="s">
        <v>4</v>
      </c>
      <c r="J4" s="1068"/>
      <c r="K4" s="1068"/>
      <c r="L4" s="1068"/>
      <c r="M4" s="1068"/>
      <c r="N4" s="1069"/>
      <c r="O4" s="1070" t="s">
        <v>11</v>
      </c>
      <c r="P4" s="1071"/>
      <c r="Q4" s="228" t="s">
        <v>113</v>
      </c>
      <c r="R4" s="1"/>
      <c r="S4" s="63"/>
      <c r="T4" s="63"/>
    </row>
    <row r="5" spans="1:20" s="13" customFormat="1" x14ac:dyDescent="0.2">
      <c r="A5" s="1084"/>
      <c r="B5" s="1084"/>
      <c r="C5" s="1085"/>
      <c r="D5" s="205"/>
      <c r="E5" s="205"/>
      <c r="F5" s="205"/>
      <c r="G5" s="1085"/>
      <c r="H5" s="1004"/>
      <c r="I5" s="10" t="s">
        <v>1</v>
      </c>
      <c r="J5" s="11" t="s">
        <v>3</v>
      </c>
      <c r="K5" s="11" t="s">
        <v>13</v>
      </c>
      <c r="L5" s="12" t="s">
        <v>12</v>
      </c>
      <c r="M5" s="10" t="s">
        <v>13</v>
      </c>
      <c r="N5" s="11" t="s">
        <v>16</v>
      </c>
      <c r="O5" s="3" t="s">
        <v>18</v>
      </c>
      <c r="P5" s="3" t="s">
        <v>17</v>
      </c>
      <c r="Q5" s="3"/>
    </row>
    <row r="6" spans="1:20" s="8" customFormat="1" x14ac:dyDescent="0.2">
      <c r="A6" s="128" t="s">
        <v>57</v>
      </c>
      <c r="B6" s="129" t="s">
        <v>125</v>
      </c>
      <c r="C6" s="146">
        <v>41010</v>
      </c>
      <c r="D6" s="148"/>
      <c r="E6" s="148">
        <v>42004</v>
      </c>
      <c r="F6" s="148"/>
      <c r="G6" s="136">
        <f>241997.58*0+L6</f>
        <v>201959.72999999998</v>
      </c>
      <c r="H6" s="136"/>
      <c r="I6" s="131"/>
      <c r="J6" s="212"/>
      <c r="K6" s="133"/>
      <c r="L6" s="134">
        <f>SUM(L7:L9)</f>
        <v>201959.72999999998</v>
      </c>
      <c r="M6" s="135"/>
      <c r="N6" s="133"/>
      <c r="O6" s="136">
        <f>SUM(O7:O9)</f>
        <v>0</v>
      </c>
      <c r="P6" s="136">
        <f>SUM(P7:P9)</f>
        <v>0</v>
      </c>
      <c r="Q6" s="136"/>
      <c r="R6" s="163">
        <f>G6-(L6+O6+P6)</f>
        <v>0</v>
      </c>
    </row>
    <row r="7" spans="1:20" s="26" customFormat="1" ht="24" x14ac:dyDescent="0.2">
      <c r="A7" s="277" t="s">
        <v>57</v>
      </c>
      <c r="B7" s="295"/>
      <c r="C7" s="282"/>
      <c r="D7" s="282"/>
      <c r="E7" s="278" t="s">
        <v>112</v>
      </c>
      <c r="F7" s="282"/>
      <c r="G7" s="282"/>
      <c r="H7" s="279">
        <f>I7/$G$6</f>
        <v>0.61461737941519345</v>
      </c>
      <c r="I7" s="280">
        <v>124127.96</v>
      </c>
      <c r="J7" s="281">
        <v>1</v>
      </c>
      <c r="K7" s="284">
        <v>40800</v>
      </c>
      <c r="L7" s="280">
        <v>124157.04</v>
      </c>
      <c r="M7" s="284">
        <v>40842</v>
      </c>
      <c r="N7" s="318">
        <f>$M$7-K7</f>
        <v>42</v>
      </c>
      <c r="O7" s="286" t="str">
        <f>IF(L7="en attente",I7,"")</f>
        <v/>
      </c>
      <c r="P7" s="286">
        <f>IF(K7="",I7-L7,0)</f>
        <v>0</v>
      </c>
      <c r="Q7" s="361" t="s">
        <v>114</v>
      </c>
      <c r="R7" s="163"/>
      <c r="S7" s="27"/>
    </row>
    <row r="8" spans="1:20" s="26" customFormat="1" x14ac:dyDescent="0.2">
      <c r="A8" s="277" t="s">
        <v>57</v>
      </c>
      <c r="B8" s="295"/>
      <c r="C8" s="282"/>
      <c r="D8" s="282"/>
      <c r="E8" s="282"/>
      <c r="F8" s="282"/>
      <c r="G8" s="282"/>
      <c r="H8" s="279">
        <f>I8/$G$6+H7</f>
        <v>0.61461737941519345</v>
      </c>
      <c r="I8" s="280"/>
      <c r="J8" s="281"/>
      <c r="K8" s="282"/>
      <c r="L8" s="280"/>
      <c r="M8" s="284"/>
      <c r="N8" s="295"/>
      <c r="O8" s="286" t="str">
        <f>IF(L8="en attente",I8,"")</f>
        <v/>
      </c>
      <c r="P8" s="286">
        <f t="shared" ref="P8:P13" si="0">IF(K8="",I8-L8,0)</f>
        <v>0</v>
      </c>
      <c r="Q8" s="286" t="s">
        <v>126</v>
      </c>
      <c r="R8" s="163"/>
      <c r="S8" s="27"/>
    </row>
    <row r="9" spans="1:20" s="26" customFormat="1" x14ac:dyDescent="0.2">
      <c r="A9" s="277" t="s">
        <v>57</v>
      </c>
      <c r="B9" s="295"/>
      <c r="C9" s="282"/>
      <c r="D9" s="282"/>
      <c r="E9" s="282"/>
      <c r="F9" s="282"/>
      <c r="G9" s="282"/>
      <c r="H9" s="426">
        <v>0.83460000000000001</v>
      </c>
      <c r="I9" s="280">
        <v>117869.62</v>
      </c>
      <c r="J9" s="281">
        <v>2</v>
      </c>
      <c r="K9" s="282">
        <v>41171</v>
      </c>
      <c r="L9" s="283">
        <v>77802.69</v>
      </c>
      <c r="M9" s="284">
        <v>42324</v>
      </c>
      <c r="N9" s="288">
        <f>L9-I9</f>
        <v>-40066.929999999993</v>
      </c>
      <c r="O9" s="286" t="str">
        <f>IF(L9="en attente",I9,"")</f>
        <v/>
      </c>
      <c r="P9" s="286">
        <f t="shared" si="0"/>
        <v>0</v>
      </c>
      <c r="Q9" s="286" t="s">
        <v>127</v>
      </c>
      <c r="R9" s="163"/>
      <c r="S9" s="27"/>
    </row>
    <row r="10" spans="1:20" s="106" customFormat="1" x14ac:dyDescent="0.2">
      <c r="A10" s="118" t="s">
        <v>61</v>
      </c>
      <c r="B10" s="119" t="s">
        <v>105</v>
      </c>
      <c r="C10" s="157">
        <v>40892</v>
      </c>
      <c r="D10" s="157">
        <v>40823</v>
      </c>
      <c r="E10" s="157">
        <v>42277</v>
      </c>
      <c r="F10" s="157">
        <v>41890</v>
      </c>
      <c r="G10" s="1008">
        <f>1470807.68*0+L10</f>
        <v>1290562.67</v>
      </c>
      <c r="H10" s="127"/>
      <c r="I10" s="122"/>
      <c r="J10" s="137"/>
      <c r="K10" s="157"/>
      <c r="L10" s="125">
        <f>SUM(L11:L13)</f>
        <v>1290562.67</v>
      </c>
      <c r="M10" s="126"/>
      <c r="N10" s="124"/>
      <c r="O10" s="158">
        <f>SUM(O11:O13)</f>
        <v>0</v>
      </c>
      <c r="P10" s="158">
        <f>SUM(P11:P13)</f>
        <v>0</v>
      </c>
      <c r="Q10" s="158"/>
      <c r="R10" s="163">
        <f>G10-(L10+O10+P10)</f>
        <v>0</v>
      </c>
      <c r="S10" s="206"/>
    </row>
    <row r="11" spans="1:20" s="218" customFormat="1" x14ac:dyDescent="0.2">
      <c r="A11" s="277" t="s">
        <v>61</v>
      </c>
      <c r="B11" s="309"/>
      <c r="C11" s="310"/>
      <c r="D11" s="311"/>
      <c r="E11" s="312">
        <v>42338</v>
      </c>
      <c r="F11" s="312"/>
      <c r="G11" s="312"/>
      <c r="H11" s="313">
        <f>I11/$G$10</f>
        <v>0.62707315096910399</v>
      </c>
      <c r="I11" s="314">
        <v>809277.2</v>
      </c>
      <c r="J11" s="315">
        <v>1</v>
      </c>
      <c r="K11" s="312">
        <v>41947</v>
      </c>
      <c r="L11" s="316"/>
      <c r="M11" s="317"/>
      <c r="N11" s="318">
        <f ca="1">$P$2-K11</f>
        <v>1749</v>
      </c>
      <c r="O11" s="319" t="str">
        <f>IF(L11="en attente",I11,"")</f>
        <v/>
      </c>
      <c r="P11" s="319">
        <f>IF(K11="",I11-L11,0)</f>
        <v>0</v>
      </c>
      <c r="Q11" s="319" t="s">
        <v>187</v>
      </c>
      <c r="R11" s="163"/>
    </row>
    <row r="12" spans="1:20" ht="12.2" customHeight="1" x14ac:dyDescent="0.2">
      <c r="A12" s="277" t="s">
        <v>61</v>
      </c>
      <c r="B12" s="299"/>
      <c r="C12" s="282"/>
      <c r="D12" s="282"/>
      <c r="E12" s="282"/>
      <c r="F12" s="282"/>
      <c r="G12" s="282"/>
      <c r="H12" s="279">
        <f>I12/$G$10+H11</f>
        <v>1.0142521556120943</v>
      </c>
      <c r="I12" s="280">
        <v>499678.77</v>
      </c>
      <c r="J12" s="281">
        <v>2</v>
      </c>
      <c r="K12" s="282">
        <v>42334</v>
      </c>
      <c r="L12" s="283">
        <v>1290562.67</v>
      </c>
      <c r="M12" s="284">
        <v>42381</v>
      </c>
      <c r="N12" s="288">
        <f>L12-(I11+I12)</f>
        <v>-18393.300000000047</v>
      </c>
      <c r="O12" s="286" t="str">
        <f>IF(L12="en attente",I12,"")</f>
        <v/>
      </c>
      <c r="P12" s="286">
        <f>IF(K12="",I12-L12,0)</f>
        <v>0</v>
      </c>
      <c r="Q12" s="286" t="s">
        <v>188</v>
      </c>
      <c r="R12" s="163"/>
    </row>
    <row r="13" spans="1:20" x14ac:dyDescent="0.2">
      <c r="A13" s="277"/>
      <c r="B13" s="295"/>
      <c r="C13" s="282"/>
      <c r="D13" s="282"/>
      <c r="E13" s="282"/>
      <c r="F13" s="282"/>
      <c r="G13" s="282"/>
      <c r="H13" s="288"/>
      <c r="I13" s="280"/>
      <c r="J13" s="281"/>
      <c r="K13" s="282"/>
      <c r="L13" s="283"/>
      <c r="M13" s="284"/>
      <c r="N13" s="295"/>
      <c r="O13" s="286"/>
      <c r="P13" s="286">
        <f t="shared" si="0"/>
        <v>0</v>
      </c>
      <c r="Q13" s="286"/>
      <c r="R13" s="163">
        <f>G13-(L13+O13+P13)</f>
        <v>0</v>
      </c>
      <c r="S13" s="27"/>
    </row>
    <row r="14" spans="1:20" s="8" customFormat="1" x14ac:dyDescent="0.2">
      <c r="A14" s="48"/>
      <c r="B14" s="48"/>
      <c r="C14" s="48"/>
      <c r="D14" s="48"/>
      <c r="E14" s="48"/>
      <c r="F14" s="48"/>
      <c r="G14" s="41">
        <f>G6+G10</f>
        <v>1492522.4</v>
      </c>
      <c r="H14" s="41"/>
      <c r="I14" s="41">
        <f>SUMPRODUCT((DateAF_FEDER&lt;&gt;"")*MontantAF_FEDER)</f>
        <v>1550953.55</v>
      </c>
      <c r="J14" s="49"/>
      <c r="K14" s="50"/>
      <c r="L14" s="41">
        <f>L6+L10</f>
        <v>1492522.4</v>
      </c>
      <c r="M14" s="50"/>
      <c r="N14" s="50"/>
      <c r="O14" s="41">
        <f>O6+O10</f>
        <v>0</v>
      </c>
      <c r="P14" s="41">
        <f>P6+P10</f>
        <v>0</v>
      </c>
      <c r="Q14" s="41"/>
      <c r="R14" s="163">
        <f>G14-(L14+O14+P14)</f>
        <v>0</v>
      </c>
      <c r="S14" s="20"/>
    </row>
    <row r="15" spans="1:20" x14ac:dyDescent="0.2">
      <c r="A15" s="74"/>
      <c r="B15" s="75"/>
      <c r="C15" s="75"/>
      <c r="D15" s="75"/>
      <c r="E15" s="75"/>
      <c r="F15" s="75"/>
      <c r="G15" s="75"/>
      <c r="H15" s="75"/>
      <c r="I15" s="75"/>
      <c r="J15" s="74"/>
      <c r="K15" s="75"/>
      <c r="L15" s="470"/>
      <c r="M15" s="75"/>
      <c r="N15" s="52"/>
      <c r="O15" s="1064">
        <f>SUM(O14:P14)</f>
        <v>0</v>
      </c>
      <c r="P15" s="1065"/>
    </row>
    <row r="17" spans="1:17" x14ac:dyDescent="0.2">
      <c r="I17" s="366" t="s">
        <v>192</v>
      </c>
      <c r="L17" s="367" t="s">
        <v>194</v>
      </c>
      <c r="O17" s="366" t="s">
        <v>192</v>
      </c>
      <c r="P17" s="367" t="s">
        <v>194</v>
      </c>
    </row>
    <row r="18" spans="1:17" x14ac:dyDescent="0.2">
      <c r="H18" s="375">
        <v>40787</v>
      </c>
      <c r="I18" s="90">
        <f t="shared" ref="I18:I23" si="1">SUMPRODUCT((DateAF_FEDER&lt;&gt;"")*(MONTH(DateAF_FEDER)=MONTH(H18))*(YEAR(DateAF_FEDER)=YEAR(H18))*MontantAF_FEDER)</f>
        <v>124127.96</v>
      </c>
      <c r="K18" s="375">
        <v>40787</v>
      </c>
      <c r="L18" s="90">
        <f t="shared" ref="L18:L23" si="2">SUMPRODUCT((DatePmt_FEDER&lt;&gt;"")*(DatePmt_FEDER&lt;&gt;"en attente")*(MONTH(DatePmt_FEDER)=MONTH(K18))*(YEAR(DatePmt_FEDER)=YEAR(K18))*(ISNUMBER(MtntPaye_FEDER)),MtntPaye_FEDER)</f>
        <v>0</v>
      </c>
      <c r="N18" s="1">
        <v>2011</v>
      </c>
      <c r="O18" s="90">
        <f t="shared" ref="O18:O23" si="3">SUMPRODUCT((YEAR($H$18:$H$23)=N18)*($I$18:$I$23))</f>
        <v>124127.96</v>
      </c>
      <c r="P18" s="90">
        <f t="shared" ref="P18:P23" si="4">SUMPRODUCT((YEAR($K$18:$K$23)=N18)*($L$18:$L$23))</f>
        <v>124157.04</v>
      </c>
    </row>
    <row r="19" spans="1:17" x14ac:dyDescent="0.2">
      <c r="H19" s="375">
        <v>40817</v>
      </c>
      <c r="I19" s="90">
        <f t="shared" si="1"/>
        <v>0</v>
      </c>
      <c r="K19" s="375">
        <v>40817</v>
      </c>
      <c r="L19" s="90">
        <f t="shared" si="2"/>
        <v>124157.04</v>
      </c>
      <c r="N19" s="1">
        <v>2012</v>
      </c>
      <c r="O19" s="90">
        <f t="shared" si="3"/>
        <v>117869.62</v>
      </c>
      <c r="P19" s="90">
        <f t="shared" si="4"/>
        <v>0</v>
      </c>
    </row>
    <row r="20" spans="1:17" x14ac:dyDescent="0.2">
      <c r="H20" s="375">
        <v>41153</v>
      </c>
      <c r="I20" s="90">
        <f t="shared" si="1"/>
        <v>117869.62</v>
      </c>
      <c r="K20" s="375">
        <v>41153</v>
      </c>
      <c r="L20" s="90">
        <f t="shared" si="2"/>
        <v>0</v>
      </c>
      <c r="N20" s="1">
        <v>2014</v>
      </c>
      <c r="O20" s="90">
        <f t="shared" si="3"/>
        <v>809277.2</v>
      </c>
      <c r="P20" s="90">
        <f t="shared" si="4"/>
        <v>0</v>
      </c>
    </row>
    <row r="21" spans="1:17" x14ac:dyDescent="0.2">
      <c r="H21" s="375">
        <v>41944</v>
      </c>
      <c r="I21" s="90">
        <f t="shared" si="1"/>
        <v>809277.2</v>
      </c>
      <c r="K21" s="375">
        <v>41944</v>
      </c>
      <c r="L21" s="90">
        <f t="shared" si="2"/>
        <v>0</v>
      </c>
      <c r="N21" s="1">
        <v>2015</v>
      </c>
      <c r="O21" s="90">
        <f t="shared" si="3"/>
        <v>499678.77</v>
      </c>
      <c r="P21" s="90">
        <f t="shared" si="4"/>
        <v>77802.69</v>
      </c>
    </row>
    <row r="22" spans="1:17" x14ac:dyDescent="0.2">
      <c r="H22" s="375">
        <v>42309</v>
      </c>
      <c r="I22" s="90">
        <f t="shared" si="1"/>
        <v>499678.77</v>
      </c>
      <c r="K22" s="375">
        <v>42309</v>
      </c>
      <c r="L22" s="90">
        <f t="shared" si="2"/>
        <v>77802.69</v>
      </c>
      <c r="N22" s="1">
        <v>2016</v>
      </c>
      <c r="O22" s="90">
        <f t="shared" si="3"/>
        <v>0</v>
      </c>
      <c r="P22" s="90">
        <f t="shared" si="4"/>
        <v>1290562.67</v>
      </c>
    </row>
    <row r="23" spans="1:17" x14ac:dyDescent="0.2">
      <c r="H23" s="375">
        <v>42370</v>
      </c>
      <c r="I23" s="90">
        <f t="shared" si="1"/>
        <v>0</v>
      </c>
      <c r="K23" s="375">
        <v>42370</v>
      </c>
      <c r="L23" s="90">
        <f t="shared" si="2"/>
        <v>1290562.67</v>
      </c>
      <c r="N23" s="1">
        <v>2017</v>
      </c>
      <c r="O23" s="1">
        <f t="shared" si="3"/>
        <v>0</v>
      </c>
      <c r="P23" s="1">
        <f t="shared" si="4"/>
        <v>0</v>
      </c>
    </row>
    <row r="24" spans="1:17" s="8" customFormat="1" x14ac:dyDescent="0.2">
      <c r="A24" s="456"/>
      <c r="I24" s="457">
        <f>SUM(I18:I23)</f>
        <v>1550953.55</v>
      </c>
      <c r="J24" s="456"/>
      <c r="L24" s="457">
        <f>SUM(L18:L23)</f>
        <v>1492522.4</v>
      </c>
      <c r="N24" s="1"/>
      <c r="O24" s="457">
        <f>SUM(O18:O23)</f>
        <v>1550953.55</v>
      </c>
      <c r="P24" s="457">
        <f>SUM(P18:P23)</f>
        <v>1492522.4</v>
      </c>
      <c r="Q24" s="457">
        <f>P24-O24</f>
        <v>-58431.15000000014</v>
      </c>
    </row>
    <row r="25" spans="1:17" s="160" customFormat="1" x14ac:dyDescent="0.2">
      <c r="A25" s="462"/>
      <c r="I25" s="165">
        <f>+I24-I14</f>
        <v>0</v>
      </c>
      <c r="J25" s="462"/>
      <c r="L25" s="165">
        <f>+L24-L14</f>
        <v>0</v>
      </c>
      <c r="N25" s="8"/>
      <c r="O25" s="165">
        <f>+O24-I24</f>
        <v>0</v>
      </c>
      <c r="P25" s="165">
        <f>+P24-L24</f>
        <v>0</v>
      </c>
    </row>
  </sheetData>
  <autoFilter ref="A4:R5">
    <filterColumn colId="8" showButton="0"/>
    <filterColumn colId="9" showButton="0"/>
    <filterColumn colId="10" showButton="0"/>
    <filterColumn colId="11" showButton="0"/>
    <filterColumn colId="12" showButton="0"/>
    <filterColumn colId="14" showButton="0"/>
  </autoFilter>
  <mergeCells count="8">
    <mergeCell ref="O15:P15"/>
    <mergeCell ref="A2:O2"/>
    <mergeCell ref="A4:A5"/>
    <mergeCell ref="B4:B5"/>
    <mergeCell ref="C4:C5"/>
    <mergeCell ref="G4:G5"/>
    <mergeCell ref="I4:N4"/>
    <mergeCell ref="O4:P4"/>
  </mergeCells>
  <pageMargins left="0.7" right="0.7" top="0.75" bottom="0.75" header="0.3" footer="0.3"/>
  <pageSetup paperSize="9" scale="76" orientation="landscape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1CA847"/>
    <pageSetUpPr fitToPage="1"/>
  </sheetPr>
  <dimension ref="A1:P55"/>
  <sheetViews>
    <sheetView topLeftCell="A31" workbookViewId="0">
      <selection activeCell="M45" sqref="M45"/>
    </sheetView>
  </sheetViews>
  <sheetFormatPr baseColWidth="10" defaultColWidth="11.42578125" defaultRowHeight="12" x14ac:dyDescent="0.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x14ac:dyDescent="0.2">
      <c r="M1" s="91"/>
      <c r="N1" s="8"/>
    </row>
    <row r="2" spans="1:16" x14ac:dyDescent="0.2">
      <c r="A2" s="1066" t="s">
        <v>69</v>
      </c>
      <c r="B2" s="1066"/>
      <c r="C2" s="1066"/>
      <c r="D2" s="1066"/>
      <c r="E2" s="1066"/>
      <c r="F2" s="1066"/>
      <c r="G2" s="1066"/>
      <c r="H2" s="1066"/>
      <c r="I2" s="1066"/>
      <c r="J2" s="1066"/>
      <c r="K2" s="9">
        <f ca="1">TODAY()</f>
        <v>43696</v>
      </c>
      <c r="N2" s="61"/>
    </row>
    <row r="4" spans="1:16" s="2" customFormat="1" x14ac:dyDescent="0.2">
      <c r="A4" s="1083" t="s">
        <v>2</v>
      </c>
      <c r="B4" s="1071" t="s">
        <v>19</v>
      </c>
      <c r="C4" s="1071" t="s">
        <v>10</v>
      </c>
      <c r="D4" s="1067" t="s">
        <v>4</v>
      </c>
      <c r="E4" s="1068"/>
      <c r="F4" s="1068"/>
      <c r="G4" s="1068"/>
      <c r="H4" s="1068"/>
      <c r="I4" s="1069"/>
      <c r="J4" s="1070" t="s">
        <v>11</v>
      </c>
      <c r="K4" s="1071"/>
      <c r="N4" s="63"/>
      <c r="O4" s="63"/>
    </row>
    <row r="5" spans="1:16" s="13" customFormat="1" x14ac:dyDescent="0.2">
      <c r="A5" s="1084"/>
      <c r="B5" s="1085"/>
      <c r="C5" s="1085"/>
      <c r="D5" s="10" t="s">
        <v>1</v>
      </c>
      <c r="E5" s="11" t="s">
        <v>3</v>
      </c>
      <c r="F5" s="11" t="s">
        <v>13</v>
      </c>
      <c r="G5" s="12" t="s">
        <v>12</v>
      </c>
      <c r="H5" s="10" t="s">
        <v>13</v>
      </c>
      <c r="I5" s="11" t="s">
        <v>16</v>
      </c>
      <c r="J5" s="3" t="s">
        <v>18</v>
      </c>
      <c r="K5" s="3" t="s">
        <v>17</v>
      </c>
    </row>
    <row r="6" spans="1:16" s="106" customFormat="1" x14ac:dyDescent="0.2">
      <c r="A6" s="270" t="s">
        <v>38</v>
      </c>
      <c r="B6" s="271">
        <v>40449</v>
      </c>
      <c r="C6" s="272">
        <v>1125260</v>
      </c>
      <c r="D6" s="271"/>
      <c r="E6" s="272"/>
      <c r="F6" s="273"/>
      <c r="G6" s="274">
        <f>SUM(G7:G9)</f>
        <v>1125260</v>
      </c>
      <c r="H6" s="271"/>
      <c r="I6" s="275"/>
      <c r="J6" s="276">
        <f>SUM(J7:J9)</f>
        <v>0</v>
      </c>
      <c r="K6" s="276">
        <f>SUM(K7:K9)</f>
        <v>0</v>
      </c>
      <c r="L6" s="225">
        <f>C6-(G6+J6+K6)</f>
        <v>0</v>
      </c>
      <c r="M6" s="13"/>
      <c r="N6" s="13"/>
      <c r="O6" s="165"/>
      <c r="P6" s="206"/>
    </row>
    <row r="7" spans="1:16" s="26" customFormat="1" x14ac:dyDescent="0.2">
      <c r="A7" s="277" t="s">
        <v>38</v>
      </c>
      <c r="B7" s="282"/>
      <c r="C7" s="279">
        <f>D7/$C$6</f>
        <v>0.32881289657501378</v>
      </c>
      <c r="D7" s="280">
        <v>370000</v>
      </c>
      <c r="E7" s="281">
        <v>1</v>
      </c>
      <c r="F7" s="284">
        <v>40666</v>
      </c>
      <c r="G7" s="280">
        <v>370000</v>
      </c>
      <c r="H7" s="284">
        <v>40710</v>
      </c>
      <c r="I7" s="285">
        <f>IF(H7="",$K$2-F7,H7-F7)</f>
        <v>44</v>
      </c>
      <c r="J7" s="286" t="str">
        <f>IF(G7="en attente",F7,"")</f>
        <v/>
      </c>
      <c r="K7" s="286">
        <f>IF(F7="",D7-G7,0)</f>
        <v>0</v>
      </c>
      <c r="L7" s="224"/>
      <c r="M7" s="13"/>
      <c r="N7" s="13"/>
    </row>
    <row r="8" spans="1:16" s="26" customFormat="1" x14ac:dyDescent="0.2">
      <c r="A8" s="277" t="s">
        <v>38</v>
      </c>
      <c r="B8" s="282"/>
      <c r="C8" s="279">
        <f>D8/$C$6+C7</f>
        <v>0.65499973339494866</v>
      </c>
      <c r="D8" s="280">
        <v>367045</v>
      </c>
      <c r="E8" s="281">
        <v>2</v>
      </c>
      <c r="F8" s="282">
        <v>41003</v>
      </c>
      <c r="G8" s="283">
        <v>367045</v>
      </c>
      <c r="H8" s="284">
        <v>41247</v>
      </c>
      <c r="I8" s="285">
        <f t="shared" ref="I8:I13" si="0">IF(H8="",$K$2-F8,H8-F8)</f>
        <v>244</v>
      </c>
      <c r="J8" s="286" t="str">
        <f>IF(G8="en attente",F8,"")</f>
        <v/>
      </c>
      <c r="K8" s="286">
        <f>IF(F8="",D8-G8,0)</f>
        <v>0</v>
      </c>
      <c r="L8" s="224"/>
      <c r="M8" s="13"/>
      <c r="N8" s="13"/>
    </row>
    <row r="9" spans="1:16" s="26" customFormat="1" x14ac:dyDescent="0.2">
      <c r="A9" s="277" t="s">
        <v>38</v>
      </c>
      <c r="B9" s="282"/>
      <c r="C9" s="279">
        <f>D9/$C$6+C8</f>
        <v>1</v>
      </c>
      <c r="D9" s="280">
        <v>388215</v>
      </c>
      <c r="E9" s="281">
        <v>3</v>
      </c>
      <c r="F9" s="282">
        <v>42206</v>
      </c>
      <c r="G9" s="283">
        <v>388215</v>
      </c>
      <c r="H9" s="284">
        <v>42380</v>
      </c>
      <c r="I9" s="285">
        <f t="shared" si="0"/>
        <v>174</v>
      </c>
      <c r="J9" s="286" t="str">
        <f>IF(G9="en attente",D9,"")</f>
        <v/>
      </c>
      <c r="K9" s="286">
        <f>IF(F9="",D9-G9,0)</f>
        <v>0</v>
      </c>
      <c r="L9" s="224"/>
      <c r="M9" s="13"/>
      <c r="N9" s="13"/>
    </row>
    <row r="10" spans="1:16" s="106" customFormat="1" x14ac:dyDescent="0.2">
      <c r="A10" s="270" t="s">
        <v>39</v>
      </c>
      <c r="B10" s="271">
        <v>40449</v>
      </c>
      <c r="C10" s="272">
        <f>706937</f>
        <v>706937</v>
      </c>
      <c r="D10" s="271"/>
      <c r="E10" s="272"/>
      <c r="F10" s="273"/>
      <c r="G10" s="274">
        <f>SUM(G11:G13)</f>
        <v>701154</v>
      </c>
      <c r="H10" s="271"/>
      <c r="I10" s="275"/>
      <c r="J10" s="276">
        <f>SUM(J11:J13)</f>
        <v>0</v>
      </c>
      <c r="K10" s="276">
        <f>SUM(K11:K13)</f>
        <v>0</v>
      </c>
      <c r="L10" s="225">
        <f>C10-(G10+J10+K10)</f>
        <v>5783</v>
      </c>
      <c r="M10" s="13"/>
      <c r="N10" s="13"/>
      <c r="O10" s="165"/>
      <c r="P10" s="206"/>
    </row>
    <row r="11" spans="1:16" s="26" customFormat="1" x14ac:dyDescent="0.2">
      <c r="A11" s="277" t="s">
        <v>39</v>
      </c>
      <c r="B11" s="278"/>
      <c r="C11" s="279">
        <f>D11/$C$10</f>
        <v>0.35363830157425624</v>
      </c>
      <c r="D11" s="280">
        <v>250000</v>
      </c>
      <c r="E11" s="281">
        <v>1</v>
      </c>
      <c r="F11" s="282">
        <v>40666</v>
      </c>
      <c r="G11" s="283">
        <v>250000</v>
      </c>
      <c r="H11" s="284">
        <v>40710</v>
      </c>
      <c r="I11" s="285">
        <f t="shared" si="0"/>
        <v>44</v>
      </c>
      <c r="J11" s="286" t="str">
        <f>IF(G11="en attente",F11,"")</f>
        <v/>
      </c>
      <c r="K11" s="286">
        <f>IF(F11="",D11-G11,0)</f>
        <v>0</v>
      </c>
      <c r="L11" s="224"/>
      <c r="M11" s="13"/>
      <c r="N11" s="13"/>
    </row>
    <row r="12" spans="1:16" s="26" customFormat="1" x14ac:dyDescent="0.2">
      <c r="A12" s="277" t="s">
        <v>39</v>
      </c>
      <c r="B12" s="278"/>
      <c r="C12" s="279">
        <f>D12/$C$10+C11</f>
        <v>0.70000014145532063</v>
      </c>
      <c r="D12" s="280">
        <v>244856</v>
      </c>
      <c r="E12" s="281">
        <v>2</v>
      </c>
      <c r="F12" s="282">
        <v>41003</v>
      </c>
      <c r="G12" s="283">
        <v>244856</v>
      </c>
      <c r="H12" s="284">
        <v>41247</v>
      </c>
      <c r="I12" s="285">
        <f t="shared" si="0"/>
        <v>244</v>
      </c>
      <c r="J12" s="286" t="str">
        <f>IF(G12="en attente",F12,"")</f>
        <v/>
      </c>
      <c r="K12" s="286"/>
      <c r="L12" s="224"/>
      <c r="M12" s="13"/>
      <c r="N12" s="13"/>
    </row>
    <row r="13" spans="1:16" x14ac:dyDescent="0.2">
      <c r="A13" s="277" t="s">
        <v>39</v>
      </c>
      <c r="B13" s="282"/>
      <c r="C13" s="279">
        <f>D13/$C$10+C12</f>
        <v>0.99181963880798429</v>
      </c>
      <c r="D13" s="280">
        <v>206298</v>
      </c>
      <c r="E13" s="281">
        <v>3</v>
      </c>
      <c r="F13" s="282">
        <v>42208</v>
      </c>
      <c r="G13" s="283">
        <v>206298</v>
      </c>
      <c r="H13" s="284">
        <v>42353</v>
      </c>
      <c r="I13" s="285">
        <f t="shared" si="0"/>
        <v>145</v>
      </c>
      <c r="J13" s="286" t="str">
        <f>IF(G13="en attente",D13,"")</f>
        <v/>
      </c>
      <c r="K13" s="286">
        <f>IF(F13="",D13-G13,0)</f>
        <v>0</v>
      </c>
      <c r="L13" s="269" t="s">
        <v>139</v>
      </c>
      <c r="M13" s="13"/>
      <c r="N13" s="13"/>
    </row>
    <row r="14" spans="1:16" s="453" customFormat="1" x14ac:dyDescent="0.2">
      <c r="A14" s="259" t="s">
        <v>242</v>
      </c>
      <c r="B14" s="505">
        <v>42650</v>
      </c>
      <c r="C14" s="506">
        <v>92042.64</v>
      </c>
      <c r="D14" s="517"/>
      <c r="E14" s="719"/>
      <c r="F14" s="505"/>
      <c r="G14" s="514">
        <f>SUM(G15:G16)</f>
        <v>46021.32</v>
      </c>
      <c r="H14" s="678"/>
      <c r="I14" s="720"/>
      <c r="J14" s="679">
        <f>SUM(J15:J16)</f>
        <v>0</v>
      </c>
      <c r="K14" s="679">
        <f>SUM(K15:K16)</f>
        <v>46021.32</v>
      </c>
      <c r="L14" s="502"/>
      <c r="M14" s="503"/>
      <c r="N14" s="503"/>
    </row>
    <row r="15" spans="1:16" s="453" customFormat="1" x14ac:dyDescent="0.2">
      <c r="A15" s="46" t="s">
        <v>242</v>
      </c>
      <c r="B15" s="104"/>
      <c r="C15" s="107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0" t="str">
        <f>IF(G15="en attente",F15,"")</f>
        <v/>
      </c>
      <c r="K15" s="80">
        <f>IF(F15="",D15-G15,0)</f>
        <v>0</v>
      </c>
      <c r="L15" s="502"/>
      <c r="M15" s="503"/>
      <c r="N15" s="503"/>
    </row>
    <row r="16" spans="1:16" s="453" customFormat="1" x14ac:dyDescent="0.2">
      <c r="A16" s="117" t="s">
        <v>242</v>
      </c>
      <c r="B16" s="36"/>
      <c r="C16" s="152">
        <v>0.5</v>
      </c>
      <c r="D16" s="35">
        <f>+C14*C16</f>
        <v>46021.32</v>
      </c>
      <c r="E16" s="44">
        <v>2</v>
      </c>
      <c r="F16" s="36"/>
      <c r="G16" s="37"/>
      <c r="H16" s="154"/>
      <c r="I16" s="155"/>
      <c r="J16" s="80" t="str">
        <f>IF(G16="en attente",F16,"")</f>
        <v/>
      </c>
      <c r="K16" s="80">
        <f>IF(F16="",D16-G16,0)</f>
        <v>46021.32</v>
      </c>
      <c r="L16" s="502"/>
      <c r="M16" s="503"/>
      <c r="N16" s="503"/>
    </row>
    <row r="17" spans="1:14" s="8" customFormat="1" x14ac:dyDescent="0.2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5">
        <f>C17-(G17+J17+K17)</f>
        <v>5782.9999999997672</v>
      </c>
      <c r="M17" s="13"/>
      <c r="N17" s="13"/>
    </row>
    <row r="18" spans="1:14" x14ac:dyDescent="0.2">
      <c r="A18" s="74"/>
      <c r="B18" s="75"/>
      <c r="C18" s="75"/>
      <c r="D18" s="75"/>
      <c r="E18" s="74"/>
      <c r="F18" s="75"/>
      <c r="G18" s="75"/>
      <c r="H18" s="75"/>
      <c r="I18" s="52"/>
      <c r="J18" s="1064">
        <f>SUM(J17:K17)</f>
        <v>46021.32</v>
      </c>
      <c r="K18" s="1065"/>
      <c r="L18" s="224"/>
      <c r="M18" s="13"/>
      <c r="N18" s="13"/>
    </row>
    <row r="19" spans="1:14" x14ac:dyDescent="0.2">
      <c r="C19" s="26"/>
      <c r="L19" s="13"/>
      <c r="M19" s="13"/>
      <c r="N19" s="13"/>
    </row>
    <row r="20" spans="1:14" x14ac:dyDescent="0.2">
      <c r="C20" s="26"/>
      <c r="L20" s="13"/>
      <c r="M20" s="13"/>
      <c r="N20" s="13"/>
    </row>
    <row r="21" spans="1:14" x14ac:dyDescent="0.2">
      <c r="C21" s="453"/>
      <c r="D21" s="366" t="s">
        <v>192</v>
      </c>
      <c r="G21" s="367" t="s">
        <v>194</v>
      </c>
      <c r="J21" s="366" t="s">
        <v>192</v>
      </c>
      <c r="K21" s="367" t="s">
        <v>194</v>
      </c>
    </row>
    <row r="22" spans="1:14" x14ac:dyDescent="0.2">
      <c r="C22" s="489">
        <v>40666</v>
      </c>
      <c r="D22" s="90">
        <f>SUMPRODUCT((DateAF_P_ILE&lt;&gt;"")*(MONTH(DateAF_P_ILE)=MONTH(C22))*(YEAR(DateAF_P_ILE)=YEAR(C22))*MontantAF_P_ILE)</f>
        <v>620000</v>
      </c>
      <c r="F22" s="489">
        <v>40666</v>
      </c>
      <c r="G22" s="90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0">
        <f>SUMPRODUCT((YEAR($C$22:$C$28)=I22)*($D$22:$D$28))</f>
        <v>620000</v>
      </c>
      <c r="K22" s="90">
        <f>SUMPRODUCT((YEAR($F$22:$F$28)=I22)*($G$22:$G$28))</f>
        <v>620000</v>
      </c>
    </row>
    <row r="23" spans="1:14" x14ac:dyDescent="0.2">
      <c r="C23" s="489">
        <v>40710</v>
      </c>
      <c r="D23" s="90">
        <f t="shared" ref="D23:D52" si="2">SUMPRODUCT((DateAF_P_ILE&lt;&gt;"")*(MONTH(DateAF_P_ILE)=MONTH(C23))*(YEAR(DateAF_P_ILE)=YEAR(C23))*MontantAF_P_ILE)</f>
        <v>0</v>
      </c>
      <c r="F23" s="489">
        <v>40710</v>
      </c>
      <c r="G23" s="90">
        <f t="shared" si="1"/>
        <v>620000</v>
      </c>
      <c r="I23" s="1">
        <v>2012</v>
      </c>
      <c r="J23" s="90">
        <f>SUMPRODUCT((YEAR($C$22:$C$28)=I23)*($D$22:$D$28))</f>
        <v>611901</v>
      </c>
      <c r="K23" s="90">
        <f>SUMPRODUCT((YEAR($F$22:$F$28)=I23)*($G$22:$G$28))</f>
        <v>611901</v>
      </c>
    </row>
    <row r="24" spans="1:14" x14ac:dyDescent="0.2">
      <c r="C24" s="489">
        <v>41003</v>
      </c>
      <c r="D24" s="90">
        <f t="shared" si="2"/>
        <v>611901</v>
      </c>
      <c r="F24" s="489">
        <v>41003</v>
      </c>
      <c r="G24" s="90">
        <f t="shared" si="1"/>
        <v>0</v>
      </c>
      <c r="I24" s="1">
        <v>2015</v>
      </c>
      <c r="J24" s="90">
        <f>SUMPRODUCT((YEAR($C$22:$C$28)=I24)*($D$22:$D$28))</f>
        <v>594513</v>
      </c>
      <c r="K24" s="90">
        <f>SUMPRODUCT((YEAR($F$22:$F$28)=I24)*($G$22:$G$28))</f>
        <v>206298</v>
      </c>
    </row>
    <row r="25" spans="1:14" x14ac:dyDescent="0.2">
      <c r="C25" s="489">
        <v>41247</v>
      </c>
      <c r="D25" s="90">
        <f t="shared" si="2"/>
        <v>0</v>
      </c>
      <c r="F25" s="489">
        <v>41247</v>
      </c>
      <c r="G25" s="90">
        <f t="shared" si="1"/>
        <v>611901</v>
      </c>
      <c r="I25" s="1">
        <v>2016</v>
      </c>
      <c r="J25" s="90">
        <f>SUMPRODUCT((YEAR($C$22:$C$28)=I25)*($D$22:$D$28))</f>
        <v>0</v>
      </c>
      <c r="K25" s="90">
        <f>SUMPRODUCT((YEAR($F$22:$F$28)=I25)*($G$22:$G$28))</f>
        <v>388215</v>
      </c>
    </row>
    <row r="26" spans="1:14" x14ac:dyDescent="0.2">
      <c r="C26" s="489">
        <v>42206</v>
      </c>
      <c r="D26" s="90">
        <f t="shared" si="2"/>
        <v>594513</v>
      </c>
      <c r="F26" s="489">
        <v>42206</v>
      </c>
      <c r="G26" s="90">
        <f t="shared" si="1"/>
        <v>0</v>
      </c>
      <c r="I26" s="1">
        <v>2018</v>
      </c>
      <c r="J26" s="90">
        <f>SUMPRODUCT((YEAR($C$22:$C$40)=I26)*($D$22:$D$40))</f>
        <v>46021.32</v>
      </c>
      <c r="K26" s="90">
        <f>SUMPRODUCT((YEAR($F$22:$F$40)=I26)*($G$22:$G$40))</f>
        <v>46021.32</v>
      </c>
    </row>
    <row r="27" spans="1:14" x14ac:dyDescent="0.2">
      <c r="C27" s="489">
        <v>42353</v>
      </c>
      <c r="D27" s="90">
        <f t="shared" si="2"/>
        <v>0</v>
      </c>
      <c r="F27" s="489">
        <v>42353</v>
      </c>
      <c r="G27" s="90">
        <f t="shared" si="1"/>
        <v>206298</v>
      </c>
      <c r="I27" s="1">
        <v>2019</v>
      </c>
      <c r="J27" s="90">
        <f>SUMPRODUCT((YEAR($C$22:$C$52)=I27)*($D$22:$D$52))</f>
        <v>0</v>
      </c>
      <c r="K27" s="90">
        <f>SUMPRODUCT((YEAR($F$22:$F$52)=I27)*($G$22:$G$52))</f>
        <v>0</v>
      </c>
    </row>
    <row r="28" spans="1:14" x14ac:dyDescent="0.2">
      <c r="C28" s="489">
        <v>42380</v>
      </c>
      <c r="D28" s="90">
        <f t="shared" si="2"/>
        <v>0</v>
      </c>
      <c r="F28" s="489">
        <v>42380</v>
      </c>
      <c r="G28" s="90">
        <f t="shared" si="1"/>
        <v>388215</v>
      </c>
      <c r="J28" s="457">
        <f>SUM(J22:J27)</f>
        <v>1872435.32</v>
      </c>
      <c r="K28" s="457">
        <f>SUM(K22:K27)</f>
        <v>1872435.32</v>
      </c>
    </row>
    <row r="29" spans="1:14" x14ac:dyDescent="0.2">
      <c r="C29" s="490">
        <v>43101</v>
      </c>
      <c r="D29" s="90">
        <f t="shared" si="2"/>
        <v>0</v>
      </c>
      <c r="F29" s="490">
        <v>43101</v>
      </c>
      <c r="G29" s="90">
        <f t="shared" si="1"/>
        <v>0</v>
      </c>
      <c r="J29" s="165">
        <f>+J28-D53</f>
        <v>0</v>
      </c>
      <c r="K29" s="165">
        <f>+K28-G53</f>
        <v>0</v>
      </c>
    </row>
    <row r="30" spans="1:14" x14ac:dyDescent="0.2">
      <c r="C30" s="490">
        <v>43132</v>
      </c>
      <c r="D30" s="90">
        <f t="shared" si="2"/>
        <v>0</v>
      </c>
      <c r="F30" s="490">
        <v>43132</v>
      </c>
      <c r="G30" s="90">
        <f t="shared" si="1"/>
        <v>0</v>
      </c>
    </row>
    <row r="31" spans="1:14" x14ac:dyDescent="0.2">
      <c r="C31" s="490">
        <v>43160</v>
      </c>
      <c r="D31" s="90">
        <f t="shared" si="2"/>
        <v>0</v>
      </c>
      <c r="F31" s="490">
        <v>43160</v>
      </c>
      <c r="G31" s="90">
        <f t="shared" si="1"/>
        <v>0</v>
      </c>
    </row>
    <row r="32" spans="1:14" x14ac:dyDescent="0.2">
      <c r="C32" s="490">
        <v>43191</v>
      </c>
      <c r="D32" s="90">
        <f t="shared" si="2"/>
        <v>0</v>
      </c>
      <c r="F32" s="490">
        <v>43191</v>
      </c>
      <c r="G32" s="90">
        <f t="shared" si="1"/>
        <v>0</v>
      </c>
    </row>
    <row r="33" spans="3:7" x14ac:dyDescent="0.2">
      <c r="C33" s="490">
        <v>43221</v>
      </c>
      <c r="D33" s="90">
        <f t="shared" si="2"/>
        <v>0</v>
      </c>
      <c r="F33" s="490">
        <v>43221</v>
      </c>
      <c r="G33" s="90">
        <f t="shared" si="1"/>
        <v>0</v>
      </c>
    </row>
    <row r="34" spans="3:7" x14ac:dyDescent="0.2">
      <c r="C34" s="490">
        <v>43252</v>
      </c>
      <c r="D34" s="90">
        <f t="shared" si="2"/>
        <v>46021.32</v>
      </c>
      <c r="F34" s="490">
        <v>43252</v>
      </c>
      <c r="G34" s="90">
        <f t="shared" si="1"/>
        <v>0</v>
      </c>
    </row>
    <row r="35" spans="3:7" x14ac:dyDescent="0.2">
      <c r="C35" s="490">
        <v>43282</v>
      </c>
      <c r="D35" s="90">
        <f t="shared" si="2"/>
        <v>0</v>
      </c>
      <c r="F35" s="490">
        <v>43282</v>
      </c>
      <c r="G35" s="90">
        <f t="shared" si="1"/>
        <v>0</v>
      </c>
    </row>
    <row r="36" spans="3:7" x14ac:dyDescent="0.2">
      <c r="C36" s="490">
        <v>43313</v>
      </c>
      <c r="D36" s="90">
        <f t="shared" si="2"/>
        <v>0</v>
      </c>
      <c r="F36" s="490">
        <v>43313</v>
      </c>
      <c r="G36" s="90">
        <f t="shared" si="1"/>
        <v>0</v>
      </c>
    </row>
    <row r="37" spans="3:7" x14ac:dyDescent="0.2">
      <c r="C37" s="490">
        <v>43344</v>
      </c>
      <c r="D37" s="90">
        <f t="shared" si="2"/>
        <v>0</v>
      </c>
      <c r="F37" s="490">
        <v>43344</v>
      </c>
      <c r="G37" s="90">
        <f t="shared" si="1"/>
        <v>46021.32</v>
      </c>
    </row>
    <row r="38" spans="3:7" x14ac:dyDescent="0.2">
      <c r="C38" s="490">
        <v>43374</v>
      </c>
      <c r="D38" s="90">
        <f t="shared" si="2"/>
        <v>0</v>
      </c>
      <c r="F38" s="490">
        <v>43374</v>
      </c>
      <c r="G38" s="90">
        <f t="shared" si="1"/>
        <v>0</v>
      </c>
    </row>
    <row r="39" spans="3:7" x14ac:dyDescent="0.2">
      <c r="C39" s="490">
        <v>43405</v>
      </c>
      <c r="D39" s="90">
        <f t="shared" si="2"/>
        <v>0</v>
      </c>
      <c r="F39" s="490">
        <v>43405</v>
      </c>
      <c r="G39" s="90">
        <f t="shared" si="1"/>
        <v>0</v>
      </c>
    </row>
    <row r="40" spans="3:7" x14ac:dyDescent="0.2">
      <c r="C40" s="490">
        <v>43435</v>
      </c>
      <c r="D40" s="90">
        <f t="shared" si="2"/>
        <v>0</v>
      </c>
      <c r="F40" s="490">
        <v>43435</v>
      </c>
      <c r="G40" s="90">
        <f>SUMPRODUCT((DatePmt_P_ILE&lt;&gt;"")*(DatePmt_P_ILE&lt;&gt;"en attente")*(MONTH(DatePmt_P_ILE)=MONTH(F40))*(YEAR(DatePmt_P_ILE)=YEAR(F40))*(ISNUMBER(MtntPaye_P_ILE)),MtntPaye_P_ILE)</f>
        <v>0</v>
      </c>
    </row>
    <row r="41" spans="3:7" x14ac:dyDescent="0.2">
      <c r="C41" s="490">
        <v>43466</v>
      </c>
      <c r="D41" s="90">
        <f t="shared" si="2"/>
        <v>0</v>
      </c>
      <c r="F41" s="490">
        <v>43466</v>
      </c>
      <c r="G41" s="90">
        <f t="shared" si="1"/>
        <v>0</v>
      </c>
    </row>
    <row r="42" spans="3:7" x14ac:dyDescent="0.2">
      <c r="C42" s="490">
        <v>43497</v>
      </c>
      <c r="D42" s="90">
        <f t="shared" si="2"/>
        <v>0</v>
      </c>
      <c r="F42" s="490">
        <v>43497</v>
      </c>
      <c r="G42" s="90">
        <f t="shared" si="1"/>
        <v>0</v>
      </c>
    </row>
    <row r="43" spans="3:7" x14ac:dyDescent="0.2">
      <c r="C43" s="490">
        <v>43525</v>
      </c>
      <c r="D43" s="90">
        <f t="shared" si="2"/>
        <v>0</v>
      </c>
      <c r="F43" s="490">
        <v>43525</v>
      </c>
      <c r="G43" s="90">
        <f t="shared" si="1"/>
        <v>0</v>
      </c>
    </row>
    <row r="44" spans="3:7" x14ac:dyDescent="0.2">
      <c r="C44" s="490">
        <v>43556</v>
      </c>
      <c r="D44" s="90">
        <f t="shared" si="2"/>
        <v>0</v>
      </c>
      <c r="F44" s="490">
        <v>43556</v>
      </c>
      <c r="G44" s="90">
        <f t="shared" si="1"/>
        <v>0</v>
      </c>
    </row>
    <row r="45" spans="3:7" x14ac:dyDescent="0.2">
      <c r="C45" s="490">
        <v>43586</v>
      </c>
      <c r="D45" s="90">
        <f t="shared" si="2"/>
        <v>0</v>
      </c>
      <c r="F45" s="490">
        <v>43586</v>
      </c>
      <c r="G45" s="90">
        <f t="shared" si="1"/>
        <v>0</v>
      </c>
    </row>
    <row r="46" spans="3:7" x14ac:dyDescent="0.2">
      <c r="C46" s="490">
        <v>43617</v>
      </c>
      <c r="D46" s="90">
        <f t="shared" si="2"/>
        <v>0</v>
      </c>
      <c r="F46" s="490">
        <v>43617</v>
      </c>
      <c r="G46" s="90">
        <f t="shared" si="1"/>
        <v>0</v>
      </c>
    </row>
    <row r="47" spans="3:7" x14ac:dyDescent="0.2">
      <c r="C47" s="490">
        <v>43647</v>
      </c>
      <c r="D47" s="90">
        <f t="shared" si="2"/>
        <v>0</v>
      </c>
      <c r="F47" s="490">
        <v>43647</v>
      </c>
      <c r="G47" s="90">
        <f t="shared" si="1"/>
        <v>0</v>
      </c>
    </row>
    <row r="48" spans="3:7" x14ac:dyDescent="0.2">
      <c r="C48" s="490">
        <v>43678</v>
      </c>
      <c r="D48" s="90">
        <f t="shared" si="2"/>
        <v>0</v>
      </c>
      <c r="F48" s="490">
        <v>43678</v>
      </c>
      <c r="G48" s="90">
        <f t="shared" si="1"/>
        <v>0</v>
      </c>
    </row>
    <row r="49" spans="3:8" x14ac:dyDescent="0.2">
      <c r="C49" s="490">
        <v>43709</v>
      </c>
      <c r="D49" s="90">
        <f t="shared" si="2"/>
        <v>0</v>
      </c>
      <c r="F49" s="490">
        <v>43709</v>
      </c>
      <c r="G49" s="90">
        <f t="shared" si="1"/>
        <v>0</v>
      </c>
    </row>
    <row r="50" spans="3:8" x14ac:dyDescent="0.2">
      <c r="C50" s="490">
        <v>43739</v>
      </c>
      <c r="D50" s="90">
        <f t="shared" si="2"/>
        <v>0</v>
      </c>
      <c r="F50" s="490">
        <v>43739</v>
      </c>
      <c r="G50" s="90">
        <f t="shared" si="1"/>
        <v>0</v>
      </c>
    </row>
    <row r="51" spans="3:8" x14ac:dyDescent="0.2">
      <c r="C51" s="490">
        <v>43770</v>
      </c>
      <c r="D51" s="90">
        <f t="shared" si="2"/>
        <v>0</v>
      </c>
      <c r="F51" s="490">
        <v>43770</v>
      </c>
      <c r="G51" s="90">
        <f t="shared" si="1"/>
        <v>0</v>
      </c>
    </row>
    <row r="52" spans="3:8" x14ac:dyDescent="0.2">
      <c r="C52" s="490">
        <v>43800</v>
      </c>
      <c r="D52" s="90">
        <f t="shared" si="2"/>
        <v>0</v>
      </c>
      <c r="F52" s="490">
        <v>43800</v>
      </c>
      <c r="G52" s="90">
        <f t="shared" si="1"/>
        <v>0</v>
      </c>
    </row>
    <row r="53" spans="3:8" x14ac:dyDescent="0.2">
      <c r="D53" s="457">
        <f>SUM(D22:D40)</f>
        <v>1872435.32</v>
      </c>
      <c r="E53" s="456"/>
      <c r="F53" s="8"/>
      <c r="G53" s="457">
        <f>SUM(G22:G40)</f>
        <v>1872435.32</v>
      </c>
    </row>
    <row r="54" spans="3:8" x14ac:dyDescent="0.2">
      <c r="D54" s="165">
        <f>+D53-D17</f>
        <v>0</v>
      </c>
      <c r="E54" s="462"/>
      <c r="F54" s="160"/>
      <c r="G54" s="165">
        <f>+G53-G17</f>
        <v>0</v>
      </c>
      <c r="H54" s="160"/>
    </row>
    <row r="55" spans="3:8" x14ac:dyDescent="0.2">
      <c r="D55" s="160"/>
      <c r="E55" s="462"/>
      <c r="F55" s="160"/>
      <c r="G55" s="160"/>
      <c r="H55" s="160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P24"/>
  <sheetViews>
    <sheetView workbookViewId="0">
      <selection activeCell="E13" sqref="E13"/>
    </sheetView>
  </sheetViews>
  <sheetFormatPr baseColWidth="10" defaultColWidth="11.42578125" defaultRowHeight="12" outlineLevelCol="1" x14ac:dyDescent="0.2"/>
  <cols>
    <col min="1" max="1" width="31.7109375" style="6" bestFit="1" customWidth="1"/>
    <col min="2" max="2" width="30.5703125" style="1" customWidth="1" outlineLevel="1"/>
    <col min="3" max="3" width="11.28515625" style="1" bestFit="1" customWidth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x14ac:dyDescent="0.2">
      <c r="N1" s="242"/>
      <c r="O1" s="8"/>
    </row>
    <row r="2" spans="1:16" x14ac:dyDescent="0.2">
      <c r="A2" s="1066" t="s">
        <v>119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9">
        <v>42785</v>
      </c>
      <c r="O2" s="61"/>
    </row>
    <row r="4" spans="1:16" s="13" customFormat="1" ht="12.2" customHeight="1" x14ac:dyDescent="0.2">
      <c r="A4" s="1100" t="s">
        <v>2</v>
      </c>
      <c r="B4" s="1100" t="s">
        <v>0</v>
      </c>
      <c r="C4" s="1100" t="s">
        <v>19</v>
      </c>
      <c r="D4" s="1100" t="s">
        <v>10</v>
      </c>
      <c r="E4" s="1102" t="s">
        <v>4</v>
      </c>
      <c r="F4" s="1103"/>
      <c r="G4" s="1103"/>
      <c r="H4" s="1103"/>
      <c r="I4" s="1103"/>
      <c r="J4" s="1104"/>
      <c r="K4" s="1102" t="s">
        <v>11</v>
      </c>
      <c r="L4" s="1104"/>
      <c r="O4" s="243"/>
      <c r="P4" s="243"/>
    </row>
    <row r="5" spans="1:16" s="13" customFormat="1" x14ac:dyDescent="0.2">
      <c r="A5" s="1101"/>
      <c r="B5" s="1101"/>
      <c r="C5" s="1101"/>
      <c r="D5" s="1101"/>
      <c r="E5" s="244" t="s">
        <v>1</v>
      </c>
      <c r="F5" s="245" t="s">
        <v>3</v>
      </c>
      <c r="G5" s="245" t="s">
        <v>13</v>
      </c>
      <c r="H5" s="246" t="s">
        <v>12</v>
      </c>
      <c r="I5" s="244" t="s">
        <v>13</v>
      </c>
      <c r="J5" s="245" t="s">
        <v>16</v>
      </c>
      <c r="K5" s="247" t="s">
        <v>18</v>
      </c>
      <c r="L5" s="247" t="s">
        <v>17</v>
      </c>
    </row>
    <row r="6" spans="1:16" x14ac:dyDescent="0.2">
      <c r="A6" s="287" t="s">
        <v>57</v>
      </c>
      <c r="B6" s="287" t="s">
        <v>120</v>
      </c>
      <c r="C6" s="284">
        <v>40203</v>
      </c>
      <c r="D6" s="288">
        <f>161331.72*0+H7+H8</f>
        <v>134639.82</v>
      </c>
      <c r="E6" s="289"/>
      <c r="F6" s="290"/>
      <c r="G6" s="291"/>
      <c r="H6" s="292"/>
      <c r="I6" s="293"/>
      <c r="J6" s="291"/>
      <c r="K6" s="294"/>
      <c r="L6" s="294"/>
    </row>
    <row r="7" spans="1:16" s="26" customFormat="1" x14ac:dyDescent="0.2">
      <c r="A7" s="277" t="s">
        <v>57</v>
      </c>
      <c r="B7" s="295"/>
      <c r="C7" s="282"/>
      <c r="D7" s="288"/>
      <c r="E7" s="280">
        <v>32266.34</v>
      </c>
      <c r="F7" s="281">
        <v>1</v>
      </c>
      <c r="G7" s="284">
        <v>40408</v>
      </c>
      <c r="H7" s="280">
        <f>+E7</f>
        <v>32266.34</v>
      </c>
      <c r="I7" s="284">
        <v>40449</v>
      </c>
      <c r="J7" s="285">
        <f>IF(I7="",$L$2-G7,I7-G7)</f>
        <v>41</v>
      </c>
      <c r="K7" s="286" t="str">
        <f>IF(H7="en attente",E7,"")</f>
        <v/>
      </c>
      <c r="L7" s="286">
        <f>IF(G7="",E7-H7,0)</f>
        <v>0</v>
      </c>
      <c r="N7" s="27"/>
      <c r="O7" s="27"/>
    </row>
    <row r="8" spans="1:16" s="26" customFormat="1" x14ac:dyDescent="0.2">
      <c r="A8" s="277" t="s">
        <v>57</v>
      </c>
      <c r="B8" s="295"/>
      <c r="C8" s="282"/>
      <c r="D8" s="288"/>
      <c r="E8" s="280">
        <f>129065.38*0+H8</f>
        <v>102373.48</v>
      </c>
      <c r="F8" s="281">
        <v>2</v>
      </c>
      <c r="G8" s="282">
        <v>42292</v>
      </c>
      <c r="H8" s="280">
        <v>102373.48</v>
      </c>
      <c r="I8" s="284">
        <v>42341</v>
      </c>
      <c r="J8" s="285">
        <f>IF(I8="",$L$2-G8,I8-G8)</f>
        <v>49</v>
      </c>
      <c r="K8" s="286">
        <f>+E8-H8</f>
        <v>0</v>
      </c>
      <c r="L8" s="286">
        <f t="shared" ref="L8:L14" si="0">IF(G8="",E8-H8,0)</f>
        <v>0</v>
      </c>
      <c r="N8" s="27"/>
      <c r="O8" s="27"/>
    </row>
    <row r="9" spans="1:16" s="26" customFormat="1" x14ac:dyDescent="0.2">
      <c r="A9" s="277"/>
      <c r="B9" s="295"/>
      <c r="C9" s="282"/>
      <c r="D9" s="288"/>
      <c r="E9" s="280"/>
      <c r="F9" s="281"/>
      <c r="G9" s="282"/>
      <c r="H9" s="283"/>
      <c r="I9" s="284"/>
      <c r="J9" s="285"/>
      <c r="K9" s="286" t="str">
        <f t="shared" ref="K9:K14" si="1">IF(H9="en attente",E9,"")</f>
        <v/>
      </c>
      <c r="L9" s="286">
        <f t="shared" si="0"/>
        <v>0</v>
      </c>
      <c r="N9" s="248"/>
      <c r="O9" s="27"/>
    </row>
    <row r="10" spans="1:16" s="26" customFormat="1" x14ac:dyDescent="0.2">
      <c r="A10" s="287" t="s">
        <v>57</v>
      </c>
      <c r="B10" s="287" t="s">
        <v>121</v>
      </c>
      <c r="C10" s="282">
        <v>40329</v>
      </c>
      <c r="D10" s="288">
        <f>189240.94*0+H11+H12</f>
        <v>90427.74</v>
      </c>
      <c r="E10" s="280"/>
      <c r="F10" s="281"/>
      <c r="G10" s="282"/>
      <c r="H10" s="283"/>
      <c r="I10" s="296"/>
      <c r="J10" s="285"/>
      <c r="K10" s="286" t="str">
        <f t="shared" si="1"/>
        <v/>
      </c>
      <c r="L10" s="286">
        <f t="shared" si="0"/>
        <v>0</v>
      </c>
      <c r="N10" s="27"/>
      <c r="O10" s="27"/>
    </row>
    <row r="11" spans="1:16" s="26" customFormat="1" x14ac:dyDescent="0.2">
      <c r="A11" s="277" t="s">
        <v>57</v>
      </c>
      <c r="B11" s="297"/>
      <c r="C11" s="278"/>
      <c r="D11" s="298"/>
      <c r="E11" s="280">
        <v>37848.19</v>
      </c>
      <c r="F11" s="281">
        <v>1</v>
      </c>
      <c r="G11" s="284">
        <v>40408</v>
      </c>
      <c r="H11" s="280">
        <f>+E11</f>
        <v>37848.19</v>
      </c>
      <c r="I11" s="284">
        <v>40449</v>
      </c>
      <c r="J11" s="285">
        <f>IF(I11="",$L$2-G11,I11-G11)</f>
        <v>41</v>
      </c>
      <c r="K11" s="286" t="str">
        <f t="shared" si="1"/>
        <v/>
      </c>
      <c r="L11" s="286">
        <f t="shared" si="0"/>
        <v>0</v>
      </c>
      <c r="N11" s="27"/>
    </row>
    <row r="12" spans="1:16" s="26" customFormat="1" x14ac:dyDescent="0.2">
      <c r="A12" s="277" t="s">
        <v>57</v>
      </c>
      <c r="B12" s="297"/>
      <c r="C12" s="278"/>
      <c r="D12" s="298"/>
      <c r="E12" s="280">
        <f>151392.75*0+H12</f>
        <v>52579.55</v>
      </c>
      <c r="F12" s="281">
        <v>2</v>
      </c>
      <c r="G12" s="282">
        <v>42292</v>
      </c>
      <c r="H12" s="283">
        <v>52579.55</v>
      </c>
      <c r="I12" s="284">
        <v>42353</v>
      </c>
      <c r="J12" s="285">
        <f>IF(I12="",$L$2-G12,I12-G12)</f>
        <v>61</v>
      </c>
      <c r="K12" s="286">
        <f>+E12-H12</f>
        <v>0</v>
      </c>
      <c r="L12" s="286">
        <f t="shared" si="0"/>
        <v>0</v>
      </c>
      <c r="N12" s="27"/>
    </row>
    <row r="13" spans="1:16" x14ac:dyDescent="0.2">
      <c r="A13" s="277"/>
      <c r="B13" s="299"/>
      <c r="C13" s="282"/>
      <c r="D13" s="288"/>
      <c r="E13" s="280"/>
      <c r="F13" s="281"/>
      <c r="G13" s="283"/>
      <c r="H13" s="280"/>
      <c r="I13" s="296"/>
      <c r="J13" s="285"/>
      <c r="K13" s="286" t="str">
        <f t="shared" si="1"/>
        <v/>
      </c>
      <c r="L13" s="286">
        <f t="shared" si="0"/>
        <v>0</v>
      </c>
      <c r="N13" s="26"/>
    </row>
    <row r="14" spans="1:16" x14ac:dyDescent="0.2">
      <c r="A14" s="277"/>
      <c r="B14" s="295"/>
      <c r="C14" s="282"/>
      <c r="D14" s="288"/>
      <c r="E14" s="280"/>
      <c r="F14" s="281"/>
      <c r="G14" s="282"/>
      <c r="H14" s="283"/>
      <c r="I14" s="284"/>
      <c r="J14" s="295"/>
      <c r="K14" s="286" t="str">
        <f t="shared" si="1"/>
        <v/>
      </c>
      <c r="L14" s="286">
        <f t="shared" si="0"/>
        <v>0</v>
      </c>
      <c r="N14" s="27"/>
      <c r="O14" s="27"/>
    </row>
    <row r="15" spans="1:16" s="8" customFormat="1" ht="16.5" customHeight="1" x14ac:dyDescent="0.2">
      <c r="A15" s="48"/>
      <c r="B15" s="48"/>
      <c r="C15" s="48"/>
      <c r="D15" s="41">
        <f>SUM(D6:D14)</f>
        <v>225067.56</v>
      </c>
      <c r="E15" s="41">
        <f>SUM(E7:E14)</f>
        <v>225067.56</v>
      </c>
      <c r="F15" s="49"/>
      <c r="G15" s="50"/>
      <c r="H15" s="41">
        <f>SUM(H6:H14)</f>
        <v>225067.56</v>
      </c>
      <c r="I15" s="50"/>
      <c r="J15" s="50"/>
      <c r="K15" s="41">
        <f>SUM(K6:K14)</f>
        <v>0</v>
      </c>
      <c r="L15" s="41">
        <f>SUM(L6:L14)</f>
        <v>0</v>
      </c>
      <c r="N15" s="20"/>
      <c r="O15" s="20"/>
    </row>
    <row r="16" spans="1:16" ht="16.5" customHeight="1" x14ac:dyDescent="0.2">
      <c r="A16" s="74"/>
      <c r="B16" s="75"/>
      <c r="C16" s="75"/>
      <c r="D16" s="75"/>
      <c r="E16" s="75"/>
      <c r="F16" s="74"/>
      <c r="G16" s="75"/>
      <c r="H16" s="75"/>
      <c r="I16" s="75"/>
      <c r="J16" s="52"/>
      <c r="K16" s="1088">
        <f>SUM(K15:L15)</f>
        <v>0</v>
      </c>
      <c r="L16" s="1089"/>
    </row>
    <row r="18" spans="1:12" x14ac:dyDescent="0.2">
      <c r="A18" s="8"/>
      <c r="E18" s="366" t="s">
        <v>192</v>
      </c>
      <c r="H18" s="367" t="s">
        <v>194</v>
      </c>
      <c r="K18" s="366" t="s">
        <v>192</v>
      </c>
      <c r="L18" s="367" t="s">
        <v>194</v>
      </c>
    </row>
    <row r="19" spans="1:12" x14ac:dyDescent="0.2">
      <c r="A19" s="27"/>
      <c r="D19" s="493">
        <v>40408</v>
      </c>
      <c r="E19" s="90">
        <f>SUMPRODUCT((DateAF_EAU&lt;&gt;"")*(MONTH(DateAF_EAU)=MONTH(D19))*(YEAR(DateAF_EAU)=YEAR(D19))*MontantAF_EAU)</f>
        <v>70114.53</v>
      </c>
      <c r="F19" s="1"/>
      <c r="G19" s="493">
        <v>40408</v>
      </c>
      <c r="H19" s="90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0">
        <f>SUMPRODUCT((YEAR($D$19:$D$22)=J19)*($E$19:$E$22))</f>
        <v>70114.53</v>
      </c>
      <c r="L19" s="90">
        <f>SUMPRODUCT((YEAR($G$19:$G$22)=J19)*($H$19:$H$22))</f>
        <v>70114.53</v>
      </c>
    </row>
    <row r="20" spans="1:12" x14ac:dyDescent="0.2">
      <c r="D20" s="493">
        <v>40449</v>
      </c>
      <c r="E20" s="90">
        <f>SUMPRODUCT((DateAF_EAU&lt;&gt;"")*(MONTH(DateAF_EAU)=MONTH(D20))*(YEAR(DateAF_EAU)=YEAR(D20))*MontantAF_EAU)</f>
        <v>0</v>
      </c>
      <c r="G20" s="493">
        <v>40449</v>
      </c>
      <c r="H20" s="90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0">
        <f>SUMPRODUCT((YEAR($D$19:$D$22)=J20)*($E$19:$E$22))</f>
        <v>154953.03</v>
      </c>
      <c r="L20" s="90">
        <f>SUMPRODUCT((YEAR($G$19:$G$22)=J20)*($H$19:$H$22))</f>
        <v>154953.03</v>
      </c>
    </row>
    <row r="21" spans="1:12" x14ac:dyDescent="0.2">
      <c r="D21" s="493">
        <v>42292</v>
      </c>
      <c r="E21" s="90">
        <f>SUMPRODUCT((DateAF_EAU&lt;&gt;"")*(MONTH(DateAF_EAU)=MONTH(D21))*(YEAR(DateAF_EAU)=YEAR(D21))*MontantAF_EAU)</f>
        <v>154953.03</v>
      </c>
      <c r="G21" s="493">
        <v>42292</v>
      </c>
      <c r="H21" s="90">
        <f>SUMPRODUCT((DatePmt_EAU&lt;&gt;"")*(DatePmt_EAU&lt;&gt;"en attente")*(MONTH(DatePmt_EAU)=MONTH(G21))*(YEAR(DatePmt_EAU)=YEAR(G21))*(ISNUMBER(MtntPaye_EAU)),MtntPaye_EAU)</f>
        <v>0</v>
      </c>
      <c r="K21" s="457">
        <f>SUM(K19:K20)</f>
        <v>225067.56</v>
      </c>
      <c r="L21" s="457">
        <f>SUM(L19:L20)</f>
        <v>225067.56</v>
      </c>
    </row>
    <row r="22" spans="1:12" x14ac:dyDescent="0.2">
      <c r="D22" s="493">
        <v>42353</v>
      </c>
      <c r="E22" s="90">
        <f>SUMPRODUCT((DateAF_EAU&lt;&gt;"")*(MONTH(DateAF_EAU)=MONTH(D22))*(YEAR(DateAF_EAU)=YEAR(D22))*MontantAF_EAU)</f>
        <v>0</v>
      </c>
      <c r="G22" s="493">
        <v>42353</v>
      </c>
      <c r="H22" s="90">
        <f>SUMPRODUCT((DatePmt_EAU&lt;&gt;"")*(DatePmt_EAU&lt;&gt;"en attente")*(MONTH(DatePmt_EAU)=MONTH(G22))*(YEAR(DatePmt_EAU)=YEAR(G22))*(ISNUMBER(MtntPaye_EAU)),MtntPaye_EAU)</f>
        <v>154953.03</v>
      </c>
      <c r="K22" s="165">
        <f>+K21-E23</f>
        <v>0</v>
      </c>
      <c r="L22" s="165">
        <f>+L21-H23</f>
        <v>0</v>
      </c>
    </row>
    <row r="23" spans="1:12" x14ac:dyDescent="0.2">
      <c r="E23" s="457">
        <f>SUM(E19:E22)</f>
        <v>225067.56</v>
      </c>
      <c r="F23" s="456"/>
      <c r="G23" s="8"/>
      <c r="H23" s="457">
        <f>SUM(H19:H22)</f>
        <v>225067.56</v>
      </c>
    </row>
    <row r="24" spans="1:12" s="160" customFormat="1" x14ac:dyDescent="0.2">
      <c r="A24" s="462"/>
      <c r="E24" s="165">
        <f>+E23-E15</f>
        <v>0</v>
      </c>
      <c r="F24" s="462"/>
      <c r="H24" s="165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M51"/>
  <sheetViews>
    <sheetView topLeftCell="A4" workbookViewId="0">
      <selection activeCell="K33" sqref="K33:K34"/>
    </sheetView>
  </sheetViews>
  <sheetFormatPr baseColWidth="10" defaultRowHeight="12.75" x14ac:dyDescent="0.2"/>
  <cols>
    <col min="1" max="1" width="37.5703125" bestFit="1" customWidth="1"/>
    <col min="4" max="4" width="17.7109375" customWidth="1"/>
    <col min="9" max="9" width="13.7109375" customWidth="1"/>
  </cols>
  <sheetData>
    <row r="1" spans="1:13" x14ac:dyDescent="0.2">
      <c r="A1" s="1066" t="s">
        <v>134</v>
      </c>
      <c r="B1" s="1066"/>
      <c r="C1" s="1066"/>
      <c r="D1" s="1066"/>
      <c r="E1" s="1066"/>
      <c r="F1" s="1066"/>
      <c r="G1" s="1066"/>
      <c r="H1" s="1066"/>
      <c r="I1" s="1066"/>
      <c r="J1" s="1066"/>
      <c r="K1" s="1066"/>
      <c r="L1" s="9">
        <f ca="1">TODAY()</f>
        <v>43696</v>
      </c>
    </row>
    <row r="2" spans="1:13" x14ac:dyDescent="0.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 x14ac:dyDescent="0.2">
      <c r="A3" s="1083" t="s">
        <v>2</v>
      </c>
      <c r="B3" s="1083" t="s">
        <v>0</v>
      </c>
      <c r="C3" s="1071" t="s">
        <v>19</v>
      </c>
      <c r="D3" s="1071" t="s">
        <v>10</v>
      </c>
      <c r="E3" s="1067" t="s">
        <v>4</v>
      </c>
      <c r="F3" s="1068"/>
      <c r="G3" s="1068"/>
      <c r="H3" s="1068"/>
      <c r="I3" s="1068"/>
      <c r="J3" s="1069"/>
      <c r="K3" s="1070" t="s">
        <v>11</v>
      </c>
      <c r="L3" s="1071"/>
    </row>
    <row r="4" spans="1:13" x14ac:dyDescent="0.2">
      <c r="A4" s="1084"/>
      <c r="B4" s="1084"/>
      <c r="C4" s="1085"/>
      <c r="D4" s="1085"/>
      <c r="E4" s="10" t="s">
        <v>1</v>
      </c>
      <c r="F4" s="11" t="s">
        <v>3</v>
      </c>
      <c r="G4" s="11" t="s">
        <v>13</v>
      </c>
      <c r="H4" s="12" t="s">
        <v>12</v>
      </c>
      <c r="I4" s="10" t="s">
        <v>13</v>
      </c>
      <c r="J4" s="11" t="s">
        <v>16</v>
      </c>
      <c r="K4" s="3" t="s">
        <v>18</v>
      </c>
      <c r="L4" s="3" t="s">
        <v>17</v>
      </c>
    </row>
    <row r="5" spans="1:13" x14ac:dyDescent="0.2">
      <c r="A5" s="270" t="s">
        <v>57</v>
      </c>
      <c r="B5" s="655"/>
      <c r="C5" s="656"/>
      <c r="D5" s="657">
        <v>1085000</v>
      </c>
      <c r="E5" s="273"/>
      <c r="F5" s="658"/>
      <c r="G5" s="659"/>
      <c r="H5" s="275"/>
      <c r="I5" s="652"/>
      <c r="J5" s="659"/>
      <c r="K5" s="272"/>
      <c r="L5" s="272"/>
    </row>
    <row r="6" spans="1:13" x14ac:dyDescent="0.2">
      <c r="A6" s="277" t="s">
        <v>57</v>
      </c>
      <c r="B6" s="295"/>
      <c r="C6" s="282"/>
      <c r="D6" s="288"/>
      <c r="E6" s="280">
        <v>1085000</v>
      </c>
      <c r="F6" s="281">
        <v>1</v>
      </c>
      <c r="G6" s="284">
        <v>42074</v>
      </c>
      <c r="H6" s="280">
        <v>1085000</v>
      </c>
      <c r="I6" s="284">
        <v>42339</v>
      </c>
      <c r="J6" s="295">
        <f>I6-G6</f>
        <v>265</v>
      </c>
      <c r="K6" s="286">
        <f>+IF(G6="",0,E6-H6)</f>
        <v>0</v>
      </c>
      <c r="L6" s="286">
        <f>IF(G6="",E6-H6,0)</f>
        <v>0</v>
      </c>
    </row>
    <row r="7" spans="1:13" x14ac:dyDescent="0.2">
      <c r="A7" s="660"/>
      <c r="B7" s="661"/>
      <c r="C7" s="662"/>
      <c r="D7" s="663"/>
      <c r="E7" s="664"/>
      <c r="F7" s="665"/>
      <c r="G7" s="662"/>
      <c r="H7" s="666"/>
      <c r="I7" s="667"/>
      <c r="J7" s="661"/>
      <c r="K7" s="668">
        <f>+IF(G7="",0,E7-H7)</f>
        <v>0</v>
      </c>
      <c r="L7" s="668">
        <f>IF(G7="",E7-H7,0)</f>
        <v>0</v>
      </c>
    </row>
    <row r="8" spans="1:13" s="654" customFormat="1" x14ac:dyDescent="0.2">
      <c r="A8" s="259" t="s">
        <v>57</v>
      </c>
      <c r="B8" s="57" t="s">
        <v>320</v>
      </c>
      <c r="C8" s="260"/>
      <c r="D8" s="56"/>
      <c r="E8" s="261">
        <v>542500</v>
      </c>
      <c r="F8" s="262">
        <v>1</v>
      </c>
      <c r="G8" s="260">
        <v>43157</v>
      </c>
      <c r="H8" s="669" t="s">
        <v>81</v>
      </c>
      <c r="I8" s="264"/>
      <c r="J8" s="57"/>
      <c r="K8" s="265">
        <f>+E8</f>
        <v>542500</v>
      </c>
      <c r="L8" s="265"/>
      <c r="M8" s="670" t="s">
        <v>322</v>
      </c>
    </row>
    <row r="9" spans="1:13" s="654" customFormat="1" x14ac:dyDescent="0.2">
      <c r="A9" s="117"/>
      <c r="B9" s="39"/>
      <c r="C9" s="36"/>
      <c r="D9" s="40"/>
      <c r="E9" s="35"/>
      <c r="F9" s="44"/>
      <c r="G9" s="36"/>
      <c r="H9" s="37"/>
      <c r="I9" s="154"/>
      <c r="J9" s="39"/>
      <c r="K9" s="156"/>
      <c r="L9" s="156"/>
    </row>
    <row r="10" spans="1:13" s="654" customFormat="1" x14ac:dyDescent="0.2">
      <c r="A10" s="259" t="s">
        <v>57</v>
      </c>
      <c r="B10" s="4" t="s">
        <v>321</v>
      </c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0">
        <f>+E10</f>
        <v>542500</v>
      </c>
      <c r="L10" s="80"/>
      <c r="M10" s="670" t="s">
        <v>319</v>
      </c>
    </row>
    <row r="11" spans="1:13" s="654" customFormat="1" x14ac:dyDescent="0.2">
      <c r="A11" s="117"/>
      <c r="B11" s="4"/>
      <c r="C11" s="15"/>
      <c r="D11" s="16"/>
      <c r="E11" s="23"/>
      <c r="F11" s="42"/>
      <c r="G11" s="15"/>
      <c r="H11" s="24"/>
      <c r="I11" s="30"/>
      <c r="J11" s="4"/>
      <c r="K11" s="80"/>
      <c r="L11" s="80"/>
    </row>
    <row r="12" spans="1:13" x14ac:dyDescent="0.2">
      <c r="A12" s="48"/>
      <c r="B12" s="48"/>
      <c r="C12" s="48"/>
      <c r="D12" s="41">
        <f>SUM(D5:D7)</f>
        <v>1085000</v>
      </c>
      <c r="E12" s="41">
        <f>+E6+E8+E10</f>
        <v>2170000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ht="13.5" thickBot="1" x14ac:dyDescent="0.25">
      <c r="A13" s="74"/>
      <c r="B13" s="75"/>
      <c r="C13" s="75"/>
      <c r="D13" s="75"/>
      <c r="E13" s="75"/>
      <c r="F13" s="74"/>
      <c r="G13" s="75"/>
      <c r="H13" s="75"/>
      <c r="I13" s="75"/>
      <c r="J13" s="52"/>
      <c r="K13" s="1064">
        <f>SUM(K12:L12)</f>
        <v>1085000</v>
      </c>
      <c r="L13" s="1065"/>
    </row>
    <row r="14" spans="1:13" x14ac:dyDescent="0.2">
      <c r="A14" s="6"/>
      <c r="B14" s="1"/>
      <c r="C14" s="1"/>
      <c r="D14" s="1"/>
      <c r="E14" s="740" t="s">
        <v>192</v>
      </c>
      <c r="F14" s="734"/>
      <c r="G14" s="734"/>
      <c r="H14" s="744" t="s">
        <v>194</v>
      </c>
      <c r="I14" s="1"/>
      <c r="J14" s="1"/>
      <c r="K14" s="1"/>
      <c r="L14" s="1"/>
    </row>
    <row r="15" spans="1:13" x14ac:dyDescent="0.2">
      <c r="D15" s="760">
        <v>2015</v>
      </c>
      <c r="E15" s="761">
        <f>SUMPRODUCT((YEAR($D$24:$D$49)=D15)*($E$24:$E$49))</f>
        <v>1085000</v>
      </c>
      <c r="F15" s="47"/>
      <c r="G15" s="47"/>
      <c r="H15" s="761">
        <f>SUMPRODUCT((YEAR($G$24:$G$49)=D15)*($H$24:$H$49))</f>
        <v>1085000</v>
      </c>
    </row>
    <row r="16" spans="1:13" ht="13.5" thickBot="1" x14ac:dyDescent="0.25">
      <c r="D16" s="760">
        <v>2018</v>
      </c>
      <c r="E16" s="761">
        <f>SUMPRODUCT((YEAR($D$24:$D$49)=D16)*($E$24:$E$49))</f>
        <v>1085000</v>
      </c>
      <c r="F16" s="47"/>
      <c r="G16" s="47"/>
      <c r="H16" s="761">
        <f>SUMPRODUCT((YEAR($G$24:$G$49)=D16)*($H$24:$H$49))</f>
        <v>542500</v>
      </c>
    </row>
    <row r="17" spans="4:9" ht="13.5" thickBot="1" x14ac:dyDescent="0.25">
      <c r="D17" s="763">
        <v>2019</v>
      </c>
      <c r="E17" s="764">
        <f>SUMPRODUCT((YEAR($D$24:$D$49)=D17)*($E$24:$E$49))</f>
        <v>0</v>
      </c>
      <c r="F17" s="750"/>
      <c r="G17" s="750"/>
      <c r="H17" s="765">
        <f>SUMPRODUCT((YEAR($G$24:$G$49)=D17)*($H$24:$H$49))</f>
        <v>0</v>
      </c>
    </row>
    <row r="18" spans="4:9" ht="13.5" thickBot="1" x14ac:dyDescent="0.25">
      <c r="D18" s="1"/>
      <c r="E18" s="762">
        <f>SUM(E15:E17)</f>
        <v>2170000</v>
      </c>
      <c r="F18" s="739"/>
      <c r="G18" s="739"/>
      <c r="H18" s="762">
        <f>SUM(H15:H17)</f>
        <v>1627500</v>
      </c>
      <c r="I18" s="229">
        <f>H18-E18</f>
        <v>-542500</v>
      </c>
    </row>
    <row r="19" spans="4:9" x14ac:dyDescent="0.2">
      <c r="D19" s="1"/>
      <c r="E19" s="165">
        <f>E18-E50</f>
        <v>0</v>
      </c>
      <c r="F19" s="1"/>
      <c r="G19" s="1"/>
      <c r="H19" s="165">
        <f>H18-H50</f>
        <v>0</v>
      </c>
    </row>
    <row r="20" spans="4:9" x14ac:dyDescent="0.2">
      <c r="D20" s="1"/>
      <c r="E20" s="1"/>
      <c r="F20" s="6"/>
      <c r="G20" s="1"/>
      <c r="H20" s="1"/>
    </row>
    <row r="21" spans="4:9" x14ac:dyDescent="0.2">
      <c r="D21" s="1"/>
      <c r="E21" s="1"/>
      <c r="F21" s="6"/>
      <c r="G21" s="1"/>
      <c r="H21" s="1"/>
    </row>
    <row r="22" spans="4:9" x14ac:dyDescent="0.2">
      <c r="D22" s="1"/>
      <c r="E22" s="1"/>
      <c r="F22" s="6"/>
      <c r="G22" s="1"/>
      <c r="H22" s="1"/>
    </row>
    <row r="23" spans="4:9" x14ac:dyDescent="0.2">
      <c r="D23" s="1"/>
      <c r="E23" s="366" t="s">
        <v>192</v>
      </c>
      <c r="F23" s="6"/>
      <c r="G23" s="1"/>
      <c r="H23" s="367" t="s">
        <v>194</v>
      </c>
    </row>
    <row r="24" spans="4:9" x14ac:dyDescent="0.2">
      <c r="D24" s="375">
        <v>42064</v>
      </c>
      <c r="E24" s="90">
        <f t="shared" ref="E24:E49" si="0">SUMPRODUCT((Date_AF_ETG_SALE&lt;&gt;"")*(MONTH(Date_AF_ETG_SALE)=MONTH(D24))*(YEAR(Date_AF_ETG_SALE)=YEAR(D24))*MontantAF_ETG_SALE)</f>
        <v>1085000</v>
      </c>
      <c r="F24" s="6"/>
      <c r="G24" s="375">
        <v>42156</v>
      </c>
      <c r="H24" s="90">
        <f t="shared" ref="H24:H49" si="1">SUMPRODUCT((DatePmt_ETG_SALE&lt;&gt;"")*(DatePmt_ETG_SALE&lt;&gt;"en attente")*(MONTH(DatePmt_ETG_SALE)=MONTH(G24))*(YEAR(DatePmt_ETG_SALE)=YEAR(G24))*(ISNUMBER(MtntPaye_ETG_SALE)),MtntPaye_ETG_SALE)</f>
        <v>0</v>
      </c>
    </row>
    <row r="25" spans="4:9" x14ac:dyDescent="0.2">
      <c r="D25" s="375">
        <v>42339</v>
      </c>
      <c r="E25" s="90">
        <f t="shared" si="0"/>
        <v>0</v>
      </c>
      <c r="F25" s="6"/>
      <c r="G25" s="375">
        <v>42339</v>
      </c>
      <c r="H25" s="90">
        <f t="shared" si="1"/>
        <v>1085000</v>
      </c>
    </row>
    <row r="26" spans="4:9" x14ac:dyDescent="0.2">
      <c r="D26" s="375">
        <v>43101</v>
      </c>
      <c r="E26" s="90">
        <f t="shared" si="0"/>
        <v>0</v>
      </c>
      <c r="F26" s="6"/>
      <c r="G26" s="375">
        <v>43101</v>
      </c>
      <c r="H26" s="90">
        <f t="shared" si="1"/>
        <v>0</v>
      </c>
    </row>
    <row r="27" spans="4:9" x14ac:dyDescent="0.2">
      <c r="D27" s="375">
        <v>43132</v>
      </c>
      <c r="E27" s="90">
        <f t="shared" si="0"/>
        <v>542500</v>
      </c>
      <c r="F27" s="6"/>
      <c r="G27" s="375">
        <v>43132</v>
      </c>
      <c r="H27" s="90">
        <f t="shared" si="1"/>
        <v>0</v>
      </c>
    </row>
    <row r="28" spans="4:9" x14ac:dyDescent="0.2">
      <c r="D28" s="375">
        <v>43160</v>
      </c>
      <c r="E28" s="90">
        <f t="shared" si="0"/>
        <v>0</v>
      </c>
      <c r="F28" s="6"/>
      <c r="G28" s="375">
        <v>43160</v>
      </c>
      <c r="H28" s="90">
        <f t="shared" si="1"/>
        <v>0</v>
      </c>
    </row>
    <row r="29" spans="4:9" x14ac:dyDescent="0.2">
      <c r="D29" s="375">
        <v>43191</v>
      </c>
      <c r="E29" s="90">
        <f t="shared" si="0"/>
        <v>0</v>
      </c>
      <c r="F29" s="6"/>
      <c r="G29" s="375">
        <v>43191</v>
      </c>
      <c r="H29" s="90">
        <f t="shared" si="1"/>
        <v>0</v>
      </c>
    </row>
    <row r="30" spans="4:9" x14ac:dyDescent="0.2">
      <c r="D30" s="375">
        <v>43221</v>
      </c>
      <c r="E30" s="90">
        <f t="shared" si="0"/>
        <v>0</v>
      </c>
      <c r="F30" s="6"/>
      <c r="G30" s="375">
        <v>43221</v>
      </c>
      <c r="H30" s="90">
        <f t="shared" si="1"/>
        <v>0</v>
      </c>
    </row>
    <row r="31" spans="4:9" x14ac:dyDescent="0.2">
      <c r="D31" s="375">
        <v>43252</v>
      </c>
      <c r="E31" s="90">
        <f t="shared" si="0"/>
        <v>0</v>
      </c>
      <c r="F31" s="6"/>
      <c r="G31" s="375">
        <v>43252</v>
      </c>
      <c r="H31" s="90">
        <f t="shared" si="1"/>
        <v>0</v>
      </c>
    </row>
    <row r="32" spans="4:9" x14ac:dyDescent="0.2">
      <c r="D32" s="375">
        <v>43282</v>
      </c>
      <c r="E32" s="90">
        <f t="shared" si="0"/>
        <v>542500</v>
      </c>
      <c r="F32" s="6"/>
      <c r="G32" s="375">
        <v>43282</v>
      </c>
      <c r="H32" s="90">
        <f t="shared" si="1"/>
        <v>0</v>
      </c>
    </row>
    <row r="33" spans="4:8" x14ac:dyDescent="0.2">
      <c r="D33" s="375">
        <v>43313</v>
      </c>
      <c r="E33" s="90">
        <f t="shared" si="0"/>
        <v>0</v>
      </c>
      <c r="F33" s="6"/>
      <c r="G33" s="375">
        <v>43313</v>
      </c>
      <c r="H33" s="90">
        <f t="shared" si="1"/>
        <v>542500</v>
      </c>
    </row>
    <row r="34" spans="4:8" x14ac:dyDescent="0.2">
      <c r="D34" s="375">
        <v>43344</v>
      </c>
      <c r="E34" s="90">
        <f t="shared" si="0"/>
        <v>0</v>
      </c>
      <c r="F34" s="6"/>
      <c r="G34" s="375">
        <v>43344</v>
      </c>
      <c r="H34" s="90">
        <f t="shared" si="1"/>
        <v>0</v>
      </c>
    </row>
    <row r="35" spans="4:8" x14ac:dyDescent="0.2">
      <c r="D35" s="375">
        <v>43374</v>
      </c>
      <c r="E35" s="90">
        <f t="shared" si="0"/>
        <v>0</v>
      </c>
      <c r="F35" s="6"/>
      <c r="G35" s="375">
        <v>43374</v>
      </c>
      <c r="H35" s="90">
        <f t="shared" si="1"/>
        <v>0</v>
      </c>
    </row>
    <row r="36" spans="4:8" x14ac:dyDescent="0.2">
      <c r="D36" s="375">
        <v>43405</v>
      </c>
      <c r="E36" s="90">
        <f t="shared" si="0"/>
        <v>0</v>
      </c>
      <c r="F36" s="6"/>
      <c r="G36" s="375">
        <v>43405</v>
      </c>
      <c r="H36" s="90">
        <f t="shared" si="1"/>
        <v>0</v>
      </c>
    </row>
    <row r="37" spans="4:8" x14ac:dyDescent="0.2">
      <c r="D37" s="375">
        <v>43435</v>
      </c>
      <c r="E37" s="90">
        <f t="shared" si="0"/>
        <v>0</v>
      </c>
      <c r="F37" s="6"/>
      <c r="G37" s="375">
        <v>43435</v>
      </c>
      <c r="H37" s="90">
        <f t="shared" si="1"/>
        <v>0</v>
      </c>
    </row>
    <row r="38" spans="4:8" x14ac:dyDescent="0.2">
      <c r="D38" s="375">
        <v>43466</v>
      </c>
      <c r="E38" s="90">
        <f t="shared" si="0"/>
        <v>0</v>
      </c>
      <c r="F38" s="6"/>
      <c r="G38" s="375">
        <v>43466</v>
      </c>
      <c r="H38" s="90">
        <f t="shared" si="1"/>
        <v>0</v>
      </c>
    </row>
    <row r="39" spans="4:8" x14ac:dyDescent="0.2">
      <c r="D39" s="375">
        <v>43497</v>
      </c>
      <c r="E39" s="90">
        <f t="shared" si="0"/>
        <v>0</v>
      </c>
      <c r="F39" s="6"/>
      <c r="G39" s="375">
        <v>43497</v>
      </c>
      <c r="H39" s="90">
        <f t="shared" si="1"/>
        <v>0</v>
      </c>
    </row>
    <row r="40" spans="4:8" x14ac:dyDescent="0.2">
      <c r="D40" s="375">
        <v>43525</v>
      </c>
      <c r="E40" s="90">
        <f t="shared" si="0"/>
        <v>0</v>
      </c>
      <c r="F40" s="6"/>
      <c r="G40" s="375">
        <v>43525</v>
      </c>
      <c r="H40" s="90">
        <f t="shared" si="1"/>
        <v>0</v>
      </c>
    </row>
    <row r="41" spans="4:8" x14ac:dyDescent="0.2">
      <c r="D41" s="375">
        <v>43556</v>
      </c>
      <c r="E41" s="90">
        <f t="shared" si="0"/>
        <v>0</v>
      </c>
      <c r="F41" s="6"/>
      <c r="G41" s="375">
        <v>43556</v>
      </c>
      <c r="H41" s="90">
        <f t="shared" si="1"/>
        <v>0</v>
      </c>
    </row>
    <row r="42" spans="4:8" x14ac:dyDescent="0.2">
      <c r="D42" s="375">
        <v>43586</v>
      </c>
      <c r="E42" s="90">
        <f t="shared" si="0"/>
        <v>0</v>
      </c>
      <c r="F42" s="6"/>
      <c r="G42" s="375">
        <v>43586</v>
      </c>
      <c r="H42" s="90">
        <f t="shared" si="1"/>
        <v>0</v>
      </c>
    </row>
    <row r="43" spans="4:8" x14ac:dyDescent="0.2">
      <c r="D43" s="375">
        <v>43617</v>
      </c>
      <c r="E43" s="90">
        <f t="shared" si="0"/>
        <v>0</v>
      </c>
      <c r="F43" s="6"/>
      <c r="G43" s="375">
        <v>43617</v>
      </c>
      <c r="H43" s="90">
        <f t="shared" si="1"/>
        <v>0</v>
      </c>
    </row>
    <row r="44" spans="4:8" x14ac:dyDescent="0.2">
      <c r="D44" s="375">
        <v>43647</v>
      </c>
      <c r="E44" s="90">
        <f t="shared" si="0"/>
        <v>0</v>
      </c>
      <c r="F44" s="6"/>
      <c r="G44" s="375">
        <v>43647</v>
      </c>
      <c r="H44" s="90">
        <f t="shared" si="1"/>
        <v>0</v>
      </c>
    </row>
    <row r="45" spans="4:8" x14ac:dyDescent="0.2">
      <c r="D45" s="375">
        <v>43678</v>
      </c>
      <c r="E45" s="90">
        <f t="shared" si="0"/>
        <v>0</v>
      </c>
      <c r="F45" s="6"/>
      <c r="G45" s="375">
        <v>43678</v>
      </c>
      <c r="H45" s="90">
        <f t="shared" si="1"/>
        <v>0</v>
      </c>
    </row>
    <row r="46" spans="4:8" x14ac:dyDescent="0.2">
      <c r="D46" s="375">
        <v>43709</v>
      </c>
      <c r="E46" s="90">
        <f t="shared" si="0"/>
        <v>0</v>
      </c>
      <c r="F46" s="6"/>
      <c r="G46" s="375">
        <v>43709</v>
      </c>
      <c r="H46" s="90">
        <f t="shared" si="1"/>
        <v>0</v>
      </c>
    </row>
    <row r="47" spans="4:8" x14ac:dyDescent="0.2">
      <c r="D47" s="375">
        <v>43739</v>
      </c>
      <c r="E47" s="90">
        <f t="shared" si="0"/>
        <v>0</v>
      </c>
      <c r="F47" s="6"/>
      <c r="G47" s="375">
        <v>43739</v>
      </c>
      <c r="H47" s="90">
        <f t="shared" si="1"/>
        <v>0</v>
      </c>
    </row>
    <row r="48" spans="4:8" x14ac:dyDescent="0.2">
      <c r="D48" s="375">
        <v>43770</v>
      </c>
      <c r="E48" s="90">
        <f t="shared" si="0"/>
        <v>0</v>
      </c>
      <c r="F48" s="6"/>
      <c r="G48" s="375">
        <v>43770</v>
      </c>
      <c r="H48" s="90">
        <f t="shared" si="1"/>
        <v>0</v>
      </c>
    </row>
    <row r="49" spans="4:9" x14ac:dyDescent="0.2">
      <c r="D49" s="375">
        <v>43800</v>
      </c>
      <c r="E49" s="90">
        <f t="shared" si="0"/>
        <v>0</v>
      </c>
      <c r="F49" s="6"/>
      <c r="G49" s="375">
        <v>43800</v>
      </c>
      <c r="H49" s="90">
        <f t="shared" si="1"/>
        <v>0</v>
      </c>
    </row>
    <row r="50" spans="4:9" x14ac:dyDescent="0.2">
      <c r="D50" s="8"/>
      <c r="E50" s="457">
        <f>SUM(E24:E49)</f>
        <v>2170000</v>
      </c>
      <c r="F50" s="935"/>
      <c r="G50" s="8"/>
      <c r="H50" s="457">
        <f>SUM(H24:H49)</f>
        <v>1627500</v>
      </c>
      <c r="I50" s="229">
        <f>H50-E50</f>
        <v>-542500</v>
      </c>
    </row>
    <row r="51" spans="4:9" x14ac:dyDescent="0.2">
      <c r="D51" s="160"/>
      <c r="E51" s="165">
        <f>E50-E18</f>
        <v>0</v>
      </c>
      <c r="F51" s="462"/>
      <c r="G51" s="160"/>
      <c r="H51" s="165">
        <f>H50-H18</f>
        <v>0</v>
      </c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P57"/>
  <sheetViews>
    <sheetView topLeftCell="A16" workbookViewId="0">
      <selection activeCell="B20" sqref="B20"/>
    </sheetView>
  </sheetViews>
  <sheetFormatPr baseColWidth="10" defaultRowHeight="12.75" x14ac:dyDescent="0.2"/>
  <cols>
    <col min="10" max="10" width="16.85546875" customWidth="1"/>
  </cols>
  <sheetData>
    <row r="1" spans="1:14" x14ac:dyDescent="0.2">
      <c r="A1" s="1066" t="s">
        <v>138</v>
      </c>
      <c r="B1" s="1066"/>
      <c r="C1" s="1066"/>
      <c r="D1" s="1066"/>
      <c r="E1" s="1066"/>
      <c r="F1" s="1066"/>
      <c r="G1" s="1066"/>
      <c r="H1" s="1066"/>
      <c r="I1" s="1066"/>
      <c r="J1" s="1066"/>
      <c r="K1" s="1066"/>
      <c r="L1" s="9">
        <f ca="1">TODAY()</f>
        <v>43696</v>
      </c>
    </row>
    <row r="2" spans="1:14" x14ac:dyDescent="0.2">
      <c r="A2" s="6"/>
      <c r="B2" s="1"/>
      <c r="C2" s="1"/>
      <c r="D2" s="1"/>
      <c r="E2" s="1"/>
      <c r="F2" s="1"/>
      <c r="G2" s="6"/>
      <c r="H2" s="1"/>
      <c r="I2" s="1"/>
      <c r="J2" s="1"/>
      <c r="K2" s="1"/>
      <c r="L2" s="1"/>
      <c r="M2" s="1"/>
    </row>
    <row r="3" spans="1:14" ht="12.75" customHeight="1" x14ac:dyDescent="0.2">
      <c r="A3" s="1083" t="s">
        <v>2</v>
      </c>
      <c r="B3" s="1083" t="s">
        <v>0</v>
      </c>
      <c r="C3" s="1071" t="s">
        <v>19</v>
      </c>
      <c r="D3" s="1071" t="s">
        <v>10</v>
      </c>
      <c r="E3" s="911" t="s">
        <v>386</v>
      </c>
      <c r="F3" s="912" t="s">
        <v>4</v>
      </c>
      <c r="G3" s="913"/>
      <c r="H3" s="913"/>
      <c r="I3" s="913"/>
      <c r="J3" s="913"/>
      <c r="K3" s="914"/>
      <c r="L3" s="1070" t="s">
        <v>11</v>
      </c>
      <c r="M3" s="1071"/>
    </row>
    <row r="4" spans="1:14" x14ac:dyDescent="0.2">
      <c r="A4" s="1084"/>
      <c r="B4" s="1084"/>
      <c r="C4" s="1085"/>
      <c r="D4" s="1085"/>
      <c r="E4" s="907"/>
      <c r="F4" s="10" t="s">
        <v>1</v>
      </c>
      <c r="G4" s="11" t="s">
        <v>3</v>
      </c>
      <c r="H4" s="11" t="s">
        <v>13</v>
      </c>
      <c r="I4" s="12" t="s">
        <v>12</v>
      </c>
      <c r="J4" s="10" t="s">
        <v>13</v>
      </c>
      <c r="K4" s="11" t="s">
        <v>16</v>
      </c>
      <c r="L4" s="3" t="s">
        <v>18</v>
      </c>
      <c r="M4" s="3" t="s">
        <v>17</v>
      </c>
    </row>
    <row r="5" spans="1:14" x14ac:dyDescent="0.2">
      <c r="A5" s="397" t="s">
        <v>50</v>
      </c>
      <c r="B5" s="398"/>
      <c r="C5" s="347">
        <v>42068</v>
      </c>
      <c r="D5" s="404">
        <v>162750</v>
      </c>
      <c r="E5" s="404"/>
      <c r="F5" s="399"/>
      <c r="G5" s="400"/>
      <c r="H5" s="401"/>
      <c r="I5" s="402"/>
      <c r="J5" s="403"/>
      <c r="K5" s="401"/>
      <c r="L5" s="404"/>
      <c r="M5" s="404"/>
    </row>
    <row r="6" spans="1:14" x14ac:dyDescent="0.2">
      <c r="A6" s="329" t="s">
        <v>50</v>
      </c>
      <c r="B6" s="348"/>
      <c r="C6" s="342"/>
      <c r="D6" s="343"/>
      <c r="E6" s="343">
        <v>0.5</v>
      </c>
      <c r="F6" s="344">
        <v>81375</v>
      </c>
      <c r="G6" s="345">
        <v>1</v>
      </c>
      <c r="H6" s="690">
        <v>42401</v>
      </c>
      <c r="I6" s="344">
        <v>81375</v>
      </c>
      <c r="J6" s="347">
        <v>42415</v>
      </c>
      <c r="K6" s="348">
        <f>IF(J6="",$L$1-H6,J6-H6)</f>
        <v>14</v>
      </c>
      <c r="L6" s="349" t="str">
        <f>IF(I6="en attente",F6,"")</f>
        <v/>
      </c>
      <c r="M6" s="349">
        <f>IF(H6="",F6-I6,0)</f>
        <v>0</v>
      </c>
    </row>
    <row r="7" spans="1:14" x14ac:dyDescent="0.2">
      <c r="A7" s="329" t="s">
        <v>50</v>
      </c>
      <c r="B7" s="348"/>
      <c r="C7" s="342"/>
      <c r="D7" s="343"/>
      <c r="E7" s="343">
        <v>0.5</v>
      </c>
      <c r="F7" s="344">
        <v>81375</v>
      </c>
      <c r="G7" s="345">
        <v>2</v>
      </c>
      <c r="H7" s="342">
        <v>43305</v>
      </c>
      <c r="I7" s="346">
        <v>81375</v>
      </c>
      <c r="J7" s="347">
        <v>43320</v>
      </c>
      <c r="K7" s="348"/>
      <c r="L7" s="349" t="str">
        <f>IF(I7="en attente",F7,"")</f>
        <v/>
      </c>
      <c r="M7" s="349">
        <f>IF(H7="",F7-I7,0)</f>
        <v>0</v>
      </c>
    </row>
    <row r="8" spans="1:14" x14ac:dyDescent="0.2">
      <c r="A8" s="329" t="s">
        <v>50</v>
      </c>
      <c r="B8" s="348"/>
      <c r="C8" s="342"/>
      <c r="D8" s="343"/>
      <c r="E8" s="343"/>
      <c r="F8" s="344"/>
      <c r="G8" s="345"/>
      <c r="H8" s="342"/>
      <c r="I8" s="346"/>
      <c r="J8" s="347"/>
      <c r="K8" s="348"/>
      <c r="L8" s="349"/>
      <c r="M8" s="349"/>
    </row>
    <row r="9" spans="1:14" x14ac:dyDescent="0.2">
      <c r="A9" s="320" t="s">
        <v>49</v>
      </c>
      <c r="B9" s="564"/>
      <c r="C9" s="394">
        <v>41338</v>
      </c>
      <c r="D9" s="322">
        <v>55743.18</v>
      </c>
      <c r="E9" s="322"/>
      <c r="F9" s="388"/>
      <c r="G9" s="696"/>
      <c r="H9" s="394"/>
      <c r="I9" s="697"/>
      <c r="J9" s="698"/>
      <c r="K9" s="564"/>
      <c r="L9" s="699"/>
      <c r="M9" s="699"/>
    </row>
    <row r="10" spans="1:14" ht="14.25" customHeight="1" x14ac:dyDescent="0.2">
      <c r="A10" s="329" t="s">
        <v>49</v>
      </c>
      <c r="B10" s="348"/>
      <c r="C10" s="342"/>
      <c r="D10" s="343"/>
      <c r="E10" s="343">
        <v>0.5</v>
      </c>
      <c r="F10" s="344">
        <v>27871.59</v>
      </c>
      <c r="G10" s="345">
        <v>1</v>
      </c>
      <c r="H10" s="690">
        <v>42599</v>
      </c>
      <c r="I10" s="700">
        <v>27871.59</v>
      </c>
      <c r="J10" s="347">
        <v>42615</v>
      </c>
      <c r="K10" s="348">
        <f>IF(J10="",$L$1-H10,J10-H10)</f>
        <v>16</v>
      </c>
      <c r="L10" s="349" t="str">
        <f>IF(I10="en attente",F10,"")</f>
        <v/>
      </c>
      <c r="M10" s="349">
        <f t="shared" ref="M10:M15" si="0">IF(H10="",F10-I10,0)</f>
        <v>0</v>
      </c>
      <c r="N10" s="437" t="s">
        <v>229</v>
      </c>
    </row>
    <row r="11" spans="1:14" x14ac:dyDescent="0.2">
      <c r="A11" s="329" t="s">
        <v>49</v>
      </c>
      <c r="B11" s="348"/>
      <c r="C11" s="342"/>
      <c r="D11" s="343"/>
      <c r="E11" s="343">
        <v>0.5</v>
      </c>
      <c r="F11" s="344">
        <v>27871.59</v>
      </c>
      <c r="G11" s="345">
        <v>2</v>
      </c>
      <c r="H11" s="342">
        <v>43269</v>
      </c>
      <c r="I11" s="346">
        <v>27871.59</v>
      </c>
      <c r="J11" s="347">
        <v>43287</v>
      </c>
      <c r="K11" s="348"/>
      <c r="L11" s="349" t="str">
        <f>IF(I11="en attente",F11,"")</f>
        <v/>
      </c>
      <c r="M11" s="349">
        <f t="shared" si="0"/>
        <v>0</v>
      </c>
    </row>
    <row r="12" spans="1:14" x14ac:dyDescent="0.2">
      <c r="A12" s="351" t="s">
        <v>49</v>
      </c>
      <c r="B12" s="358"/>
      <c r="C12" s="353"/>
      <c r="D12" s="423"/>
      <c r="E12" s="423"/>
      <c r="F12" s="354"/>
      <c r="G12" s="355"/>
      <c r="H12" s="353"/>
      <c r="I12" s="356"/>
      <c r="J12" s="357"/>
      <c r="K12" s="358"/>
      <c r="L12" s="359"/>
      <c r="M12" s="359">
        <f t="shared" si="0"/>
        <v>0</v>
      </c>
    </row>
    <row r="13" spans="1:14" x14ac:dyDescent="0.2">
      <c r="A13" s="45" t="s">
        <v>31</v>
      </c>
      <c r="B13" s="4"/>
      <c r="C13" s="15">
        <v>42068</v>
      </c>
      <c r="D13" s="268">
        <v>292222.2</v>
      </c>
      <c r="E13" s="268"/>
      <c r="F13" s="23"/>
      <c r="G13" s="42"/>
      <c r="H13" s="15"/>
      <c r="I13" s="20"/>
      <c r="J13" s="30"/>
      <c r="K13" s="4"/>
      <c r="L13" s="80"/>
      <c r="M13" s="80">
        <f t="shared" si="0"/>
        <v>0</v>
      </c>
    </row>
    <row r="14" spans="1:14" x14ac:dyDescent="0.2">
      <c r="A14" s="1105" t="s">
        <v>31</v>
      </c>
      <c r="B14" s="1106"/>
      <c r="C14" s="15"/>
      <c r="D14" s="107"/>
      <c r="E14" s="107">
        <v>0.5</v>
      </c>
      <c r="F14" s="23">
        <f>D13/2</f>
        <v>146111.1</v>
      </c>
      <c r="G14" s="42">
        <v>1</v>
      </c>
      <c r="H14" s="15">
        <v>42935</v>
      </c>
      <c r="I14" s="24">
        <v>146111.1</v>
      </c>
      <c r="J14" s="30">
        <v>43178</v>
      </c>
      <c r="K14" s="4"/>
      <c r="L14" s="80" t="str">
        <f>IF(I14="en attente",F14,"")</f>
        <v/>
      </c>
      <c r="M14" s="80">
        <f t="shared" si="0"/>
        <v>0</v>
      </c>
    </row>
    <row r="15" spans="1:14" x14ac:dyDescent="0.2">
      <c r="A15" s="46" t="s">
        <v>31</v>
      </c>
      <c r="B15" s="4"/>
      <c r="C15" s="15"/>
      <c r="D15" s="107"/>
      <c r="E15" s="107">
        <v>0.5</v>
      </c>
      <c r="F15" s="23">
        <f>D13/2</f>
        <v>146111.1</v>
      </c>
      <c r="G15" s="42">
        <v>2</v>
      </c>
      <c r="H15" s="15"/>
      <c r="I15" s="24"/>
      <c r="J15" s="30"/>
      <c r="K15" s="4"/>
      <c r="L15" s="80" t="str">
        <f>IF(I15="en attente",F15,"")</f>
        <v/>
      </c>
      <c r="M15" s="80">
        <f t="shared" si="0"/>
        <v>146111.1</v>
      </c>
    </row>
    <row r="16" spans="1:14" x14ac:dyDescent="0.2">
      <c r="A16" s="1054"/>
      <c r="B16" s="39"/>
      <c r="C16" s="15"/>
      <c r="D16" s="107"/>
      <c r="E16" s="107"/>
      <c r="F16" s="23"/>
      <c r="G16" s="42"/>
      <c r="H16" s="15"/>
      <c r="I16" s="24"/>
      <c r="J16" s="30"/>
      <c r="K16" s="4"/>
      <c r="L16" s="80"/>
      <c r="M16" s="80"/>
    </row>
    <row r="17" spans="1:16" x14ac:dyDescent="0.2">
      <c r="A17" s="1055"/>
      <c r="B17" s="1056"/>
      <c r="C17" s="48"/>
      <c r="D17" s="41">
        <f>D5+D9+D13</f>
        <v>510715.38</v>
      </c>
      <c r="E17" s="41"/>
      <c r="F17" s="41">
        <f>SUMPRODUCT((DateAF_ST_JOSEPH&lt;&gt;"")*MontantAF_ST_JOSEPH)</f>
        <v>364604.28</v>
      </c>
      <c r="G17" s="49"/>
      <c r="H17" s="50"/>
      <c r="I17" s="41">
        <f>SUM(I6:I16)</f>
        <v>364604.28</v>
      </c>
      <c r="J17" s="50"/>
      <c r="K17" s="50"/>
      <c r="L17" s="41">
        <f>SUM(L6:L16)</f>
        <v>0</v>
      </c>
      <c r="M17" s="41">
        <f>SUM(M5:M16)</f>
        <v>146111.1</v>
      </c>
      <c r="P17" s="229"/>
    </row>
    <row r="18" spans="1:16" x14ac:dyDescent="0.2">
      <c r="A18" s="74"/>
      <c r="B18" s="75"/>
      <c r="C18" s="75"/>
      <c r="D18" s="75"/>
      <c r="E18" s="75"/>
      <c r="F18" s="75"/>
      <c r="G18" s="74"/>
      <c r="H18" s="75"/>
      <c r="I18" s="75"/>
      <c r="J18" s="75"/>
      <c r="K18" s="52"/>
      <c r="L18" s="1064">
        <f>SUM(L17:M17)</f>
        <v>146111.1</v>
      </c>
      <c r="M18" s="1065"/>
    </row>
    <row r="20" spans="1:16" x14ac:dyDescent="0.2">
      <c r="E20" s="494"/>
      <c r="F20" s="366" t="s">
        <v>192</v>
      </c>
      <c r="G20" s="1"/>
      <c r="H20" s="367" t="s">
        <v>194</v>
      </c>
      <c r="K20" s="366" t="s">
        <v>192</v>
      </c>
      <c r="L20" s="367" t="s">
        <v>194</v>
      </c>
    </row>
    <row r="21" spans="1:16" ht="13.5" x14ac:dyDescent="0.25">
      <c r="E21" s="495">
        <v>42401</v>
      </c>
      <c r="F21" s="90">
        <f t="shared" ref="F21:F35" si="1">SUMPRODUCT((DateAF_ST_JOSEPH&lt;&gt;"")*(MONTH(DateAF_ST_JOSEPH)=MONTH(E21))*(YEAR(DateAF_ST_JOSEPH)=YEAR(E21))*MontantAF_ST_JOSEPH)</f>
        <v>81375</v>
      </c>
      <c r="G21" s="495">
        <v>42401</v>
      </c>
      <c r="H21" s="90">
        <f>SUMPRODUCT((DatePmt_ST_JOSEPH&lt;&gt;"")*(DatePmt_ST_JOSEPH&lt;&gt;"en attente")*(MONTH(DatePmt_ST_JOSEPH)=MONTH(G21))*(YEAR(DatePmt_ST_JOSEPH)=YEAR(G21))*(ISNUMBER(MtntPaye_ST_JOSEPH)),MtntPaye_ST_JOSEPH)</f>
        <v>81375</v>
      </c>
      <c r="J21" s="498">
        <v>2016</v>
      </c>
      <c r="K21" s="499">
        <f>SUMPRODUCT((YEAR($E$21:$E$35)=J21)*($F$21:$F$35))</f>
        <v>109246.59</v>
      </c>
      <c r="L21" s="499">
        <f>SUMPRODUCT((YEAR($G$21:$G$35)=J21)*($H$21:$H$35))</f>
        <v>109246.59</v>
      </c>
    </row>
    <row r="22" spans="1:16" ht="13.5" x14ac:dyDescent="0.25">
      <c r="E22" s="495">
        <v>42599</v>
      </c>
      <c r="F22" s="90">
        <f t="shared" si="1"/>
        <v>27871.59</v>
      </c>
      <c r="G22" s="495">
        <v>42599</v>
      </c>
      <c r="H22" s="90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498">
        <v>2017</v>
      </c>
      <c r="K22" s="499">
        <f>SUMPRODUCT((YEAR($E$21:$E$35)=J22)*($F$21:$F$35))</f>
        <v>146111.1</v>
      </c>
      <c r="L22" s="499">
        <f>SUMPRODUCT((YEAR($G$21:$G$35)=J22)*($H$21:$H$35))</f>
        <v>0</v>
      </c>
    </row>
    <row r="23" spans="1:16" ht="13.5" x14ac:dyDescent="0.25">
      <c r="E23" s="495">
        <v>42615</v>
      </c>
      <c r="F23" s="90">
        <f t="shared" si="1"/>
        <v>0</v>
      </c>
      <c r="G23" s="495">
        <v>42615</v>
      </c>
      <c r="H23" s="90">
        <f t="shared" si="2"/>
        <v>27871.59</v>
      </c>
      <c r="J23" s="498">
        <v>2018</v>
      </c>
      <c r="K23" s="499">
        <f>SUMPRODUCT((YEAR($E$21:$E$55)=J23)*($F$21:$F$55))</f>
        <v>109246.59</v>
      </c>
      <c r="L23" s="499">
        <f>SUMPRODUCT((YEAR($G$21:$G$55)=J23)*($H$21:$H$55))</f>
        <v>255357.69</v>
      </c>
    </row>
    <row r="24" spans="1:16" ht="13.5" x14ac:dyDescent="0.25">
      <c r="E24" s="495">
        <v>42736</v>
      </c>
      <c r="F24" s="90">
        <f t="shared" si="1"/>
        <v>0</v>
      </c>
      <c r="G24" s="495">
        <v>42736</v>
      </c>
      <c r="H24" s="90">
        <f t="shared" si="2"/>
        <v>0</v>
      </c>
      <c r="J24" s="498">
        <v>2019</v>
      </c>
      <c r="K24" s="499">
        <f>SUMPRODUCT((YEAR($E$21:$E$55)=J24)*($F$21:$F$55))</f>
        <v>0</v>
      </c>
      <c r="L24" s="499">
        <f>SUMPRODUCT((YEAR($G$21:$G$55)=J24)*($H$21:$H$55))</f>
        <v>0</v>
      </c>
    </row>
    <row r="25" spans="1:16" ht="13.5" x14ac:dyDescent="0.25">
      <c r="E25" s="495">
        <v>42767</v>
      </c>
      <c r="F25" s="90">
        <f t="shared" si="1"/>
        <v>0</v>
      </c>
      <c r="G25" s="495">
        <v>42767</v>
      </c>
      <c r="H25" s="90">
        <f t="shared" si="2"/>
        <v>0</v>
      </c>
      <c r="J25" s="498"/>
      <c r="K25" s="500">
        <f>SUM(K21:K24)</f>
        <v>364604.28</v>
      </c>
      <c r="L25" s="500">
        <f>SUM(L21:L24)</f>
        <v>364604.28</v>
      </c>
      <c r="M25" s="229">
        <f>L25-K25</f>
        <v>0</v>
      </c>
    </row>
    <row r="26" spans="1:16" ht="13.5" x14ac:dyDescent="0.25">
      <c r="E26" s="495">
        <v>42795</v>
      </c>
      <c r="F26" s="90">
        <f t="shared" si="1"/>
        <v>0</v>
      </c>
      <c r="G26" s="495">
        <v>42795</v>
      </c>
      <c r="H26" s="90">
        <f t="shared" si="2"/>
        <v>0</v>
      </c>
      <c r="J26" s="498"/>
      <c r="K26" s="499">
        <f>K25-F56</f>
        <v>0</v>
      </c>
      <c r="L26" s="499">
        <f>L25-H56</f>
        <v>0</v>
      </c>
    </row>
    <row r="27" spans="1:16" ht="13.5" x14ac:dyDescent="0.25">
      <c r="E27" s="495">
        <v>42826</v>
      </c>
      <c r="F27" s="90">
        <f t="shared" si="1"/>
        <v>0</v>
      </c>
      <c r="G27" s="495">
        <v>42826</v>
      </c>
      <c r="H27" s="90">
        <f t="shared" si="2"/>
        <v>0</v>
      </c>
      <c r="J27" s="498"/>
      <c r="K27" s="498"/>
      <c r="L27" s="498"/>
    </row>
    <row r="28" spans="1:16" x14ac:dyDescent="0.2">
      <c r="E28" s="495">
        <v>42856</v>
      </c>
      <c r="F28" s="90">
        <f t="shared" si="1"/>
        <v>0</v>
      </c>
      <c r="G28" s="495">
        <v>42856</v>
      </c>
      <c r="H28" s="90">
        <f t="shared" si="2"/>
        <v>0</v>
      </c>
    </row>
    <row r="29" spans="1:16" x14ac:dyDescent="0.2">
      <c r="E29" s="495">
        <v>42887</v>
      </c>
      <c r="F29" s="90">
        <f t="shared" si="1"/>
        <v>0</v>
      </c>
      <c r="G29" s="495">
        <v>42887</v>
      </c>
      <c r="H29" s="90">
        <f t="shared" si="2"/>
        <v>0</v>
      </c>
    </row>
    <row r="30" spans="1:16" x14ac:dyDescent="0.2">
      <c r="E30" s="495">
        <v>42917</v>
      </c>
      <c r="F30" s="90">
        <f t="shared" si="1"/>
        <v>146111.1</v>
      </c>
      <c r="G30" s="495">
        <v>42917</v>
      </c>
      <c r="H30" s="90">
        <f t="shared" si="2"/>
        <v>0</v>
      </c>
    </row>
    <row r="31" spans="1:16" x14ac:dyDescent="0.2">
      <c r="E31" s="495">
        <v>42948</v>
      </c>
      <c r="F31" s="90">
        <f t="shared" si="1"/>
        <v>0</v>
      </c>
      <c r="G31" s="495">
        <v>42948</v>
      </c>
      <c r="H31" s="90">
        <f t="shared" si="2"/>
        <v>0</v>
      </c>
    </row>
    <row r="32" spans="1:16" x14ac:dyDescent="0.2">
      <c r="E32" s="495">
        <v>42979</v>
      </c>
      <c r="F32" s="90">
        <f t="shared" si="1"/>
        <v>0</v>
      </c>
      <c r="G32" s="495">
        <v>42979</v>
      </c>
      <c r="H32" s="90">
        <f t="shared" si="2"/>
        <v>0</v>
      </c>
    </row>
    <row r="33" spans="5:12" x14ac:dyDescent="0.2">
      <c r="E33" s="495">
        <v>43009</v>
      </c>
      <c r="F33" s="90">
        <f t="shared" si="1"/>
        <v>0</v>
      </c>
      <c r="G33" s="495">
        <v>43009</v>
      </c>
      <c r="H33" s="90">
        <f t="shared" si="2"/>
        <v>0</v>
      </c>
    </row>
    <row r="34" spans="5:12" x14ac:dyDescent="0.2">
      <c r="E34" s="495">
        <v>43040</v>
      </c>
      <c r="F34" s="90">
        <f t="shared" si="1"/>
        <v>0</v>
      </c>
      <c r="G34" s="495">
        <v>43040</v>
      </c>
      <c r="H34" s="90">
        <f t="shared" si="2"/>
        <v>0</v>
      </c>
    </row>
    <row r="35" spans="5:12" x14ac:dyDescent="0.2">
      <c r="E35" s="495">
        <v>43070</v>
      </c>
      <c r="F35" s="90">
        <f t="shared" si="1"/>
        <v>0</v>
      </c>
      <c r="G35" s="495">
        <v>43070</v>
      </c>
      <c r="H35" s="90">
        <f t="shared" si="2"/>
        <v>0</v>
      </c>
    </row>
    <row r="36" spans="5:12" x14ac:dyDescent="0.2">
      <c r="E36" s="495">
        <v>43101</v>
      </c>
      <c r="F36" s="90">
        <f t="shared" ref="F36:F55" si="3">SUMPRODUCT((DateAF_ST_JOSEPH&lt;&gt;"")*(MONTH(DateAF_ST_JOSEPH)=MONTH(E36))*(YEAR(DateAF_ST_JOSEPH)=YEAR(E36))*MontantAF_ST_JOSEPH)</f>
        <v>0</v>
      </c>
      <c r="G36" s="495">
        <v>43101</v>
      </c>
      <c r="H36" s="90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5:12" x14ac:dyDescent="0.2">
      <c r="E37" s="495">
        <v>43132</v>
      </c>
      <c r="F37" s="90">
        <f t="shared" si="3"/>
        <v>0</v>
      </c>
      <c r="G37" s="495">
        <v>43132</v>
      </c>
      <c r="H37" s="90">
        <f t="shared" si="4"/>
        <v>0</v>
      </c>
    </row>
    <row r="38" spans="5:12" x14ac:dyDescent="0.2">
      <c r="E38" s="495">
        <v>43160</v>
      </c>
      <c r="F38" s="90">
        <f t="shared" si="3"/>
        <v>0</v>
      </c>
      <c r="G38" s="495">
        <v>43160</v>
      </c>
      <c r="H38" s="90">
        <f t="shared" si="4"/>
        <v>146111.1</v>
      </c>
    </row>
    <row r="39" spans="5:12" x14ac:dyDescent="0.2">
      <c r="E39" s="495">
        <v>43191</v>
      </c>
      <c r="F39" s="90">
        <f t="shared" si="3"/>
        <v>0</v>
      </c>
      <c r="G39" s="495">
        <v>43191</v>
      </c>
      <c r="H39" s="90">
        <f t="shared" si="4"/>
        <v>0</v>
      </c>
    </row>
    <row r="40" spans="5:12" x14ac:dyDescent="0.2">
      <c r="E40" s="495">
        <v>43221</v>
      </c>
      <c r="F40" s="90">
        <f t="shared" si="3"/>
        <v>0</v>
      </c>
      <c r="G40" s="495">
        <v>43221</v>
      </c>
      <c r="H40" s="90">
        <f t="shared" si="4"/>
        <v>0</v>
      </c>
    </row>
    <row r="41" spans="5:12" x14ac:dyDescent="0.2">
      <c r="E41" s="495">
        <v>43252</v>
      </c>
      <c r="F41" s="90">
        <f t="shared" si="3"/>
        <v>27871.59</v>
      </c>
      <c r="G41" s="495">
        <v>43252</v>
      </c>
      <c r="H41" s="90">
        <f t="shared" si="4"/>
        <v>0</v>
      </c>
    </row>
    <row r="42" spans="5:12" x14ac:dyDescent="0.2">
      <c r="E42" s="495">
        <v>43282</v>
      </c>
      <c r="F42" s="90">
        <f t="shared" si="3"/>
        <v>81375</v>
      </c>
      <c r="G42" s="495">
        <v>43282</v>
      </c>
      <c r="H42" s="90">
        <f t="shared" si="4"/>
        <v>27871.59</v>
      </c>
    </row>
    <row r="43" spans="5:12" x14ac:dyDescent="0.2">
      <c r="E43" s="495">
        <v>43313</v>
      </c>
      <c r="F43" s="90">
        <f t="shared" si="3"/>
        <v>0</v>
      </c>
      <c r="G43" s="495">
        <v>43313</v>
      </c>
      <c r="H43" s="90">
        <f t="shared" si="4"/>
        <v>81375</v>
      </c>
    </row>
    <row r="44" spans="5:12" x14ac:dyDescent="0.2">
      <c r="E44" s="495">
        <v>43344</v>
      </c>
      <c r="F44" s="90">
        <f t="shared" si="3"/>
        <v>0</v>
      </c>
      <c r="G44" s="495">
        <v>43344</v>
      </c>
      <c r="H44" s="90">
        <f t="shared" si="4"/>
        <v>0</v>
      </c>
    </row>
    <row r="45" spans="5:12" x14ac:dyDescent="0.2">
      <c r="E45" s="495">
        <v>43374</v>
      </c>
      <c r="F45" s="90">
        <f t="shared" si="3"/>
        <v>0</v>
      </c>
      <c r="G45" s="495">
        <v>43374</v>
      </c>
      <c r="H45" s="90">
        <f t="shared" si="4"/>
        <v>0</v>
      </c>
    </row>
    <row r="46" spans="5:12" x14ac:dyDescent="0.2">
      <c r="E46" s="495">
        <v>43405</v>
      </c>
      <c r="F46" s="90">
        <f t="shared" si="3"/>
        <v>0</v>
      </c>
      <c r="G46" s="495">
        <v>43405</v>
      </c>
      <c r="H46" s="90">
        <f t="shared" si="4"/>
        <v>0</v>
      </c>
    </row>
    <row r="47" spans="5:12" x14ac:dyDescent="0.2">
      <c r="E47" s="495">
        <v>43435</v>
      </c>
      <c r="F47" s="90">
        <f t="shared" si="3"/>
        <v>0</v>
      </c>
      <c r="G47" s="495">
        <v>43435</v>
      </c>
      <c r="H47" s="90">
        <f t="shared" si="4"/>
        <v>0</v>
      </c>
    </row>
    <row r="48" spans="5:12" s="496" customFormat="1" x14ac:dyDescent="0.2">
      <c r="E48" s="495">
        <v>43586</v>
      </c>
      <c r="F48" s="90">
        <f t="shared" si="3"/>
        <v>0</v>
      </c>
      <c r="G48" s="495">
        <v>43586</v>
      </c>
      <c r="H48" s="90">
        <f t="shared" si="4"/>
        <v>0</v>
      </c>
      <c r="J48"/>
      <c r="K48"/>
      <c r="L48"/>
    </row>
    <row r="49" spans="5:12" s="460" customFormat="1" x14ac:dyDescent="0.2">
      <c r="E49" s="495">
        <v>43617</v>
      </c>
      <c r="F49" s="90">
        <f t="shared" si="3"/>
        <v>0</v>
      </c>
      <c r="G49" s="495">
        <v>43617</v>
      </c>
      <c r="H49" s="90">
        <f t="shared" si="4"/>
        <v>0</v>
      </c>
      <c r="J49"/>
      <c r="K49"/>
      <c r="L49"/>
    </row>
    <row r="50" spans="5:12" x14ac:dyDescent="0.2">
      <c r="E50" s="495">
        <v>43647</v>
      </c>
      <c r="F50" s="90">
        <f t="shared" si="3"/>
        <v>0</v>
      </c>
      <c r="G50" s="495">
        <v>43647</v>
      </c>
      <c r="H50" s="90">
        <f t="shared" si="4"/>
        <v>0</v>
      </c>
      <c r="J50" s="496"/>
      <c r="K50" s="496"/>
      <c r="L50" s="496"/>
    </row>
    <row r="51" spans="5:12" x14ac:dyDescent="0.2">
      <c r="E51" s="495">
        <v>43678</v>
      </c>
      <c r="F51" s="90">
        <f t="shared" si="3"/>
        <v>0</v>
      </c>
      <c r="G51" s="495">
        <v>43678</v>
      </c>
      <c r="H51" s="90">
        <f t="shared" si="4"/>
        <v>0</v>
      </c>
      <c r="J51" s="460"/>
      <c r="K51" s="460"/>
      <c r="L51" s="460"/>
    </row>
    <row r="52" spans="5:12" x14ac:dyDescent="0.2">
      <c r="E52" s="495">
        <v>43709</v>
      </c>
      <c r="F52" s="90">
        <f t="shared" si="3"/>
        <v>0</v>
      </c>
      <c r="G52" s="495">
        <v>43709</v>
      </c>
      <c r="H52" s="90">
        <f t="shared" si="4"/>
        <v>0</v>
      </c>
    </row>
    <row r="53" spans="5:12" x14ac:dyDescent="0.2">
      <c r="E53" s="495">
        <v>43739</v>
      </c>
      <c r="F53" s="90">
        <f t="shared" si="3"/>
        <v>0</v>
      </c>
      <c r="G53" s="495">
        <v>43739</v>
      </c>
      <c r="H53" s="90">
        <f t="shared" si="4"/>
        <v>0</v>
      </c>
    </row>
    <row r="54" spans="5:12" x14ac:dyDescent="0.2">
      <c r="E54" s="495">
        <v>43770</v>
      </c>
      <c r="F54" s="90">
        <f t="shared" si="3"/>
        <v>0</v>
      </c>
      <c r="G54" s="495">
        <v>43770</v>
      </c>
      <c r="H54" s="90">
        <f t="shared" si="4"/>
        <v>0</v>
      </c>
    </row>
    <row r="55" spans="5:12" x14ac:dyDescent="0.2">
      <c r="E55" s="495">
        <v>43800</v>
      </c>
      <c r="F55" s="90">
        <f t="shared" si="3"/>
        <v>0</v>
      </c>
      <c r="G55" s="495">
        <v>43800</v>
      </c>
      <c r="H55" s="90">
        <f t="shared" si="4"/>
        <v>0</v>
      </c>
    </row>
    <row r="56" spans="5:12" x14ac:dyDescent="0.2">
      <c r="E56" s="497"/>
      <c r="F56" s="457">
        <f>SUM(F21:F55)</f>
        <v>364604.28</v>
      </c>
      <c r="G56" s="496"/>
      <c r="H56" s="457">
        <f>SUM(H21:H55)</f>
        <v>364604.28</v>
      </c>
    </row>
    <row r="57" spans="5:12" x14ac:dyDescent="0.2">
      <c r="E57" s="460"/>
      <c r="F57" s="165">
        <f>+F56-F17</f>
        <v>0</v>
      </c>
      <c r="G57" s="460"/>
      <c r="H57" s="165">
        <f>+H56-I17</f>
        <v>0</v>
      </c>
    </row>
  </sheetData>
  <mergeCells count="8">
    <mergeCell ref="L18:M18"/>
    <mergeCell ref="A1:K1"/>
    <mergeCell ref="A3:A4"/>
    <mergeCell ref="B3:B4"/>
    <mergeCell ref="C3:C4"/>
    <mergeCell ref="D3:D4"/>
    <mergeCell ref="L3:M3"/>
    <mergeCell ref="A14:B1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"/>
  <sheetViews>
    <sheetView workbookViewId="0">
      <selection sqref="A1:XFD1048576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x14ac:dyDescent="0.2">
      <c r="N1" s="89"/>
      <c r="O1" s="8"/>
    </row>
    <row r="2" spans="1:16" x14ac:dyDescent="0.2">
      <c r="A2" s="1066" t="s">
        <v>64</v>
      </c>
      <c r="B2" s="1066"/>
      <c r="C2" s="1066"/>
      <c r="D2" s="1066"/>
      <c r="E2" s="1066"/>
      <c r="F2" s="1066"/>
      <c r="G2" s="1066"/>
      <c r="H2" s="1066"/>
      <c r="I2" s="1066"/>
      <c r="J2" s="1066"/>
      <c r="K2" s="1066"/>
      <c r="L2" s="9">
        <v>42155</v>
      </c>
      <c r="O2" s="61"/>
    </row>
    <row r="4" spans="1:16" s="2" customFormat="1" x14ac:dyDescent="0.2">
      <c r="A4" s="1083" t="s">
        <v>2</v>
      </c>
      <c r="B4" s="1083" t="s">
        <v>0</v>
      </c>
      <c r="C4" s="1071" t="s">
        <v>19</v>
      </c>
      <c r="D4" s="1071" t="s">
        <v>10</v>
      </c>
      <c r="E4" s="1067" t="s">
        <v>4</v>
      </c>
      <c r="F4" s="1068"/>
      <c r="G4" s="1068"/>
      <c r="H4" s="1068"/>
      <c r="I4" s="1068"/>
      <c r="J4" s="1069"/>
      <c r="K4" s="1070" t="s">
        <v>11</v>
      </c>
      <c r="L4" s="1071"/>
      <c r="O4" s="63"/>
      <c r="P4" s="63"/>
    </row>
    <row r="5" spans="1:16" s="13" customFormat="1" x14ac:dyDescent="0.2">
      <c r="A5" s="1084"/>
      <c r="B5" s="1084"/>
      <c r="C5" s="1085"/>
      <c r="D5" s="1085"/>
      <c r="E5" s="10" t="s">
        <v>1</v>
      </c>
      <c r="F5" s="11" t="s">
        <v>3</v>
      </c>
      <c r="G5" s="11" t="s">
        <v>13</v>
      </c>
      <c r="H5" s="12" t="s">
        <v>12</v>
      </c>
      <c r="I5" s="10" t="s">
        <v>13</v>
      </c>
      <c r="J5" s="11" t="s">
        <v>16</v>
      </c>
      <c r="K5" s="3" t="s">
        <v>18</v>
      </c>
      <c r="L5" s="3" t="s">
        <v>17</v>
      </c>
    </row>
    <row r="6" spans="1:16" x14ac:dyDescent="0.2">
      <c r="A6" s="45" t="s">
        <v>37</v>
      </c>
      <c r="B6" s="14"/>
      <c r="C6" s="30">
        <v>40798</v>
      </c>
      <c r="D6" s="16">
        <v>100000</v>
      </c>
      <c r="E6" s="17"/>
      <c r="F6" s="18"/>
      <c r="G6" s="19"/>
      <c r="H6" s="20"/>
      <c r="I6" s="84"/>
      <c r="J6" s="19"/>
      <c r="K6" s="22"/>
      <c r="L6" s="22"/>
    </row>
    <row r="7" spans="1:16" s="26" customFormat="1" x14ac:dyDescent="0.2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0">
        <f>+IF(G7="",0,E7-H7)</f>
        <v>0</v>
      </c>
      <c r="L7" s="80">
        <f>IF(G7="",E7-H7,0)</f>
        <v>0</v>
      </c>
      <c r="N7" s="27"/>
      <c r="O7" s="27"/>
    </row>
    <row r="8" spans="1:16" s="26" customFormat="1" x14ac:dyDescent="0.2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0">
        <f t="shared" ref="K8:K14" si="0">+IF(G8="",0,E8-H8)</f>
        <v>0</v>
      </c>
      <c r="L8" s="80">
        <f t="shared" ref="L8:L14" si="1">IF(G8="",E8-H8,0)</f>
        <v>20000</v>
      </c>
      <c r="N8" s="27"/>
      <c r="O8" s="27"/>
    </row>
    <row r="9" spans="1:16" x14ac:dyDescent="0.2">
      <c r="A9" s="45" t="s">
        <v>47</v>
      </c>
      <c r="B9" s="73"/>
      <c r="C9" s="15"/>
      <c r="D9" s="16">
        <v>100000</v>
      </c>
      <c r="E9" s="23"/>
      <c r="F9" s="42"/>
      <c r="G9" s="15"/>
      <c r="H9" s="24"/>
      <c r="I9" s="30"/>
      <c r="J9" s="4"/>
      <c r="K9" s="80">
        <f t="shared" si="0"/>
        <v>0</v>
      </c>
      <c r="L9" s="80">
        <f t="shared" si="1"/>
        <v>0</v>
      </c>
    </row>
    <row r="10" spans="1:16" x14ac:dyDescent="0.2">
      <c r="A10" s="46"/>
      <c r="B10" s="73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0">
        <f t="shared" si="0"/>
        <v>0</v>
      </c>
      <c r="L10" s="80">
        <f t="shared" si="1"/>
        <v>0</v>
      </c>
    </row>
    <row r="11" spans="1:16" x14ac:dyDescent="0.2">
      <c r="A11" s="46"/>
      <c r="B11" s="73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0">
        <f t="shared" si="0"/>
        <v>0</v>
      </c>
      <c r="L11" s="80">
        <f t="shared" si="1"/>
        <v>50000</v>
      </c>
    </row>
    <row r="12" spans="1:16" x14ac:dyDescent="0.2">
      <c r="A12" s="45" t="s">
        <v>9</v>
      </c>
      <c r="B12" s="73"/>
      <c r="C12" s="15"/>
      <c r="D12" s="16">
        <v>100000</v>
      </c>
      <c r="E12" s="23"/>
      <c r="F12" s="42"/>
      <c r="G12" s="15"/>
      <c r="H12" s="24"/>
      <c r="I12" s="30"/>
      <c r="J12" s="4"/>
      <c r="K12" s="80">
        <f t="shared" si="0"/>
        <v>0</v>
      </c>
      <c r="L12" s="80">
        <f t="shared" si="1"/>
        <v>0</v>
      </c>
    </row>
    <row r="13" spans="1:16" x14ac:dyDescent="0.2">
      <c r="A13" s="46"/>
      <c r="B13" s="73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0">
        <f t="shared" si="0"/>
        <v>0</v>
      </c>
      <c r="L13" s="80">
        <f t="shared" si="1"/>
        <v>0</v>
      </c>
    </row>
    <row r="14" spans="1:16" x14ac:dyDescent="0.2">
      <c r="A14" s="46"/>
      <c r="B14" s="73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0">
        <f t="shared" si="0"/>
        <v>0</v>
      </c>
      <c r="L14" s="80">
        <f t="shared" si="1"/>
        <v>50000</v>
      </c>
    </row>
    <row r="15" spans="1:16" s="8" customFormat="1" x14ac:dyDescent="0.2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x14ac:dyDescent="0.2">
      <c r="A16" s="74"/>
      <c r="B16" s="75"/>
      <c r="C16" s="75"/>
      <c r="D16" s="75"/>
      <c r="E16" s="75"/>
      <c r="F16" s="74"/>
      <c r="G16" s="75"/>
      <c r="H16" s="75"/>
      <c r="I16" s="75"/>
      <c r="J16" s="52"/>
      <c r="K16" s="1064">
        <f>SUM(K15:L15)</f>
        <v>120000</v>
      </c>
      <c r="L16" s="1065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L39" sqref="L39:L40"/>
    </sheetView>
  </sheetViews>
  <sheetFormatPr baseColWidth="10" defaultRowHeight="12.75" x14ac:dyDescent="0.2"/>
  <sheetData>
    <row r="1" spans="1:12" x14ac:dyDescent="0.2">
      <c r="A1" s="1066" t="s">
        <v>64</v>
      </c>
      <c r="B1" s="1066"/>
      <c r="C1" s="1066"/>
      <c r="D1" s="1066"/>
      <c r="E1" s="1066"/>
      <c r="F1" s="1066"/>
      <c r="G1" s="1066"/>
      <c r="H1" s="1066"/>
      <c r="I1" s="1066"/>
      <c r="J1" s="1066"/>
      <c r="K1" s="1066"/>
      <c r="L1" s="9">
        <f ca="1">TODAY()</f>
        <v>43696</v>
      </c>
    </row>
    <row r="2" spans="1:12" x14ac:dyDescent="0.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x14ac:dyDescent="0.2">
      <c r="A3" s="1083" t="s">
        <v>2</v>
      </c>
      <c r="B3" s="1083" t="s">
        <v>0</v>
      </c>
      <c r="C3" s="1071" t="s">
        <v>19</v>
      </c>
      <c r="D3" s="1071" t="s">
        <v>10</v>
      </c>
      <c r="E3" s="1067" t="s">
        <v>4</v>
      </c>
      <c r="F3" s="1068"/>
      <c r="G3" s="1068"/>
      <c r="H3" s="1068"/>
      <c r="I3" s="1068"/>
      <c r="J3" s="1069"/>
      <c r="K3" s="1070" t="s">
        <v>11</v>
      </c>
      <c r="L3" s="1071"/>
    </row>
    <row r="4" spans="1:12" x14ac:dyDescent="0.2">
      <c r="A4" s="1084"/>
      <c r="B4" s="1084"/>
      <c r="C4" s="1085"/>
      <c r="D4" s="1085"/>
      <c r="E4" s="10" t="s">
        <v>1</v>
      </c>
      <c r="F4" s="11" t="s">
        <v>3</v>
      </c>
      <c r="G4" s="11" t="s">
        <v>13</v>
      </c>
      <c r="H4" s="12" t="s">
        <v>12</v>
      </c>
      <c r="I4" s="10" t="s">
        <v>13</v>
      </c>
      <c r="J4" s="11" t="s">
        <v>16</v>
      </c>
      <c r="K4" s="3" t="s">
        <v>18</v>
      </c>
      <c r="L4" s="3" t="s">
        <v>17</v>
      </c>
    </row>
    <row r="5" spans="1:12" x14ac:dyDescent="0.2">
      <c r="A5" s="45" t="s">
        <v>135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 x14ac:dyDescent="0.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66" t="s">
        <v>137</v>
      </c>
      <c r="I6" s="30"/>
      <c r="J6" s="4">
        <f>I6-G6</f>
        <v>-41729</v>
      </c>
      <c r="K6" s="80">
        <v>50000</v>
      </c>
      <c r="L6" s="80">
        <f>IF(G6="",E6-H6,0)</f>
        <v>0</v>
      </c>
    </row>
    <row r="7" spans="1:12" x14ac:dyDescent="0.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0"/>
      <c r="L7" s="80">
        <v>50000</v>
      </c>
    </row>
    <row r="8" spans="1:12" x14ac:dyDescent="0.2">
      <c r="A8" s="259" t="s">
        <v>136</v>
      </c>
      <c r="B8" s="57"/>
      <c r="C8" s="260">
        <v>41631</v>
      </c>
      <c r="D8" s="56">
        <v>100000</v>
      </c>
      <c r="E8" s="261"/>
      <c r="F8" s="262"/>
      <c r="G8" s="260"/>
      <c r="H8" s="263"/>
      <c r="I8" s="264"/>
      <c r="J8" s="57"/>
      <c r="K8" s="265"/>
      <c r="L8" s="265"/>
    </row>
    <row r="9" spans="1:12" x14ac:dyDescent="0.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67" t="s">
        <v>137</v>
      </c>
      <c r="I9" s="30"/>
      <c r="J9" s="4"/>
      <c r="K9" s="80">
        <v>50000</v>
      </c>
      <c r="L9" s="80"/>
    </row>
    <row r="10" spans="1:12" x14ac:dyDescent="0.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0">
        <f>+IF(G10="",0,E10-H10)</f>
        <v>0</v>
      </c>
      <c r="L10" s="80">
        <f>IF(G10="",E10-H10,0)</f>
        <v>50000</v>
      </c>
    </row>
    <row r="11" spans="1:12" x14ac:dyDescent="0.2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x14ac:dyDescent="0.2">
      <c r="A12" s="74"/>
      <c r="B12" s="75"/>
      <c r="C12" s="75"/>
      <c r="D12" s="75"/>
      <c r="E12" s="75"/>
      <c r="F12" s="74"/>
      <c r="G12" s="75"/>
      <c r="H12" s="75"/>
      <c r="I12" s="75"/>
      <c r="J12" s="52"/>
      <c r="K12" s="1064">
        <f>SUM(K11:L11)</f>
        <v>200000</v>
      </c>
      <c r="L12" s="1065"/>
    </row>
    <row r="13" spans="1:12" x14ac:dyDescent="0.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101</vt:i4>
      </vt:variant>
    </vt:vector>
  </HeadingPairs>
  <TitlesOfParts>
    <vt:vector size="122" baseType="lpstr">
      <vt:lpstr>SYNTHESE</vt:lpstr>
      <vt:lpstr>CONVENTIONS SIGNEES </vt:lpstr>
      <vt:lpstr>FRAFU DEAL</vt:lpstr>
      <vt:lpstr>LBU DEAL</vt:lpstr>
      <vt:lpstr>ST LEU</vt:lpstr>
      <vt:lpstr>GLOBAL OPERATION</vt:lpstr>
      <vt:lpstr>ADEME</vt:lpstr>
      <vt:lpstr>EDF</vt:lpstr>
      <vt:lpstr>LBU REHAB</vt:lpstr>
      <vt:lpstr>CAF</vt:lpstr>
      <vt:lpstr>REGION</vt:lpstr>
      <vt:lpstr>RECTORAT</vt:lpstr>
      <vt:lpstr>DIECCTE</vt:lpstr>
      <vt:lpstr>TCO</vt:lpstr>
      <vt:lpstr>FEDER</vt:lpstr>
      <vt:lpstr>PETITE ILE</vt:lpstr>
      <vt:lpstr>OFFICE DE L'EAU</vt:lpstr>
      <vt:lpstr>ETANG-SALE</vt:lpstr>
      <vt:lpstr>ST JOSEPH</vt:lpstr>
      <vt:lpstr>CILGERE</vt:lpstr>
      <vt:lpstr>cilgère</vt:lpstr>
      <vt:lpstr>Bdgt_ADEME</vt:lpstr>
      <vt:lpstr>Bdgt_CAF</vt:lpstr>
      <vt:lpstr>Bdgt_DIECCTE</vt:lpstr>
      <vt:lpstr>Bdgt_EAU</vt:lpstr>
      <vt:lpstr>Bdgt_EDF</vt:lpstr>
      <vt:lpstr>Bdgt_ETG_SALE</vt:lpstr>
      <vt:lpstr>Bdgt_FEDER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Bdgt_ST_LEU</vt:lpstr>
      <vt:lpstr>Bdgt_TCO</vt:lpstr>
      <vt:lpstr>Date_AF_ETG_SALE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DateAF_Rectorat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DatePmt_DIECCTE</vt:lpstr>
      <vt:lpstr>DatePmt_EAU</vt:lpstr>
      <vt:lpstr>DatePmt_EDF</vt:lpstr>
      <vt:lpstr>DatePmt_ETG_SALE</vt:lpstr>
      <vt:lpstr>DatePmt_FEDER</vt:lpstr>
      <vt:lpstr>DatePmt_LBU</vt:lpstr>
      <vt:lpstr>DatePmt_P_ILE</vt:lpstr>
      <vt:lpstr>DatePmt_Rectorat</vt:lpstr>
      <vt:lpstr>DatePmt_Region</vt:lpstr>
      <vt:lpstr>DatePmt_ST_JOSEPH</vt:lpstr>
      <vt:lpstr>DatePmt_ST_LEU</vt:lpstr>
      <vt:lpstr>DatePmt_TCO</vt:lpstr>
      <vt:lpstr>DatePmtRehab</vt:lpstr>
      <vt:lpstr>'ST LEU'!Impression_des_titres</vt:lpstr>
      <vt:lpstr>MontantAF</vt:lpstr>
      <vt:lpstr>MontantAF_ADEME</vt:lpstr>
      <vt:lpstr>MontantAF_CAF</vt:lpstr>
      <vt:lpstr>MontantAF_EAU</vt:lpstr>
      <vt:lpstr>MontantAF_EDF</vt:lpstr>
      <vt:lpstr>MontantAF_ETG_SALE</vt:lpstr>
      <vt:lpstr>MontantAF_FEDER</vt:lpstr>
      <vt:lpstr>MontantAF_FRAFU</vt:lpstr>
      <vt:lpstr>MontantAF_LBU</vt:lpstr>
      <vt:lpstr>MontantAF_LBU_rehab</vt:lpstr>
      <vt:lpstr>MontantAF_P_ILE</vt:lpstr>
      <vt:lpstr>MontantAF_Rectorat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MtntPaye_DIECCTE</vt:lpstr>
      <vt:lpstr>MtntPaye_EAU</vt:lpstr>
      <vt:lpstr>MtntPaye_EDF</vt:lpstr>
      <vt:lpstr>MtntPaye_ETG_SALE</vt:lpstr>
      <vt:lpstr>MtntPaye_FEDER</vt:lpstr>
      <vt:lpstr>MtntPaye_LBU</vt:lpstr>
      <vt:lpstr>MtntPaye_P_ILE</vt:lpstr>
      <vt:lpstr>MtntPaye_Rectorat</vt:lpstr>
      <vt:lpstr>MtntPaye_Region</vt:lpstr>
      <vt:lpstr>MtntPaye_ST_JOSEPH</vt:lpstr>
      <vt:lpstr>MtntPaye_ST_LEU</vt:lpstr>
      <vt:lpstr>MtntPaye_TCO</vt:lpstr>
      <vt:lpstr>OP_ADEME</vt:lpstr>
      <vt:lpstr>OP_CAF</vt:lpstr>
      <vt:lpstr>OP_DIECCTE</vt:lpstr>
      <vt:lpstr>OP_EAU</vt:lpstr>
      <vt:lpstr>OP_EDF</vt:lpstr>
      <vt:lpstr>OP_ETG_SALE</vt:lpstr>
      <vt:lpstr>OP_FEDER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OP_ST_LEU</vt:lpstr>
      <vt:lpstr>OP_TCO</vt:lpstr>
      <vt:lpstr>CAF!Zone_d_impression</vt:lpstr>
      <vt:lpstr>'FRAFU DEAL'!Zone_d_impression</vt:lpstr>
      <vt:lpstr>'LBU DEAL'!Zone_d_impression</vt:lpstr>
      <vt:lpstr>'ST LEU'!Zone_d_impression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Nathalie BLANDINO</cp:lastModifiedBy>
  <cp:lastPrinted>2019-08-16T04:33:56Z</cp:lastPrinted>
  <dcterms:created xsi:type="dcterms:W3CDTF">2011-03-18T06:22:23Z</dcterms:created>
  <dcterms:modified xsi:type="dcterms:W3CDTF">2019-08-19T10:19:21Z</dcterms:modified>
</cp:coreProperties>
</file>